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08-Jan-26\"/>
    </mc:Choice>
  </mc:AlternateContent>
  <bookViews>
    <workbookView xWindow="0" yWindow="0" windowWidth="24000" windowHeight="9630" tabRatio="947" firstSheet="4" activeTab="19"/>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shares'!$A$1:$FA$215</definedName>
    <definedName name="Expry_Roll___20" localSheetId="17">'NIFTY GRP'!$A$1:$EY$2</definedName>
    <definedName name="fii" localSheetId="18">FII!$A$1:$N$16</definedName>
    <definedName name="_xlnm.Print_Area" localSheetId="14">Disclaimar!$A$1:$A$24</definedName>
    <definedName name="stats__2" localSheetId="15">'Data Vlaue (Cr)'!$A$1:$FB$215</definedName>
  </definedNames>
  <calcPr calcId="162913"/>
</workbook>
</file>

<file path=xl/calcChain.xml><?xml version="1.0" encoding="utf-8"?>
<calcChain xmlns="http://schemas.openxmlformats.org/spreadsheetml/2006/main">
  <c r="L4" i="21" l="1"/>
  <c r="L3" i="21"/>
  <c r="A148" i="14"/>
  <c r="F125" i="18" l="1"/>
  <c r="F166" i="18" l="1"/>
  <c r="F85" i="18"/>
  <c r="F116" i="18"/>
  <c r="F173" i="18"/>
  <c r="F190" i="18"/>
  <c r="F122" i="18"/>
  <c r="F99" i="18"/>
  <c r="F178" i="18"/>
  <c r="F57" i="18"/>
  <c r="F164" i="18"/>
  <c r="F54" i="18"/>
  <c r="F8" i="18"/>
  <c r="F167" i="18"/>
  <c r="F53" i="18"/>
  <c r="F93" i="18"/>
  <c r="F45" i="18"/>
  <c r="F110" i="18"/>
  <c r="F141" i="18"/>
  <c r="F160" i="18"/>
  <c r="F19" i="18"/>
  <c r="F111" i="18"/>
  <c r="F170" i="18"/>
  <c r="F165" i="18"/>
  <c r="F59" i="18"/>
  <c r="F104" i="18"/>
  <c r="F23" i="18"/>
  <c r="F129" i="18"/>
  <c r="F169" i="18"/>
  <c r="F210" i="18"/>
  <c r="F161" i="18"/>
  <c r="F37" i="18"/>
  <c r="F28" i="18"/>
  <c r="F80" i="18"/>
  <c r="F109" i="18"/>
  <c r="F188" i="18"/>
  <c r="F36" i="18"/>
  <c r="F91" i="18"/>
  <c r="F52" i="18"/>
  <c r="F206" i="18"/>
  <c r="F61" i="18"/>
  <c r="F29" i="18"/>
  <c r="F185" i="18"/>
  <c r="F17" i="18"/>
  <c r="F191" i="18"/>
  <c r="F212" i="18"/>
  <c r="F203" i="18"/>
  <c r="F192" i="18"/>
  <c r="F186" i="18"/>
  <c r="F139" i="18"/>
  <c r="F48" i="18"/>
  <c r="F43" i="18"/>
  <c r="F67" i="18"/>
  <c r="F101" i="18"/>
  <c r="F90" i="18"/>
  <c r="F35" i="18"/>
  <c r="F117" i="18"/>
  <c r="F150" i="18"/>
  <c r="F47" i="18"/>
  <c r="F199" i="18"/>
  <c r="F10" i="18"/>
  <c r="F155" i="18"/>
  <c r="F146" i="18"/>
  <c r="F76" i="18"/>
  <c r="F145" i="18"/>
  <c r="F5" i="18"/>
  <c r="F108" i="18"/>
  <c r="F86" i="18"/>
  <c r="F94" i="18"/>
  <c r="F183" i="18"/>
  <c r="F144" i="18"/>
  <c r="F207" i="18"/>
  <c r="F177" i="18"/>
  <c r="F51" i="18"/>
  <c r="F152" i="18"/>
  <c r="F73" i="18"/>
  <c r="F56" i="18"/>
  <c r="F148" i="18"/>
  <c r="F158" i="18"/>
  <c r="F44" i="18"/>
  <c r="F97" i="18"/>
  <c r="F49" i="18"/>
  <c r="F79" i="18"/>
  <c r="F33" i="18"/>
  <c r="F142" i="18"/>
  <c r="F83" i="18"/>
  <c r="F143" i="18"/>
  <c r="F124" i="18"/>
  <c r="F21" i="18"/>
  <c r="F103" i="18"/>
  <c r="F77" i="18"/>
  <c r="F30" i="18"/>
  <c r="F74" i="18"/>
  <c r="F121" i="18"/>
  <c r="F200" i="18"/>
  <c r="F20" i="18"/>
  <c r="F70" i="18"/>
  <c r="F182" i="18"/>
  <c r="F194" i="18"/>
  <c r="F149" i="18"/>
  <c r="F31" i="18"/>
  <c r="F9" i="18"/>
  <c r="F6" i="18"/>
  <c r="F87" i="18"/>
  <c r="F26" i="18"/>
  <c r="F89" i="18"/>
  <c r="F138" i="18"/>
  <c r="F189" i="18"/>
  <c r="F168" i="18"/>
  <c r="F137" i="18"/>
  <c r="F198" i="18"/>
  <c r="F119" i="18"/>
  <c r="F18" i="18"/>
  <c r="F195" i="18"/>
  <c r="F157" i="18"/>
  <c r="F113" i="18"/>
  <c r="F102" i="18"/>
  <c r="F179" i="18"/>
  <c r="F64" i="18"/>
  <c r="F62" i="18"/>
  <c r="F16" i="18"/>
  <c r="F120" i="18"/>
  <c r="F130" i="18"/>
  <c r="F41" i="18"/>
  <c r="F68" i="18"/>
  <c r="F163" i="18"/>
  <c r="F75" i="18"/>
  <c r="F112" i="18"/>
  <c r="F69" i="18"/>
  <c r="F197" i="18"/>
  <c r="F151" i="18"/>
  <c r="F34" i="18"/>
  <c r="F134" i="18"/>
  <c r="F118" i="18"/>
  <c r="F38" i="18"/>
  <c r="F196" i="18"/>
  <c r="F96" i="18"/>
  <c r="F66" i="18"/>
  <c r="F172" i="18"/>
  <c r="F95" i="18"/>
  <c r="F193" i="18"/>
  <c r="F187" i="18"/>
  <c r="F171" i="18"/>
  <c r="F84" i="18"/>
  <c r="F132" i="18"/>
  <c r="F126" i="18"/>
  <c r="F204" i="18"/>
  <c r="F71" i="18"/>
  <c r="F123" i="18"/>
  <c r="F13" i="18"/>
  <c r="F78" i="18"/>
  <c r="F176" i="18"/>
  <c r="F209" i="18"/>
  <c r="F154" i="18"/>
  <c r="F27" i="18"/>
  <c r="F82" i="18"/>
  <c r="F88" i="18"/>
  <c r="F98" i="18"/>
  <c r="F11" i="18"/>
  <c r="F162" i="18"/>
  <c r="F136" i="18"/>
  <c r="F50" i="18"/>
  <c r="F25" i="18"/>
  <c r="F81" i="18"/>
  <c r="F7" i="18"/>
  <c r="F174" i="18"/>
  <c r="F39" i="18"/>
  <c r="F15" i="18"/>
  <c r="F128" i="18"/>
  <c r="F107" i="18"/>
  <c r="F184" i="18"/>
  <c r="F115" i="18"/>
  <c r="F100" i="18"/>
  <c r="F106" i="18"/>
  <c r="F58" i="18"/>
  <c r="F208" i="18"/>
  <c r="F131" i="18"/>
  <c r="F72" i="18"/>
  <c r="F175" i="18"/>
  <c r="F12" i="18"/>
  <c r="F22" i="18"/>
  <c r="F180" i="18"/>
  <c r="F205" i="18"/>
  <c r="F63" i="18"/>
  <c r="F114" i="18"/>
  <c r="F211" i="18"/>
  <c r="F32" i="18"/>
  <c r="F159" i="18"/>
  <c r="F201" i="18"/>
  <c r="F55" i="18"/>
  <c r="F133" i="18"/>
  <c r="F46" i="18"/>
  <c r="F153" i="18"/>
  <c r="F135" i="18"/>
  <c r="F14" i="18"/>
  <c r="F92" i="18"/>
  <c r="F202" i="18"/>
  <c r="F181" i="18"/>
  <c r="F42" i="18"/>
  <c r="F105" i="18"/>
  <c r="F147" i="18"/>
  <c r="F24" i="18"/>
  <c r="F65" i="18"/>
  <c r="F127" i="18"/>
  <c r="F40" i="18"/>
  <c r="F140" i="18"/>
  <c r="F60" i="18"/>
  <c r="E159"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70" i="18"/>
  <c r="E56" i="18"/>
  <c r="E212" i="18"/>
  <c r="E53" i="18"/>
  <c r="E49" i="18"/>
  <c r="E92" i="18"/>
  <c r="E145" i="18"/>
  <c r="E205" i="18"/>
  <c r="E90" i="18"/>
  <c r="E33" i="18"/>
  <c r="E30" i="18"/>
  <c r="E199" i="18"/>
  <c r="E112" i="18"/>
  <c r="E177" i="18"/>
  <c r="E153" i="18"/>
  <c r="E207" i="18"/>
  <c r="E15" i="18"/>
  <c r="E194" i="18"/>
  <c r="E160" i="18"/>
  <c r="E140" i="18"/>
  <c r="E41" i="18"/>
  <c r="E211" i="18"/>
  <c r="E29" i="18"/>
  <c r="E166" i="18"/>
  <c r="E63" i="18"/>
  <c r="E128" i="18"/>
  <c r="E132" i="18"/>
  <c r="E88" i="18"/>
  <c r="E195" i="18"/>
  <c r="E208" i="18"/>
  <c r="E138" i="18"/>
  <c r="E146" i="18"/>
  <c r="E70" i="18"/>
  <c r="E163" i="18"/>
  <c r="E190" i="18"/>
  <c r="E121" i="18"/>
  <c r="E118" i="18"/>
  <c r="E117" i="18"/>
  <c r="E182" i="18"/>
  <c r="E60" i="18"/>
  <c r="E89" i="18"/>
  <c r="E120" i="18"/>
  <c r="E150" i="18"/>
  <c r="E119" i="18"/>
  <c r="E91" i="18"/>
  <c r="E180" i="18"/>
  <c r="E185" i="18"/>
  <c r="E104" i="18"/>
  <c r="E17" i="18"/>
  <c r="E191" i="18"/>
  <c r="E108" i="18"/>
  <c r="E203" i="18"/>
  <c r="E201" i="18"/>
  <c r="E179" i="18"/>
  <c r="E175" i="18"/>
  <c r="E189" i="18"/>
  <c r="E198" i="18"/>
  <c r="E142" i="18"/>
  <c r="E102" i="18"/>
  <c r="E113" i="18"/>
  <c r="E106" i="18"/>
  <c r="E210" i="18"/>
  <c r="E95" i="18"/>
  <c r="E83" i="18"/>
  <c r="E114" i="18"/>
  <c r="E21" i="18"/>
  <c r="E79" i="18"/>
  <c r="E105" i="18"/>
  <c r="E123" i="18"/>
  <c r="E43" i="18"/>
  <c r="E101" i="18"/>
  <c r="E84" i="18"/>
  <c r="E129" i="18"/>
  <c r="E11" i="18"/>
  <c r="E12" i="18"/>
  <c r="E122" i="18"/>
  <c r="E133" i="18"/>
  <c r="E55" i="18"/>
  <c r="E19" i="18"/>
  <c r="E18" i="18"/>
  <c r="E126" i="18"/>
  <c r="E148" i="18"/>
  <c r="E76" i="18"/>
  <c r="E80" i="18"/>
  <c r="E24" i="18"/>
  <c r="E35" i="18"/>
  <c r="E31" i="18"/>
  <c r="E164" i="18"/>
  <c r="E23" i="18"/>
  <c r="E130" i="18"/>
  <c r="E28" i="18"/>
  <c r="E36" i="18"/>
  <c r="E136" i="18"/>
  <c r="E87" i="18"/>
  <c r="E5" i="18"/>
  <c r="E103" i="18"/>
  <c r="E40" i="18"/>
  <c r="E183" i="18"/>
  <c r="E47" i="18"/>
  <c r="E66" i="18"/>
  <c r="E9" i="18"/>
  <c r="E172" i="18"/>
  <c r="E14" i="18"/>
  <c r="E37" i="18"/>
  <c r="E188" i="18"/>
  <c r="E74" i="18"/>
  <c r="E116" i="18"/>
  <c r="E81" i="18"/>
  <c r="E134" i="18"/>
  <c r="E86" i="18"/>
  <c r="E100" i="18"/>
  <c r="E109" i="18"/>
  <c r="E107" i="18"/>
  <c r="E110" i="18"/>
  <c r="E192" i="18"/>
  <c r="E62" i="18"/>
  <c r="E94" i="18"/>
  <c r="E77" i="18"/>
  <c r="E174" i="18"/>
  <c r="E26" i="18"/>
  <c r="E16" i="18"/>
  <c r="E173" i="18"/>
  <c r="E32" i="18"/>
  <c r="E144" i="18"/>
  <c r="E59" i="18"/>
  <c r="E181" i="18"/>
  <c r="E20" i="18"/>
  <c r="E151" i="18"/>
  <c r="E8" i="18"/>
  <c r="E162" i="18"/>
  <c r="E157" i="18"/>
  <c r="E147" i="18"/>
  <c r="E168" i="18"/>
  <c r="E39" i="18"/>
  <c r="E44" i="18"/>
  <c r="E75" i="18"/>
  <c r="E124" i="18"/>
  <c r="E156" i="18"/>
  <c r="F156" i="18"/>
  <c r="E200" i="18"/>
  <c r="E85" i="18"/>
  <c r="E68" i="18"/>
  <c r="E152" i="18"/>
  <c r="E65" i="18"/>
  <c r="E54" i="18"/>
  <c r="E51" i="18"/>
  <c r="E96" i="18"/>
  <c r="E204" i="18"/>
  <c r="E154" i="18"/>
  <c r="E34" i="18"/>
  <c r="E38" i="18"/>
  <c r="E176" i="18"/>
  <c r="E155" i="18"/>
  <c r="E10" i="18"/>
  <c r="E196" i="18"/>
  <c r="E82" i="18"/>
  <c r="E149" i="18"/>
  <c r="E97" i="18"/>
  <c r="E171" i="18"/>
  <c r="E193" i="18"/>
  <c r="E187" i="18"/>
  <c r="E73" i="18"/>
  <c r="E137" i="18"/>
  <c r="E169" i="18"/>
  <c r="E50" i="18"/>
  <c r="E141" i="18"/>
  <c r="E42" i="18"/>
  <c r="E58" i="18"/>
  <c r="E27" i="18"/>
  <c r="E139" i="18"/>
  <c r="E127" i="18"/>
  <c r="E61" i="18"/>
  <c r="E7" i="18"/>
  <c r="E71" i="18"/>
  <c r="E45" i="18"/>
  <c r="E6" i="18"/>
  <c r="E206" i="18"/>
  <c r="E78" i="18"/>
  <c r="E57" i="18"/>
  <c r="E99" i="18"/>
  <c r="E111" i="18"/>
  <c r="E13" i="18"/>
  <c r="E161" i="18"/>
  <c r="E167" i="18"/>
  <c r="E209" i="18"/>
  <c r="E158" i="18"/>
  <c r="E52" i="18"/>
  <c r="E178" i="18"/>
  <c r="E115" i="18"/>
  <c r="E67" i="18"/>
  <c r="E184" i="18"/>
  <c r="E69" i="18"/>
  <c r="E143" i="18"/>
  <c r="E22" i="18"/>
  <c r="E135" i="18"/>
  <c r="E25" i="18"/>
  <c r="E186" i="18"/>
  <c r="E46"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D148" i="14"/>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01" i="7" l="1"/>
  <c r="A29" i="7"/>
  <c r="L29" i="7" s="1"/>
  <c r="A159" i="7"/>
  <c r="A119" i="7"/>
  <c r="N119" i="7" s="1"/>
  <c r="A148" i="7"/>
  <c r="I148" i="7" s="1"/>
  <c r="A136" i="7"/>
  <c r="O136" i="7" s="1"/>
  <c r="A114" i="7"/>
  <c r="D114" i="7" s="1"/>
  <c r="A183" i="7"/>
  <c r="I183" i="7" s="1"/>
  <c r="A173" i="7"/>
  <c r="L173" i="7" s="1"/>
  <c r="A90" i="7"/>
  <c r="F90" i="7" s="1"/>
  <c r="A60" i="7"/>
  <c r="D60" i="7" s="1"/>
  <c r="A52" i="7"/>
  <c r="F52" i="7" s="1"/>
  <c r="A171" i="7"/>
  <c r="D171" i="7" s="1"/>
  <c r="A78" i="7"/>
  <c r="J78" i="7" s="1"/>
  <c r="A30" i="7"/>
  <c r="B30" i="7" s="1"/>
  <c r="A163" i="7"/>
  <c r="B163" i="7" s="1"/>
  <c r="A131" i="7"/>
  <c r="B131" i="7" s="1"/>
  <c r="A107" i="7"/>
  <c r="N107" i="7" s="1"/>
  <c r="A47" i="7"/>
  <c r="H47" i="7" s="1"/>
  <c r="A155" i="7"/>
  <c r="J155" i="7" s="1"/>
  <c r="A59" i="7"/>
  <c r="C59" i="7" s="1"/>
  <c r="A35" i="7"/>
  <c r="B35" i="7" s="1"/>
  <c r="A11" i="7"/>
  <c r="I11" i="7" s="1"/>
  <c r="A181" i="7"/>
  <c r="H181" i="7" s="1"/>
  <c r="A94" i="7"/>
  <c r="F94" i="7" s="1"/>
  <c r="A178" i="7"/>
  <c r="B178" i="7" s="1"/>
  <c r="A46" i="7"/>
  <c r="J46" i="7" s="1"/>
  <c r="A177" i="7"/>
  <c r="E177" i="7" s="1"/>
  <c r="A82" i="7"/>
  <c r="F82" i="7" s="1"/>
  <c r="B104" i="13"/>
  <c r="A130" i="7"/>
  <c r="B130" i="7" s="1"/>
  <c r="A80" i="7"/>
  <c r="K80" i="7" s="1"/>
  <c r="A34" i="7"/>
  <c r="G34" i="7" s="1"/>
  <c r="C240" i="2"/>
  <c r="F240" i="2" s="1"/>
  <c r="A169" i="7"/>
  <c r="F169" i="7" s="1"/>
  <c r="A127" i="7"/>
  <c r="B127" i="7" s="1"/>
  <c r="A67" i="7"/>
  <c r="O67" i="7" s="1"/>
  <c r="A16" i="7"/>
  <c r="H16" i="7" s="1"/>
  <c r="F19" i="14"/>
  <c r="A97" i="7"/>
  <c r="G97" i="7" s="1"/>
  <c r="L155" i="6"/>
  <c r="J155" i="6"/>
  <c r="E155" i="6"/>
  <c r="A146" i="7"/>
  <c r="D146" i="7" s="1"/>
  <c r="A122" i="7"/>
  <c r="A96" i="7"/>
  <c r="G96" i="7" s="1"/>
  <c r="A50" i="7"/>
  <c r="F50" i="7" s="1"/>
  <c r="A170" i="7"/>
  <c r="B170" i="7" s="1"/>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K13" i="7" s="1"/>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O23" i="12" s="1"/>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A137" i="7"/>
  <c r="A77" i="7"/>
  <c r="L77" i="7" s="1"/>
  <c r="A53" i="7"/>
  <c r="L53" i="7" s="1"/>
  <c r="H167" i="6"/>
  <c r="L109" i="6"/>
  <c r="M8" i="6"/>
  <c r="K120" i="10"/>
  <c r="E110" i="10"/>
  <c r="K113" i="11"/>
  <c r="E78" i="12"/>
  <c r="F13" i="13"/>
  <c r="I161" i="2"/>
  <c r="I36" i="5"/>
  <c r="A151" i="7"/>
  <c r="I151" i="7" s="1"/>
  <c r="A88" i="7"/>
  <c r="B88" i="7" s="1"/>
  <c r="A65" i="7"/>
  <c r="G65" i="7" s="1"/>
  <c r="A51" i="7"/>
  <c r="L51" i="7" s="1"/>
  <c r="O56" i="10"/>
  <c r="M146" i="11"/>
  <c r="C170" i="12"/>
  <c r="C161" i="14"/>
  <c r="E70" i="14"/>
  <c r="P140" i="2"/>
  <c r="C56" i="2"/>
  <c r="A176" i="7"/>
  <c r="O176" i="7" s="1"/>
  <c r="A149" i="7"/>
  <c r="G149" i="7"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E64" i="5" s="1"/>
  <c r="F56" i="3"/>
  <c r="L48" i="3"/>
  <c r="N46" i="3"/>
  <c r="I42" i="3"/>
  <c r="F36" i="3"/>
  <c r="G32" i="3"/>
  <c r="N20" i="3"/>
  <c r="Q12" i="3"/>
  <c r="D12" i="3"/>
  <c r="L171" i="7"/>
  <c r="R191" i="2"/>
  <c r="Q173" i="2"/>
  <c r="L171" i="3"/>
  <c r="D171" i="3"/>
  <c r="G127" i="3"/>
  <c r="Q72" i="3"/>
  <c r="L189" i="7"/>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E59" i="5" s="1"/>
  <c r="P47" i="3"/>
  <c r="J28" i="3"/>
  <c r="H189" i="7"/>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O85" i="3"/>
  <c r="G85" i="3"/>
  <c r="L47" i="3"/>
  <c r="P40" i="3"/>
  <c r="Q39" i="3"/>
  <c r="L165" i="6"/>
  <c r="F165" i="6"/>
  <c r="C161" i="6"/>
  <c r="I161" i="6"/>
  <c r="F161" i="6"/>
  <c r="E112" i="6"/>
  <c r="L112" i="6"/>
  <c r="I112" i="6"/>
  <c r="C95" i="6"/>
  <c r="L95" i="6"/>
  <c r="E73" i="6"/>
  <c r="H73" i="6"/>
  <c r="L73" i="12" s="1"/>
  <c r="B73" i="6"/>
  <c r="L73" i="6"/>
  <c r="I12" i="6"/>
  <c r="N12" i="6"/>
  <c r="L146" i="10"/>
  <c r="D146" i="10"/>
  <c r="R175" i="2"/>
  <c r="M173" i="2"/>
  <c r="Q184" i="2"/>
  <c r="Q182" i="2"/>
  <c r="M175" i="2"/>
  <c r="R143" i="2"/>
  <c r="S128" i="2"/>
  <c r="H128" i="2"/>
  <c r="M120" i="2"/>
  <c r="N120" i="2" s="1"/>
  <c r="O120" i="2" s="1"/>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P149" i="5" s="1"/>
  <c r="N145" i="5"/>
  <c r="O139" i="5"/>
  <c r="O135" i="5"/>
  <c r="C133" i="5"/>
  <c r="I130" i="5"/>
  <c r="I129" i="5"/>
  <c r="I117" i="5"/>
  <c r="N117" i="5"/>
  <c r="P117" i="5" s="1"/>
  <c r="C117" i="5"/>
  <c r="K151" i="5"/>
  <c r="K149" i="5"/>
  <c r="N139" i="5"/>
  <c r="P139" i="5" s="1"/>
  <c r="O127" i="5"/>
  <c r="I125" i="5"/>
  <c r="C125" i="5"/>
  <c r="N125" i="5"/>
  <c r="P125" i="5" s="1"/>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G9" i="14" s="1"/>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G4" i="21" s="1"/>
  <c r="E31" i="14"/>
  <c r="B29" i="14"/>
  <c r="F27" i="14"/>
  <c r="E20" i="14"/>
  <c r="D11" i="14"/>
  <c r="C9" i="14"/>
  <c r="E7" i="14"/>
  <c r="E80" i="13"/>
  <c r="G38" i="13"/>
  <c r="E156" i="14"/>
  <c r="F148" i="14"/>
  <c r="F127" i="14"/>
  <c r="E115" i="14"/>
  <c r="F39" i="14"/>
  <c r="E33" i="14"/>
  <c r="F4" i="21" s="1"/>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L189" i="3"/>
  <c r="F189" i="3"/>
  <c r="Q189" i="3"/>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A172" i="7"/>
  <c r="I172" i="7" s="1"/>
  <c r="I164" i="6"/>
  <c r="Q164" i="12" s="1"/>
  <c r="K164" i="6"/>
  <c r="A164" i="7"/>
  <c r="E164" i="7" s="1"/>
  <c r="B147" i="6"/>
  <c r="F147" i="6"/>
  <c r="I147" i="6"/>
  <c r="L147" i="6"/>
  <c r="B135" i="6"/>
  <c r="F135" i="6"/>
  <c r="J135" i="6"/>
  <c r="N135" i="6"/>
  <c r="C135" i="6"/>
  <c r="G135" i="6"/>
  <c r="K135" i="6"/>
  <c r="O135" i="6"/>
  <c r="D135" i="6"/>
  <c r="H135" i="6"/>
  <c r="P135" i="12" s="1"/>
  <c r="L135" i="6"/>
  <c r="B125" i="6"/>
  <c r="E125" i="6"/>
  <c r="H125" i="6"/>
  <c r="J125" i="6"/>
  <c r="A125" i="7"/>
  <c r="E54" i="6"/>
  <c r="J54" i="6"/>
  <c r="A54" i="7"/>
  <c r="I54" i="7" s="1"/>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A187" i="7"/>
  <c r="C187" i="7" s="1"/>
  <c r="E180" i="7"/>
  <c r="M171" i="7"/>
  <c r="I161" i="7"/>
  <c r="M152" i="7"/>
  <c r="F152" i="7"/>
  <c r="J148" i="7"/>
  <c r="F136" i="7"/>
  <c r="A135" i="7"/>
  <c r="B135" i="7" s="1"/>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M66" i="12" s="1"/>
  <c r="A66" i="7"/>
  <c r="M66" i="7" s="1"/>
  <c r="C62" i="6"/>
  <c r="A62" i="7"/>
  <c r="K62" i="7" s="1"/>
  <c r="B13" i="6"/>
  <c r="F13" i="6"/>
  <c r="J13" i="6"/>
  <c r="N13" i="6"/>
  <c r="C13" i="6"/>
  <c r="G13" i="6"/>
  <c r="K13" i="6"/>
  <c r="O13" i="6"/>
  <c r="D13" i="6"/>
  <c r="L13" i="6"/>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H36" i="3" s="1"/>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A147" i="7"/>
  <c r="L147" i="7" s="1"/>
  <c r="E136" i="7"/>
  <c r="C77" i="7"/>
  <c r="D77" i="7"/>
  <c r="O77" i="7"/>
  <c r="G77" i="7"/>
  <c r="I77" i="7"/>
  <c r="E185" i="6"/>
  <c r="I185" i="6"/>
  <c r="M185" i="6"/>
  <c r="B141" i="6"/>
  <c r="L141" i="6"/>
  <c r="A141" i="7"/>
  <c r="I135" i="6"/>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A160" i="7"/>
  <c r="I160" i="7" s="1"/>
  <c r="B152" i="6"/>
  <c r="I152" i="6"/>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K83" i="6"/>
  <c r="R83" i="12" s="1"/>
  <c r="O83" i="6"/>
  <c r="B51" i="6"/>
  <c r="G51" i="6"/>
  <c r="M51" i="6"/>
  <c r="C51" i="6"/>
  <c r="I51" i="6"/>
  <c r="N51" i="6"/>
  <c r="E51" i="6"/>
  <c r="O51" i="6"/>
  <c r="F51" i="6"/>
  <c r="J51" i="6"/>
  <c r="E28" i="6"/>
  <c r="A28" i="7"/>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H3" i="21" s="1"/>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J45" i="3"/>
  <c r="P44" i="3"/>
  <c r="M42" i="3"/>
  <c r="F42" i="3"/>
  <c r="Q37" i="3"/>
  <c r="G37" i="3"/>
  <c r="F34" i="3"/>
  <c r="M34" i="3"/>
  <c r="G31" i="3"/>
  <c r="E31" i="5" s="1"/>
  <c r="F31" i="5" s="1"/>
  <c r="G31" i="5" s="1"/>
  <c r="L31" i="3"/>
  <c r="C28" i="3"/>
  <c r="I28" i="3"/>
  <c r="N28" i="3"/>
  <c r="Q26" i="3"/>
  <c r="D26" i="3"/>
  <c r="M23" i="3"/>
  <c r="J21" i="3"/>
  <c r="J13" i="3"/>
  <c r="I9" i="3"/>
  <c r="F9" i="3"/>
  <c r="C189" i="7"/>
  <c r="D189" i="7"/>
  <c r="I189" i="7"/>
  <c r="N189" i="7"/>
  <c r="M148" i="7"/>
  <c r="M77" i="3"/>
  <c r="M72" i="3"/>
  <c r="F72" i="3"/>
  <c r="P71" i="3"/>
  <c r="M68" i="3"/>
  <c r="F68" i="3"/>
  <c r="O67" i="3"/>
  <c r="M66" i="3"/>
  <c r="M64" i="3"/>
  <c r="F64" i="3"/>
  <c r="N57" i="3"/>
  <c r="P56" i="3"/>
  <c r="G56" i="3"/>
  <c r="E56" i="5" s="1"/>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H13" i="3" s="1"/>
  <c r="G11" i="3"/>
  <c r="F10" i="3"/>
  <c r="L10" i="3"/>
  <c r="D167" i="7"/>
  <c r="F37" i="3"/>
  <c r="N37" i="3"/>
  <c r="I26" i="3"/>
  <c r="P26" i="3"/>
  <c r="C8" i="3"/>
  <c r="I8" i="3"/>
  <c r="N163" i="7"/>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E189" i="6"/>
  <c r="I189" i="6"/>
  <c r="M190" i="12" s="1"/>
  <c r="M189" i="6"/>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L149" i="6"/>
  <c r="B58" i="7"/>
  <c r="F58" i="7"/>
  <c r="L58" i="7"/>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N147" i="6"/>
  <c r="D147" i="6"/>
  <c r="K142" i="6"/>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L116" i="6"/>
  <c r="F115" i="6"/>
  <c r="G107" i="6"/>
  <c r="H105" i="6"/>
  <c r="M99" i="6"/>
  <c r="H99" i="6"/>
  <c r="M97" i="6"/>
  <c r="B97" i="6"/>
  <c r="O95" i="6"/>
  <c r="D95" i="6"/>
  <c r="N93" i="6"/>
  <c r="I93" i="6"/>
  <c r="D93" i="6"/>
  <c r="K92" i="6"/>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P85" i="12" s="1"/>
  <c r="M85" i="6"/>
  <c r="G84" i="6"/>
  <c r="I84" i="6"/>
  <c r="Q84" i="12" s="1"/>
  <c r="M81" i="6"/>
  <c r="B77" i="6"/>
  <c r="H77" i="6"/>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E55" i="6"/>
  <c r="J55" i="6"/>
  <c r="O55" i="6"/>
  <c r="F55" i="6"/>
  <c r="K55" i="6"/>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P20" i="5" s="1"/>
  <c r="C20" i="5"/>
  <c r="K18" i="5"/>
  <c r="N17" i="5"/>
  <c r="O16" i="5"/>
  <c r="C16" i="5"/>
  <c r="K14" i="5"/>
  <c r="N13" i="5"/>
  <c r="O12" i="5"/>
  <c r="P12" i="5" s="1"/>
  <c r="C12" i="5"/>
  <c r="K10" i="5"/>
  <c r="N9" i="5"/>
  <c r="O8" i="5"/>
  <c r="P8" i="5" s="1"/>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P137" i="5" s="1"/>
  <c r="C135" i="5"/>
  <c r="I134" i="5"/>
  <c r="N127" i="5"/>
  <c r="O121" i="5"/>
  <c r="C119" i="5"/>
  <c r="I118" i="5"/>
  <c r="N111" i="5"/>
  <c r="N108" i="5"/>
  <c r="N107" i="5"/>
  <c r="P107" i="5" s="1"/>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F3" i="21" s="1"/>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G143" i="14" s="1"/>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E162" i="5" s="1"/>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4" i="21" s="1"/>
  <c r="I37" i="2"/>
  <c r="I31" i="2"/>
  <c r="C31" i="2"/>
  <c r="D29" i="2"/>
  <c r="L29" i="2"/>
  <c r="D24" i="2"/>
  <c r="I24" i="2"/>
  <c r="Q24" i="2"/>
  <c r="D185" i="3"/>
  <c r="M185" i="3"/>
  <c r="D181" i="3"/>
  <c r="P181" i="3"/>
  <c r="I173" i="3"/>
  <c r="Q173" i="3"/>
  <c r="D169" i="3"/>
  <c r="M169" i="3"/>
  <c r="D167" i="3"/>
  <c r="J167" i="3"/>
  <c r="O167" i="3"/>
  <c r="B158" i="3"/>
  <c r="C158" i="3"/>
  <c r="L158" i="3"/>
  <c r="Q158" i="3"/>
  <c r="B151" i="3"/>
  <c r="G151" i="3"/>
  <c r="E151" i="5" s="1"/>
  <c r="M151" i="3"/>
  <c r="Q151" i="3"/>
  <c r="B150" i="3"/>
  <c r="G150" i="3"/>
  <c r="O150" i="3"/>
  <c r="B139" i="3"/>
  <c r="G139" i="3"/>
  <c r="M139" i="3"/>
  <c r="Q139" i="3"/>
  <c r="B138" i="3"/>
  <c r="G138" i="3"/>
  <c r="O138" i="3"/>
  <c r="F136" i="3"/>
  <c r="Q136" i="3"/>
  <c r="B123" i="3"/>
  <c r="G123" i="3"/>
  <c r="E123" i="5" s="1"/>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Q59" i="3"/>
  <c r="Q58" i="3"/>
  <c r="L58" i="3"/>
  <c r="D58" i="3"/>
  <c r="N56" i="3"/>
  <c r="I56" i="3"/>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H29" i="3" s="1"/>
  <c r="D24" i="3"/>
  <c r="J24" i="3"/>
  <c r="O24" i="3"/>
  <c r="B22" i="3"/>
  <c r="L22" i="3"/>
  <c r="B21" i="3"/>
  <c r="I21" i="3"/>
  <c r="K21" i="3" s="1"/>
  <c r="O21" i="3"/>
  <c r="M20" i="3"/>
  <c r="F20" i="3"/>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I177" i="7"/>
  <c r="O171" i="7"/>
  <c r="K171" i="7"/>
  <c r="G171" i="7"/>
  <c r="C171" i="7"/>
  <c r="I157" i="7"/>
  <c r="F151" i="7"/>
  <c r="K145" i="7"/>
  <c r="E145" i="7"/>
  <c r="O144" i="7"/>
  <c r="K144" i="7"/>
  <c r="G144" i="7"/>
  <c r="C144" i="7"/>
  <c r="I135" i="7"/>
  <c r="N134" i="7"/>
  <c r="B119"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90" i="12" s="1"/>
  <c r="L189" i="6"/>
  <c r="O190" i="12" s="1"/>
  <c r="B189" i="6"/>
  <c r="F189" i="6"/>
  <c r="J189" i="6"/>
  <c r="N189" i="6"/>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D188" i="6"/>
  <c r="E188" i="6"/>
  <c r="M188" i="6"/>
  <c r="G188" i="6"/>
  <c r="O188" i="6"/>
  <c r="C188" i="6"/>
  <c r="K188" i="6"/>
  <c r="I65" i="7"/>
  <c r="L46" i="7"/>
  <c r="L42" i="7"/>
  <c r="L41" i="7"/>
  <c r="F31" i="7"/>
  <c r="L30" i="7"/>
  <c r="N22" i="7"/>
  <c r="I22" i="7"/>
  <c r="D22" i="7"/>
  <c r="M21" i="7"/>
  <c r="N14" i="7"/>
  <c r="I14" i="7"/>
  <c r="D14" i="7"/>
  <c r="K8" i="7"/>
  <c r="M7" i="7"/>
  <c r="E7" i="7"/>
  <c r="J179" i="6"/>
  <c r="E179" i="6"/>
  <c r="I178" i="6"/>
  <c r="M178" i="12" s="1"/>
  <c r="J175" i="6"/>
  <c r="E175" i="6"/>
  <c r="L173" i="6"/>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D55" i="6"/>
  <c r="D51" i="6"/>
  <c r="H51" i="6"/>
  <c r="P51" i="12" s="1"/>
  <c r="L51" i="6"/>
  <c r="O51" i="12" s="1"/>
  <c r="C50" i="6"/>
  <c r="L50" i="5" s="1"/>
  <c r="N50" i="6"/>
  <c r="L48" i="6"/>
  <c r="M47" i="6"/>
  <c r="H47" i="6"/>
  <c r="K46" i="6"/>
  <c r="M43" i="6"/>
  <c r="G43" i="6"/>
  <c r="M39" i="6"/>
  <c r="H39" i="6"/>
  <c r="E38" i="6"/>
  <c r="K38" i="6"/>
  <c r="M35" i="6"/>
  <c r="D31" i="6"/>
  <c r="H31" i="6"/>
  <c r="L31" i="6"/>
  <c r="O31" i="12" s="1"/>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P98" i="5" s="1"/>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I3" i="21" s="1"/>
  <c r="H150" i="2"/>
  <c r="L150" i="2"/>
  <c r="P150" i="2"/>
  <c r="B150" i="2"/>
  <c r="M150" i="2"/>
  <c r="R150" i="2"/>
  <c r="E150" i="2"/>
  <c r="J3" i="21" s="1"/>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E4" i="21" s="1"/>
  <c r="C37" i="2"/>
  <c r="H4" i="21" s="1"/>
  <c r="H37" i="2"/>
  <c r="B4" i="21" s="1"/>
  <c r="M37" i="2"/>
  <c r="N37" i="2" s="1"/>
  <c r="O37" i="2" s="1"/>
  <c r="S37" i="2"/>
  <c r="E37" i="2"/>
  <c r="J4" i="21" s="1"/>
  <c r="P37" i="2"/>
  <c r="D4" i="21" s="1"/>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D3" i="21" s="1"/>
  <c r="E146" i="2"/>
  <c r="B146" i="2"/>
  <c r="M146" i="2"/>
  <c r="R146" i="2"/>
  <c r="E3" i="21" s="1"/>
  <c r="C142" i="2"/>
  <c r="S142" i="2"/>
  <c r="E142" i="2"/>
  <c r="P142" i="2"/>
  <c r="B142" i="2"/>
  <c r="H142" i="2"/>
  <c r="M142" i="2"/>
  <c r="N142" i="2" s="1"/>
  <c r="O142" i="2" s="1"/>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N46" i="2" s="1"/>
  <c r="O46" i="2" s="1"/>
  <c r="R46" i="2"/>
  <c r="C38" i="2"/>
  <c r="S38" i="2"/>
  <c r="E38" i="2"/>
  <c r="P38" i="2"/>
  <c r="B38" i="2"/>
  <c r="H38" i="2"/>
  <c r="M38" i="2"/>
  <c r="R38" i="2"/>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B149" i="2"/>
  <c r="H149" i="2"/>
  <c r="J149" i="2" s="1"/>
  <c r="K149" i="2" s="1"/>
  <c r="M149" i="2"/>
  <c r="R149" i="2"/>
  <c r="I148" i="2"/>
  <c r="S146" i="2"/>
  <c r="I146" i="2"/>
  <c r="Q145" i="2"/>
  <c r="D143" i="2"/>
  <c r="H143" i="2"/>
  <c r="J143" i="2" s="1"/>
  <c r="M143" i="2"/>
  <c r="N143" i="2" s="1"/>
  <c r="O143" i="2" s="1"/>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N89" i="2" s="1"/>
  <c r="O89" i="2" s="1"/>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E149" i="5" s="1"/>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K132" i="3" s="1"/>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N145" i="3"/>
  <c r="D132" i="3"/>
  <c r="L132" i="3"/>
  <c r="P132" i="3"/>
  <c r="C132" i="3"/>
  <c r="G132" i="3"/>
  <c r="E132" i="5" s="1"/>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R18" i="2"/>
  <c r="M18" i="2"/>
  <c r="H18" i="2"/>
  <c r="J18" i="2" s="1"/>
  <c r="K18" i="2" s="1"/>
  <c r="R15" i="2"/>
  <c r="M15" i="2"/>
  <c r="S13" i="2"/>
  <c r="M13" i="2"/>
  <c r="N13" i="2" s="1"/>
  <c r="O13" i="2" s="1"/>
  <c r="H13" i="2"/>
  <c r="J13" i="2" s="1"/>
  <c r="K13" i="2" s="1"/>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E157" i="5" s="1"/>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D77" i="3"/>
  <c r="L77" i="3"/>
  <c r="P77" i="3"/>
  <c r="M75" i="3"/>
  <c r="O73" i="3"/>
  <c r="J73" i="3"/>
  <c r="K73" i="3" s="1"/>
  <c r="B71" i="3"/>
  <c r="F71" i="3"/>
  <c r="H71" i="3" s="1"/>
  <c r="J71" i="3"/>
  <c r="N71" i="3"/>
  <c r="M70" i="3"/>
  <c r="P67" i="3"/>
  <c r="C66" i="3"/>
  <c r="G66" i="3"/>
  <c r="H66" i="3" s="1"/>
  <c r="O66" i="3"/>
  <c r="M65" i="3"/>
  <c r="G65" i="3"/>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O41" i="3"/>
  <c r="J41" i="3"/>
  <c r="B39" i="3"/>
  <c r="F39" i="3"/>
  <c r="J39" i="3"/>
  <c r="N39" i="3"/>
  <c r="M38" i="3"/>
  <c r="P35" i="3"/>
  <c r="C34" i="3"/>
  <c r="G34" i="3"/>
  <c r="O34" i="3"/>
  <c r="M33" i="3"/>
  <c r="G33" i="3"/>
  <c r="E33" i="5" s="1"/>
  <c r="F33" i="5" s="1"/>
  <c r="G33" i="5" s="1"/>
  <c r="P30" i="3"/>
  <c r="J30" i="3"/>
  <c r="K30" i="3" s="1"/>
  <c r="D29" i="3"/>
  <c r="L29" i="3"/>
  <c r="P29" i="3"/>
  <c r="M27" i="3"/>
  <c r="O25" i="3"/>
  <c r="J25" i="3"/>
  <c r="K25" i="3" s="1"/>
  <c r="B23" i="3"/>
  <c r="F23" i="3"/>
  <c r="H23" i="3" s="1"/>
  <c r="J23" i="3"/>
  <c r="N23" i="3"/>
  <c r="M22" i="3"/>
  <c r="P19" i="3"/>
  <c r="C18" i="3"/>
  <c r="G18" i="3"/>
  <c r="O18" i="3"/>
  <c r="M17" i="3"/>
  <c r="G17" i="3"/>
  <c r="E17" i="5" s="1"/>
  <c r="F17" i="5" s="1"/>
  <c r="G17" i="5" s="1"/>
  <c r="P14" i="3"/>
  <c r="J14" i="3"/>
  <c r="K14" i="3" s="1"/>
  <c r="D13" i="3"/>
  <c r="L13" i="3"/>
  <c r="P13" i="3"/>
  <c r="M11" i="3"/>
  <c r="O9" i="3"/>
  <c r="J9" i="3"/>
  <c r="B7" i="3"/>
  <c r="F7" i="3"/>
  <c r="J7" i="3"/>
  <c r="N7" i="3"/>
  <c r="E166" i="5"/>
  <c r="E116" i="5"/>
  <c r="E109" i="5"/>
  <c r="E103" i="5"/>
  <c r="E101" i="5"/>
  <c r="E93" i="5"/>
  <c r="E92" i="5"/>
  <c r="E84" i="5"/>
  <c r="E71" i="5"/>
  <c r="E68"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47" i="5"/>
  <c r="F47" i="5" s="1"/>
  <c r="G47" i="5" s="1"/>
  <c r="E43" i="5"/>
  <c r="F43" i="5" s="1"/>
  <c r="G43" i="5" s="1"/>
  <c r="E13" i="5"/>
  <c r="F13" i="5" s="1"/>
  <c r="G13" i="5" s="1"/>
  <c r="E7" i="5"/>
  <c r="F7" i="5" s="1"/>
  <c r="G7"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K130" i="3" s="1"/>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N95" i="3"/>
  <c r="M94" i="3"/>
  <c r="B94" i="3"/>
  <c r="N93" i="3"/>
  <c r="I93" i="3"/>
  <c r="K93" i="3" s="1"/>
  <c r="C93" i="3"/>
  <c r="P91" i="3"/>
  <c r="C90" i="3"/>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H42" i="3" s="1"/>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H25" i="3" s="1"/>
  <c r="B25" i="3"/>
  <c r="O23" i="3"/>
  <c r="I23" i="3"/>
  <c r="D23" i="3"/>
  <c r="E23" i="3" s="1"/>
  <c r="P22" i="3"/>
  <c r="J22" i="3"/>
  <c r="D21" i="3"/>
  <c r="L21" i="3"/>
  <c r="P21" i="3"/>
  <c r="M19" i="3"/>
  <c r="C19" i="3"/>
  <c r="E19" i="3" s="1"/>
  <c r="N18" i="3"/>
  <c r="I18" i="3"/>
  <c r="K18" i="3" s="1"/>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L75" i="5"/>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A124" i="7"/>
  <c r="D124" i="6"/>
  <c r="I124" i="6"/>
  <c r="O124" i="6"/>
  <c r="E124" i="6"/>
  <c r="K124" i="6"/>
  <c r="H49" i="5"/>
  <c r="H48" i="5"/>
  <c r="H47" i="5"/>
  <c r="H46" i="5"/>
  <c r="H45" i="5"/>
  <c r="H44" i="5"/>
  <c r="H43" i="5"/>
  <c r="H42" i="5"/>
  <c r="H41" i="5"/>
  <c r="J41" i="5" s="1"/>
  <c r="H40" i="5"/>
  <c r="H39" i="5"/>
  <c r="H38" i="5"/>
  <c r="J38" i="5" s="1"/>
  <c r="H37" i="5"/>
  <c r="H36" i="5"/>
  <c r="H35" i="5"/>
  <c r="L34" i="5"/>
  <c r="H34" i="5"/>
  <c r="H33" i="5"/>
  <c r="H32" i="5"/>
  <c r="J32" i="5" s="1"/>
  <c r="H31" i="5"/>
  <c r="H30" i="5"/>
  <c r="L29" i="5"/>
  <c r="H29" i="5"/>
  <c r="H28" i="5"/>
  <c r="J28" i="5" s="1"/>
  <c r="H27" i="5"/>
  <c r="J27" i="5" s="1"/>
  <c r="H26" i="5"/>
  <c r="H25" i="5"/>
  <c r="H24" i="5"/>
  <c r="H23" i="5"/>
  <c r="H22" i="5"/>
  <c r="H21" i="5"/>
  <c r="J21" i="5" s="1"/>
  <c r="H20" i="5"/>
  <c r="H19" i="5"/>
  <c r="H18" i="5"/>
  <c r="H17" i="5"/>
  <c r="L16" i="5"/>
  <c r="H16" i="5"/>
  <c r="H15" i="5"/>
  <c r="H14" i="5"/>
  <c r="H13" i="5"/>
  <c r="H12" i="5"/>
  <c r="J12" i="5" s="1"/>
  <c r="H11" i="5"/>
  <c r="H10" i="5"/>
  <c r="H9" i="5"/>
  <c r="L8" i="5"/>
  <c r="H8" i="5"/>
  <c r="H7" i="5"/>
  <c r="O189" i="7"/>
  <c r="K189" i="7"/>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A140" i="7"/>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O13" i="12"/>
  <c r="M23" i="12"/>
  <c r="O25" i="12"/>
  <c r="M13" i="12"/>
  <c r="M25" i="12"/>
  <c r="M61" i="12"/>
  <c r="O40" i="12"/>
  <c r="M46" i="12"/>
  <c r="M74" i="12"/>
  <c r="M78" i="12"/>
  <c r="M12" i="12"/>
  <c r="O61" i="12"/>
  <c r="O48" i="12"/>
  <c r="O65" i="12"/>
  <c r="M82" i="12"/>
  <c r="M86" i="12"/>
  <c r="M90" i="12"/>
  <c r="M94" i="12"/>
  <c r="M98" i="12"/>
  <c r="M55" i="12"/>
  <c r="O64" i="12"/>
  <c r="M85" i="12"/>
  <c r="M88" i="12"/>
  <c r="M111" i="12"/>
  <c r="M156" i="12"/>
  <c r="M160" i="12"/>
  <c r="O173" i="12"/>
  <c r="M179" i="12"/>
  <c r="N134" i="12"/>
  <c r="N135" i="12"/>
  <c r="M161" i="12"/>
  <c r="M185" i="12"/>
  <c r="M184" i="12"/>
  <c r="M188" i="12"/>
  <c r="L165"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Q148" i="12"/>
  <c r="D142" i="6"/>
  <c r="H142" i="6"/>
  <c r="L142" i="6"/>
  <c r="O142" i="12" s="1"/>
  <c r="C137" i="6"/>
  <c r="G137" i="6"/>
  <c r="K137" i="6"/>
  <c r="R137" i="12" s="1"/>
  <c r="O137" i="6"/>
  <c r="Q132" i="12"/>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S7" i="12" s="1"/>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L172" i="12" s="1"/>
  <c r="D172" i="6"/>
  <c r="O171" i="6"/>
  <c r="K171" i="6"/>
  <c r="G171" i="6"/>
  <c r="C171" i="6"/>
  <c r="S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S157" i="12"/>
  <c r="L156" i="6"/>
  <c r="O156" i="12" s="1"/>
  <c r="H156" i="6"/>
  <c r="P156" i="12" s="1"/>
  <c r="D156" i="6"/>
  <c r="O155" i="6"/>
  <c r="K155" i="6"/>
  <c r="N155" i="12" s="1"/>
  <c r="G155" i="6"/>
  <c r="C155" i="6"/>
  <c r="Q153" i="12"/>
  <c r="L152" i="6"/>
  <c r="O152" i="12" s="1"/>
  <c r="H152" i="6"/>
  <c r="L152" i="12" s="1"/>
  <c r="D152" i="6"/>
  <c r="O151" i="6"/>
  <c r="K151" i="6"/>
  <c r="G151" i="6"/>
  <c r="C151" i="6"/>
  <c r="L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P117" i="12"/>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35" i="12"/>
  <c r="S127" i="12"/>
  <c r="R127" i="12"/>
  <c r="P119" i="12"/>
  <c r="Q115" i="12"/>
  <c r="S111"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Q91" i="12"/>
  <c r="O89" i="6"/>
  <c r="K89" i="6"/>
  <c r="N89" i="12" s="1"/>
  <c r="G89" i="6"/>
  <c r="C89" i="6"/>
  <c r="L89" i="5" s="1"/>
  <c r="O85" i="6"/>
  <c r="K85" i="6"/>
  <c r="N85" i="12" s="1"/>
  <c r="G85" i="6"/>
  <c r="C85" i="6"/>
  <c r="L85" i="5" s="1"/>
  <c r="P83" i="12"/>
  <c r="O81" i="6"/>
  <c r="K81" i="6"/>
  <c r="R81" i="12" s="1"/>
  <c r="G81" i="6"/>
  <c r="C81" i="6"/>
  <c r="P79" i="12"/>
  <c r="O77" i="6"/>
  <c r="K77" i="6"/>
  <c r="S77" i="12" s="1"/>
  <c r="G77" i="6"/>
  <c r="C77" i="6"/>
  <c r="L77" i="5" s="1"/>
  <c r="O73" i="6"/>
  <c r="K73" i="6"/>
  <c r="R73" i="12" s="1"/>
  <c r="G73" i="6"/>
  <c r="C73" i="6"/>
  <c r="O69" i="6"/>
  <c r="K69" i="6"/>
  <c r="N69" i="12" s="1"/>
  <c r="G69" i="6"/>
  <c r="C69" i="6"/>
  <c r="L69" i="5" s="1"/>
  <c r="M69" i="5" s="1"/>
  <c r="N65" i="6"/>
  <c r="I65" i="6"/>
  <c r="D65" i="6"/>
  <c r="Q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55" i="12"/>
  <c r="R55" i="12"/>
  <c r="P47" i="12"/>
  <c r="P31" i="12"/>
  <c r="O29" i="6"/>
  <c r="K29" i="6"/>
  <c r="G29" i="6"/>
  <c r="R27" i="12"/>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9" i="12" s="1"/>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S13" i="12"/>
  <c r="Q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B190" i="12"/>
  <c r="F190" i="12"/>
  <c r="J190" i="12"/>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D188" i="12"/>
  <c r="B184" i="12"/>
  <c r="F184" i="12"/>
  <c r="N184" i="12"/>
  <c r="D184" i="12"/>
  <c r="B180" i="12"/>
  <c r="F180" i="12"/>
  <c r="D180" i="12"/>
  <c r="B176" i="12"/>
  <c r="F176" i="12"/>
  <c r="N176" i="12"/>
  <c r="D176" i="12"/>
  <c r="M172" i="12"/>
  <c r="E172" i="12"/>
  <c r="E168" i="12"/>
  <c r="E164" i="12"/>
  <c r="C162" i="12"/>
  <c r="G162" i="12"/>
  <c r="D162" i="12"/>
  <c r="L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G171" i="12"/>
  <c r="O167" i="12"/>
  <c r="G167" i="12"/>
  <c r="G163" i="12"/>
  <c r="L160" i="12"/>
  <c r="D160" i="12"/>
  <c r="G159" i="12"/>
  <c r="D156" i="12"/>
  <c r="O155" i="12"/>
  <c r="G155" i="12"/>
  <c r="D152" i="12"/>
  <c r="G151" i="12"/>
  <c r="F150" i="12"/>
  <c r="B150" i="12"/>
  <c r="D148" i="12"/>
  <c r="G147" i="12"/>
  <c r="F146" i="12"/>
  <c r="B146" i="12"/>
  <c r="P144" i="12"/>
  <c r="L144" i="12"/>
  <c r="D144" i="12"/>
  <c r="R142"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S112" i="12"/>
  <c r="B110" i="12"/>
  <c r="F110" i="12"/>
  <c r="R110" i="12"/>
  <c r="D110" i="12"/>
  <c r="S108" i="12"/>
  <c r="B106" i="12"/>
  <c r="F106" i="12"/>
  <c r="D106" i="12"/>
  <c r="B102" i="12"/>
  <c r="F102" i="12"/>
  <c r="N102" i="12"/>
  <c r="D102" i="12"/>
  <c r="D142" i="12"/>
  <c r="B140" i="12"/>
  <c r="F140" i="12"/>
  <c r="C133" i="12"/>
  <c r="G133" i="12"/>
  <c r="D126" i="12"/>
  <c r="B124" i="12"/>
  <c r="F124" i="12"/>
  <c r="D120" i="12"/>
  <c r="P120" i="12"/>
  <c r="B120" i="12"/>
  <c r="F120" i="12"/>
  <c r="D116" i="12"/>
  <c r="B116" i="12"/>
  <c r="F116" i="12"/>
  <c r="D112" i="12"/>
  <c r="P112" i="12"/>
  <c r="B112" i="12"/>
  <c r="F112" i="12"/>
  <c r="N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P134" i="12"/>
  <c r="D133" i="12"/>
  <c r="B132" i="12"/>
  <c r="F132" i="12"/>
  <c r="S126" i="12"/>
  <c r="C126" i="12"/>
  <c r="C125" i="12"/>
  <c r="G125" i="12"/>
  <c r="D124" i="12"/>
  <c r="E120" i="12"/>
  <c r="E116" i="12"/>
  <c r="M112" i="12"/>
  <c r="E112" i="12"/>
  <c r="M108"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P76" i="12"/>
  <c r="E76" i="12"/>
  <c r="D73" i="12"/>
  <c r="B71" i="12"/>
  <c r="F71" i="12"/>
  <c r="D71" i="12"/>
  <c r="G69" i="12"/>
  <c r="R68" i="12"/>
  <c r="D60" i="12"/>
  <c r="L60" i="12"/>
  <c r="P60" i="12"/>
  <c r="B60" i="12"/>
  <c r="G60" i="12"/>
  <c r="E60" i="12"/>
  <c r="Q52" i="12"/>
  <c r="N51" i="12"/>
  <c r="D77" i="12"/>
  <c r="L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R86" i="12"/>
  <c r="N86" i="12"/>
  <c r="F86" i="12"/>
  <c r="D84" i="12"/>
  <c r="D81" i="12"/>
  <c r="B79" i="12"/>
  <c r="F79" i="12"/>
  <c r="E77" i="12"/>
  <c r="P75" i="12"/>
  <c r="E75" i="12"/>
  <c r="N68" i="12"/>
  <c r="C67" i="12"/>
  <c r="G67" i="12"/>
  <c r="S67" i="12"/>
  <c r="B67" i="12"/>
  <c r="E67" i="12"/>
  <c r="N59" i="12"/>
  <c r="B58" i="12"/>
  <c r="F58" i="12"/>
  <c r="N58" i="12"/>
  <c r="R58" i="12"/>
  <c r="C58" i="12"/>
  <c r="H58" i="12"/>
  <c r="S58" i="12"/>
  <c r="E58" i="12"/>
  <c r="K58" i="12"/>
  <c r="D52" i="12"/>
  <c r="L52" i="12"/>
  <c r="P52" i="12"/>
  <c r="E52" i="12"/>
  <c r="B52" i="12"/>
  <c r="G52" i="12"/>
  <c r="M52" i="12"/>
  <c r="S92" i="12"/>
  <c r="G92" i="12"/>
  <c r="G88" i="12"/>
  <c r="G84" i="12"/>
  <c r="C77" i="12"/>
  <c r="C76" i="12"/>
  <c r="G76" i="12"/>
  <c r="D75" i="12"/>
  <c r="D69" i="12"/>
  <c r="L69" i="12"/>
  <c r="P69" i="12"/>
  <c r="B69" i="12"/>
  <c r="F69" i="12"/>
  <c r="D68" i="12"/>
  <c r="E68" i="12"/>
  <c r="S68" i="12"/>
  <c r="B68" i="12"/>
  <c r="G68" i="12"/>
  <c r="M68" i="12"/>
  <c r="Q68" i="12"/>
  <c r="G66" i="12"/>
  <c r="C59" i="12"/>
  <c r="G59" i="12"/>
  <c r="O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N22" i="12"/>
  <c r="R22" i="12"/>
  <c r="G20" i="12"/>
  <c r="D18" i="12"/>
  <c r="B18" i="12"/>
  <c r="F18" i="12"/>
  <c r="G16" i="12"/>
  <c r="D14" i="12"/>
  <c r="B14" i="12"/>
  <c r="F14" i="12"/>
  <c r="G12" i="12"/>
  <c r="D10" i="12"/>
  <c r="B10" i="12"/>
  <c r="F10" i="12"/>
  <c r="G8" i="12"/>
  <c r="C43" i="12"/>
  <c r="G43" i="12"/>
  <c r="S43" i="12"/>
  <c r="D36" i="12"/>
  <c r="L36" i="12"/>
  <c r="P36" i="12"/>
  <c r="E8" i="12"/>
  <c r="B187" i="13"/>
  <c r="F187" i="13"/>
  <c r="D187" i="13"/>
  <c r="B183" i="13"/>
  <c r="F183" i="13"/>
  <c r="D183" i="13"/>
  <c r="B179" i="13"/>
  <c r="F179" i="13"/>
  <c r="D179" i="13"/>
  <c r="G72" i="12"/>
  <c r="C64" i="12"/>
  <c r="C63" i="12"/>
  <c r="G63" i="12"/>
  <c r="O63" i="12"/>
  <c r="D62" i="12"/>
  <c r="D56" i="12"/>
  <c r="N55" i="12"/>
  <c r="D55" i="12"/>
  <c r="B54" i="12"/>
  <c r="F54" i="12"/>
  <c r="N54" i="12"/>
  <c r="R54" i="12"/>
  <c r="C48" i="12"/>
  <c r="C47" i="12"/>
  <c r="G47" i="12"/>
  <c r="O47" i="12"/>
  <c r="D46" i="12"/>
  <c r="R44" i="12"/>
  <c r="G44" i="12"/>
  <c r="E43" i="12"/>
  <c r="D40" i="12"/>
  <c r="D39" i="12"/>
  <c r="B38" i="12"/>
  <c r="F38" i="12"/>
  <c r="O36" i="12"/>
  <c r="E36" i="12"/>
  <c r="E34" i="12"/>
  <c r="M30" i="12"/>
  <c r="E30" i="12"/>
  <c r="M26" i="12"/>
  <c r="E26" i="12"/>
  <c r="E22" i="12"/>
  <c r="M18" i="12"/>
  <c r="E18"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N12" i="12"/>
  <c r="R12" i="12"/>
  <c r="D12" i="12"/>
  <c r="B8" i="12"/>
  <c r="F8" i="12"/>
  <c r="D8" i="12"/>
  <c r="O35" i="12"/>
  <c r="G35" i="12"/>
  <c r="G31" i="12"/>
  <c r="S27" i="12"/>
  <c r="G27" i="12"/>
  <c r="G23" i="12"/>
  <c r="G19" i="12"/>
  <c r="O15" i="12"/>
  <c r="G15" i="12"/>
  <c r="G11"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G3" i="21" s="1"/>
  <c r="F146" i="14"/>
  <c r="B144" i="14"/>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F22" i="14"/>
  <c r="B54" i="14"/>
  <c r="F54" i="14"/>
  <c r="D42" i="14"/>
  <c r="B42" i="14"/>
  <c r="F42" i="14"/>
  <c r="E40" i="14"/>
  <c r="G37"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B24" i="14"/>
  <c r="F24" i="14"/>
  <c r="D24" i="14"/>
  <c r="D20" i="14"/>
  <c r="F18" i="14"/>
  <c r="B18" i="14"/>
  <c r="G18" i="14" s="1"/>
  <c r="D16" i="14"/>
  <c r="F14" i="14"/>
  <c r="B14" i="14"/>
  <c r="G14" i="14" s="1"/>
  <c r="D12" i="14"/>
  <c r="F10" i="14"/>
  <c r="B10" i="14"/>
  <c r="D8" i="14"/>
  <c r="F20" i="14"/>
  <c r="D18" i="14"/>
  <c r="F16" i="14"/>
  <c r="D14" i="14"/>
  <c r="F12" i="14"/>
  <c r="D10" i="14"/>
  <c r="F8" i="14"/>
  <c r="H162" i="3" l="1"/>
  <c r="F12" i="5"/>
  <c r="G12" i="5" s="1"/>
  <c r="E165" i="3"/>
  <c r="I64" i="12"/>
  <c r="K42" i="3"/>
  <c r="E110" i="3"/>
  <c r="F44" i="2"/>
  <c r="C163" i="7"/>
  <c r="M26" i="5"/>
  <c r="M38" i="5"/>
  <c r="M34" i="5"/>
  <c r="E21" i="3"/>
  <c r="K126" i="3"/>
  <c r="E177" i="3"/>
  <c r="P86" i="5"/>
  <c r="M22" i="5"/>
  <c r="E143" i="3"/>
  <c r="G122" i="14"/>
  <c r="G22" i="14"/>
  <c r="G94" i="14"/>
  <c r="M10" i="5"/>
  <c r="J7" i="5"/>
  <c r="J39" i="5"/>
  <c r="H94" i="3"/>
  <c r="E149" i="3"/>
  <c r="J36" i="5"/>
  <c r="H41" i="3"/>
  <c r="K180" i="3"/>
  <c r="P126" i="5"/>
  <c r="C57" i="7"/>
  <c r="D49" i="7"/>
  <c r="M97" i="7"/>
  <c r="E183" i="7"/>
  <c r="P48" i="5"/>
  <c r="H163" i="7"/>
  <c r="J163" i="7"/>
  <c r="J150" i="2"/>
  <c r="K150" i="2" s="1"/>
  <c r="B3" i="21"/>
  <c r="G48" i="2"/>
  <c r="O158" i="12"/>
  <c r="O154" i="12"/>
  <c r="O162" i="12"/>
  <c r="O33" i="12"/>
  <c r="P55" i="12"/>
  <c r="L142" i="5"/>
  <c r="O143" i="12"/>
  <c r="O53" i="12"/>
  <c r="E95" i="5"/>
  <c r="F95" i="5" s="1"/>
  <c r="G95" i="5" s="1"/>
  <c r="E138" i="5"/>
  <c r="L47" i="5"/>
  <c r="L164" i="5"/>
  <c r="E99" i="5"/>
  <c r="F99" i="5" s="1"/>
  <c r="G99" i="5" s="1"/>
  <c r="E142" i="5"/>
  <c r="M36" i="12"/>
  <c r="M51" i="12"/>
  <c r="M147" i="12"/>
  <c r="L95" i="5"/>
  <c r="E85" i="5"/>
  <c r="R52" i="12"/>
  <c r="M169" i="12"/>
  <c r="L32" i="5"/>
  <c r="S40" i="12"/>
  <c r="O150" i="12"/>
  <c r="L154" i="12"/>
  <c r="E159" i="5"/>
  <c r="E141" i="5"/>
  <c r="S39" i="12"/>
  <c r="L156" i="5"/>
  <c r="M156" i="5" s="1"/>
  <c r="E107" i="5"/>
  <c r="L99" i="12"/>
  <c r="N149" i="12"/>
  <c r="L143" i="5"/>
  <c r="M143" i="5" s="1"/>
  <c r="E53" i="5"/>
  <c r="E154" i="5"/>
  <c r="N88" i="2"/>
  <c r="O88" i="2" s="1"/>
  <c r="R35" i="12"/>
  <c r="M50" i="12"/>
  <c r="S31" i="12"/>
  <c r="M138" i="12"/>
  <c r="M175" i="12"/>
  <c r="F119" i="7"/>
  <c r="J120" i="2"/>
  <c r="K120" i="2" s="1"/>
  <c r="Q31" i="12"/>
  <c r="I100" i="7"/>
  <c r="I100" i="12" s="1"/>
  <c r="J40" i="2"/>
  <c r="K40" i="2" s="1"/>
  <c r="E108" i="5"/>
  <c r="M96" i="12"/>
  <c r="Q37" i="12"/>
  <c r="N28" i="12"/>
  <c r="L141" i="5"/>
  <c r="M141" i="5" s="1"/>
  <c r="L117" i="12"/>
  <c r="O131" i="12"/>
  <c r="M121" i="12"/>
  <c r="L31" i="12"/>
  <c r="O174" i="12"/>
  <c r="E133" i="5"/>
  <c r="N47" i="12"/>
  <c r="L39" i="12"/>
  <c r="S46" i="12"/>
  <c r="M100" i="12"/>
  <c r="L153" i="12"/>
  <c r="O123" i="12"/>
  <c r="O97" i="12"/>
  <c r="N188" i="12"/>
  <c r="E158" i="5"/>
  <c r="M39" i="12"/>
  <c r="L55" i="5"/>
  <c r="O85" i="12"/>
  <c r="O115" i="12"/>
  <c r="N180" i="12"/>
  <c r="O144" i="12"/>
  <c r="L119" i="12"/>
  <c r="L31" i="5"/>
  <c r="M176" i="12"/>
  <c r="E48" i="5"/>
  <c r="F48" i="5" s="1"/>
  <c r="G48" i="5" s="1"/>
  <c r="E134" i="5"/>
  <c r="Q41" i="12"/>
  <c r="K21" i="7"/>
  <c r="O112" i="12"/>
  <c r="M180" i="7"/>
  <c r="E32" i="5"/>
  <c r="F32" i="5" s="1"/>
  <c r="G32" i="5" s="1"/>
  <c r="E52" i="5"/>
  <c r="M44" i="12"/>
  <c r="L37" i="5"/>
  <c r="O127" i="12"/>
  <c r="M115" i="12"/>
  <c r="O49" i="12"/>
  <c r="L47" i="12"/>
  <c r="O166" i="12"/>
  <c r="L174" i="12"/>
  <c r="L106" i="5"/>
  <c r="M106" i="5" s="1"/>
  <c r="L134" i="5"/>
  <c r="M134" i="5" s="1"/>
  <c r="L39" i="5"/>
  <c r="L102" i="5"/>
  <c r="L110" i="5"/>
  <c r="L152" i="5"/>
  <c r="M152" i="5" s="1"/>
  <c r="E150" i="5"/>
  <c r="L46" i="5"/>
  <c r="L126" i="5"/>
  <c r="M126" i="5" s="1"/>
  <c r="Q35" i="12"/>
  <c r="Q43" i="12"/>
  <c r="M93" i="12"/>
  <c r="L105" i="12"/>
  <c r="L160" i="5"/>
  <c r="E35" i="5"/>
  <c r="F35" i="5" s="1"/>
  <c r="G35" i="5" s="1"/>
  <c r="E147" i="5"/>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C119" i="7"/>
  <c r="P10" i="5"/>
  <c r="D54" i="7"/>
  <c r="M83" i="5"/>
  <c r="E36" i="3"/>
  <c r="H171" i="3"/>
  <c r="P163" i="5"/>
  <c r="E155" i="7"/>
  <c r="R88" i="12"/>
  <c r="Q138" i="12"/>
  <c r="L89" i="12"/>
  <c r="L155" i="7"/>
  <c r="M54" i="7"/>
  <c r="O68" i="7"/>
  <c r="P105" i="12"/>
  <c r="O54" i="7"/>
  <c r="H155" i="7"/>
  <c r="F73" i="7"/>
  <c r="J55" i="2"/>
  <c r="K55" i="2" s="1"/>
  <c r="J67" i="2"/>
  <c r="K67" i="2" s="1"/>
  <c r="J60" i="2"/>
  <c r="K60" i="2" s="1"/>
  <c r="H54" i="7"/>
  <c r="K54" i="7"/>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B33" i="7"/>
  <c r="H98" i="7"/>
  <c r="N69" i="7"/>
  <c r="K95" i="12"/>
  <c r="F25" i="7"/>
  <c r="L35" i="7"/>
  <c r="M90" i="7"/>
  <c r="H160" i="7"/>
  <c r="H160" i="12" s="1"/>
  <c r="M88" i="5"/>
  <c r="E29" i="5"/>
  <c r="F29" i="5" s="1"/>
  <c r="G29" i="5" s="1"/>
  <c r="N33" i="2"/>
  <c r="O33" i="2" s="1"/>
  <c r="N94" i="2"/>
  <c r="O94" i="2" s="1"/>
  <c r="I98" i="7"/>
  <c r="E80" i="7"/>
  <c r="G117" i="7"/>
  <c r="M164" i="7"/>
  <c r="O13" i="7"/>
  <c r="N68" i="7"/>
  <c r="L183" i="7"/>
  <c r="I13" i="7"/>
  <c r="I13" i="12" s="1"/>
  <c r="K91" i="7"/>
  <c r="G96" i="14"/>
  <c r="N62" i="12"/>
  <c r="Q27" i="12"/>
  <c r="K98" i="7"/>
  <c r="I35" i="7"/>
  <c r="J53" i="7"/>
  <c r="D35" i="7"/>
  <c r="E90" i="3"/>
  <c r="K122" i="3"/>
  <c r="K156" i="3"/>
  <c r="L25" i="7"/>
  <c r="K25" i="12" s="1"/>
  <c r="K20" i="3"/>
  <c r="K88" i="7"/>
  <c r="F134" i="7"/>
  <c r="M158" i="7"/>
  <c r="O155" i="7"/>
  <c r="B183" i="7"/>
  <c r="I96" i="7"/>
  <c r="O88" i="7"/>
  <c r="H134" i="7"/>
  <c r="G35" i="7"/>
  <c r="E28" i="3"/>
  <c r="D33" i="7"/>
  <c r="L104" i="12"/>
  <c r="R24" i="12"/>
  <c r="N156" i="12"/>
  <c r="L135" i="12"/>
  <c r="I90" i="7"/>
  <c r="C98" i="7"/>
  <c r="H13" i="7"/>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F91" i="7"/>
  <c r="N96" i="7"/>
  <c r="G88" i="7"/>
  <c r="I88" i="7"/>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S83" i="12"/>
  <c r="B13" i="7"/>
  <c r="I25" i="7"/>
  <c r="I51" i="7"/>
  <c r="E90" i="7"/>
  <c r="C134" i="7"/>
  <c r="K90" i="7"/>
  <c r="M53" i="7"/>
  <c r="E98" i="7"/>
  <c r="K158" i="3"/>
  <c r="L6" i="3"/>
  <c r="C53" i="7"/>
  <c r="E96" i="7"/>
  <c r="F96" i="7"/>
  <c r="L88" i="7"/>
  <c r="D134" i="7"/>
  <c r="I155" i="7"/>
  <c r="O183" i="7"/>
  <c r="K147" i="3"/>
  <c r="M35" i="7"/>
  <c r="H25" i="7"/>
  <c r="I91" i="7"/>
  <c r="B90" i="7"/>
  <c r="N190" i="2"/>
  <c r="O190" i="2" s="1"/>
  <c r="R47" i="12"/>
  <c r="O103" i="12"/>
  <c r="L101" i="12"/>
  <c r="I117" i="7"/>
  <c r="O25" i="7"/>
  <c r="E53" i="7"/>
  <c r="J90" i="7"/>
  <c r="G90" i="7"/>
  <c r="N25" i="7"/>
  <c r="J98" i="7"/>
  <c r="J157" i="5"/>
  <c r="K95" i="3"/>
  <c r="I6" i="3"/>
  <c r="N113" i="2"/>
  <c r="O113" i="2" s="1"/>
  <c r="K96" i="7"/>
  <c r="J96" i="12" s="1"/>
  <c r="B96" i="7"/>
  <c r="H88" i="7"/>
  <c r="M88" i="7"/>
  <c r="I134" i="7"/>
  <c r="N155" i="7"/>
  <c r="G25" i="7"/>
  <c r="M183" i="7"/>
  <c r="F52" i="2"/>
  <c r="P146" i="12"/>
  <c r="P172" i="12"/>
  <c r="R154" i="12"/>
  <c r="P124" i="12"/>
  <c r="N154" i="12"/>
  <c r="P30" i="12"/>
  <c r="S69" i="12"/>
  <c r="P159" i="5"/>
  <c r="O172" i="12"/>
  <c r="B233" i="2"/>
  <c r="L10" i="7"/>
  <c r="M56" i="5"/>
  <c r="L32" i="12"/>
  <c r="S137" i="12"/>
  <c r="L110" i="12"/>
  <c r="O104" i="12"/>
  <c r="P102" i="12"/>
  <c r="S116" i="12"/>
  <c r="L98" i="12"/>
  <c r="N137" i="12"/>
  <c r="S155" i="12"/>
  <c r="H48" i="3"/>
  <c r="L109" i="12"/>
  <c r="O107" i="12"/>
  <c r="S150" i="12"/>
  <c r="Q124" i="12"/>
  <c r="S162" i="12"/>
  <c r="R145" i="12"/>
  <c r="L108" i="5"/>
  <c r="O105" i="12"/>
  <c r="R100" i="12"/>
  <c r="L107" i="12"/>
  <c r="O153" i="12"/>
  <c r="P157" i="12"/>
  <c r="P123" i="12"/>
  <c r="L100" i="5"/>
  <c r="R131" i="12"/>
  <c r="O121" i="12"/>
  <c r="R148" i="12"/>
  <c r="M173" i="12"/>
  <c r="O151" i="12"/>
  <c r="N160" i="12"/>
  <c r="E117" i="5"/>
  <c r="F117" i="5" s="1"/>
  <c r="G117" i="5" s="1"/>
  <c r="O135" i="12"/>
  <c r="M122" i="12"/>
  <c r="Q112" i="12"/>
  <c r="O109" i="12"/>
  <c r="L121" i="12"/>
  <c r="S124" i="12"/>
  <c r="L124" i="5"/>
  <c r="M124" i="5" s="1"/>
  <c r="L146" i="5"/>
  <c r="M146" i="5" s="1"/>
  <c r="R170" i="12"/>
  <c r="E128" i="5"/>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Q113" i="12"/>
  <c r="L113" i="5"/>
  <c r="M113" i="5" s="1"/>
  <c r="P145" i="12"/>
  <c r="L145" i="5"/>
  <c r="M145" i="5" s="1"/>
  <c r="N120" i="12"/>
  <c r="P139" i="12"/>
  <c r="R165" i="12"/>
  <c r="Q117" i="12"/>
  <c r="S114" i="12"/>
  <c r="L151" i="12"/>
  <c r="E119" i="5"/>
  <c r="S123" i="12"/>
  <c r="P155" i="12"/>
  <c r="L128" i="5"/>
  <c r="M128" i="5" s="1"/>
  <c r="L137" i="12"/>
  <c r="S140" i="12"/>
  <c r="L140" i="5"/>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2"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K15" i="12" s="1"/>
  <c r="D117" i="7"/>
  <c r="C51" i="7"/>
  <c r="D91" i="7"/>
  <c r="J127" i="7"/>
  <c r="E15" i="7"/>
  <c r="L127" i="7"/>
  <c r="D51" i="7"/>
  <c r="C62" i="7"/>
  <c r="B188" i="7"/>
  <c r="H170" i="7"/>
  <c r="J49" i="2"/>
  <c r="K49" i="2" s="1"/>
  <c r="F89" i="2"/>
  <c r="N105" i="2"/>
  <c r="O105" i="2" s="1"/>
  <c r="P108" i="5"/>
  <c r="I15" i="7"/>
  <c r="O8" i="7"/>
  <c r="F51" i="7"/>
  <c r="D16" i="7"/>
  <c r="O24" i="7"/>
  <c r="N91" i="7"/>
  <c r="E60" i="7"/>
  <c r="C84" i="7"/>
  <c r="I118" i="7"/>
  <c r="I170" i="7"/>
  <c r="P36" i="5"/>
  <c r="M16" i="7"/>
  <c r="E52" i="7"/>
  <c r="M38" i="7"/>
  <c r="F38" i="7"/>
  <c r="H65" i="7"/>
  <c r="H65" i="12" s="1"/>
  <c r="C65" i="7"/>
  <c r="I33" i="7"/>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F69" i="7"/>
  <c r="J86" i="5"/>
  <c r="K13" i="3"/>
  <c r="H74" i="3"/>
  <c r="K170" i="7"/>
  <c r="G61" i="2"/>
  <c r="C24" i="7"/>
  <c r="J43" i="7"/>
  <c r="B91" i="7"/>
  <c r="G187" i="2"/>
  <c r="G123" i="14"/>
  <c r="E38" i="7"/>
  <c r="D52" i="7"/>
  <c r="I60" i="7"/>
  <c r="F62" i="7"/>
  <c r="J118" i="7"/>
  <c r="L52" i="7"/>
  <c r="K52" i="12" s="1"/>
  <c r="H86" i="7"/>
  <c r="J169" i="7"/>
  <c r="G33" i="7"/>
  <c r="C4" i="21" s="1"/>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N136" i="2"/>
  <c r="O136" i="2" s="1"/>
  <c r="F86" i="7"/>
  <c r="M170" i="7"/>
  <c r="M52" i="7"/>
  <c r="K127" i="7"/>
  <c r="J127" i="12" s="1"/>
  <c r="E33" i="7"/>
  <c r="L33" i="7"/>
  <c r="Q97" i="12"/>
  <c r="R69" i="12"/>
  <c r="R128" i="12"/>
  <c r="R152" i="12"/>
  <c r="R25" i="12"/>
  <c r="K15" i="7"/>
  <c r="J15" i="12" s="1"/>
  <c r="O38" i="7"/>
  <c r="K118" i="7"/>
  <c r="H117" i="7"/>
  <c r="G188" i="7"/>
  <c r="C170" i="7"/>
  <c r="E27" i="3"/>
  <c r="K164" i="3"/>
  <c r="N85" i="2"/>
  <c r="O85" i="2" s="1"/>
  <c r="F106" i="2"/>
  <c r="P84" i="5"/>
  <c r="K52" i="7"/>
  <c r="J52" i="12" s="1"/>
  <c r="C11" i="7"/>
  <c r="G60" i="7"/>
  <c r="N24" i="7"/>
  <c r="J60" i="7"/>
  <c r="D129" i="7"/>
  <c r="K56" i="3"/>
  <c r="E170" i="3"/>
  <c r="M67" i="5"/>
  <c r="I38" i="7"/>
  <c r="I38" i="12" s="1"/>
  <c r="L65" i="7"/>
  <c r="K65" i="12" s="1"/>
  <c r="O164" i="7"/>
  <c r="H38" i="7"/>
  <c r="J86" i="7"/>
  <c r="I169" i="7"/>
  <c r="C188" i="7"/>
  <c r="J68" i="2"/>
  <c r="K68" i="2" s="1"/>
  <c r="J177" i="2"/>
  <c r="K177" i="2" s="1"/>
  <c r="K65" i="7"/>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9" i="12" s="1"/>
  <c r="N170" i="7"/>
  <c r="K188" i="7"/>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33" i="2"/>
  <c r="O65" i="7"/>
  <c r="M11" i="7"/>
  <c r="B24" i="7"/>
  <c r="L60" i="7"/>
  <c r="K60" i="12" s="1"/>
  <c r="J99" i="7"/>
  <c r="J181" i="7"/>
  <c r="P143" i="5"/>
  <c r="I86" i="7"/>
  <c r="E51" i="7"/>
  <c r="H64" i="3"/>
  <c r="K28" i="3"/>
  <c r="I181" i="7"/>
  <c r="I180" i="12" s="1"/>
  <c r="M33" i="7"/>
  <c r="K129" i="7"/>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G78" i="7"/>
  <c r="F89" i="7"/>
  <c r="H178" i="7"/>
  <c r="G137" i="2"/>
  <c r="F134" i="2"/>
  <c r="O16" i="7"/>
  <c r="E43" i="7"/>
  <c r="K55" i="7"/>
  <c r="E16" i="7"/>
  <c r="C121" i="7"/>
  <c r="C89" i="7"/>
  <c r="E89" i="7"/>
  <c r="F123" i="7"/>
  <c r="M77" i="5"/>
  <c r="H43" i="7"/>
  <c r="G87" i="7"/>
  <c r="D123" i="7"/>
  <c r="C78" i="7"/>
  <c r="B89" i="7"/>
  <c r="N121" i="7"/>
  <c r="D178" i="7"/>
  <c r="K16" i="7"/>
  <c r="J16" i="12" s="1"/>
  <c r="M43" i="7"/>
  <c r="F78" i="7"/>
  <c r="H121" i="7"/>
  <c r="K87" i="7"/>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J140" i="5"/>
  <c r="J178" i="7"/>
  <c r="F81" i="2"/>
  <c r="B16" i="7"/>
  <c r="C55" i="7"/>
  <c r="K121" i="7"/>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F123" i="5"/>
  <c r="G123" i="5" s="1"/>
  <c r="O168" i="12"/>
  <c r="N90" i="12"/>
  <c r="M134" i="12"/>
  <c r="L116" i="12"/>
  <c r="E97" i="5"/>
  <c r="N98" i="7"/>
  <c r="M49" i="7"/>
  <c r="D163" i="7"/>
  <c r="H97" i="7"/>
  <c r="H97" i="12" s="1"/>
  <c r="J180" i="12"/>
  <c r="L97" i="7"/>
  <c r="K97" i="12" s="1"/>
  <c r="N106" i="12"/>
  <c r="H121" i="3"/>
  <c r="H49" i="7"/>
  <c r="G49" i="7"/>
  <c r="O163" i="7"/>
  <c r="O175" i="7"/>
  <c r="P81" i="5"/>
  <c r="G116" i="7"/>
  <c r="P107" i="12"/>
  <c r="L111" i="12"/>
  <c r="O97" i="7"/>
  <c r="C49" i="7"/>
  <c r="K163" i="7"/>
  <c r="E182" i="7"/>
  <c r="L109" i="7"/>
  <c r="J175" i="7"/>
  <c r="F111" i="7"/>
  <c r="P80" i="5"/>
  <c r="G37" i="7"/>
  <c r="I97" i="7"/>
  <c r="D177" i="7"/>
  <c r="G163" i="7"/>
  <c r="I182" i="7"/>
  <c r="I182" i="12" s="1"/>
  <c r="E175" i="7"/>
  <c r="K97" i="7"/>
  <c r="J97" i="12" s="1"/>
  <c r="G175" i="7"/>
  <c r="I116" i="7"/>
  <c r="I116" i="12" s="1"/>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M57" i="7"/>
  <c r="L37" i="7"/>
  <c r="K37" i="12" s="1"/>
  <c r="F175" i="7"/>
  <c r="F154" i="7"/>
  <c r="F116" i="7"/>
  <c r="M171" i="12"/>
  <c r="M39" i="5"/>
  <c r="L57" i="7"/>
  <c r="K57" i="12" s="1"/>
  <c r="E163" i="7"/>
  <c r="I37" i="7"/>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34"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61" i="7"/>
  <c r="H161" i="12" s="1"/>
  <c r="J10" i="7"/>
  <c r="Q149" i="12"/>
  <c r="G26" i="7"/>
  <c r="M118" i="5"/>
  <c r="D131" i="7"/>
  <c r="I70" i="7"/>
  <c r="I70" i="12" s="1"/>
  <c r="E161" i="7"/>
  <c r="J179" i="7"/>
  <c r="H44" i="3"/>
  <c r="K131" i="7"/>
  <c r="M161" i="7"/>
  <c r="M131" i="7"/>
  <c r="M10" i="7"/>
  <c r="C161" i="7"/>
  <c r="O131" i="7"/>
  <c r="K116" i="7"/>
  <c r="C26" i="7"/>
  <c r="G18" i="2"/>
  <c r="J83" i="2"/>
  <c r="K83" i="2" s="1"/>
  <c r="D70" i="7"/>
  <c r="J161" i="7"/>
  <c r="F179" i="7"/>
  <c r="I26" i="7"/>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I47" i="12" s="1"/>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F122" i="7"/>
  <c r="G122" i="7"/>
  <c r="B48" i="7"/>
  <c r="H72" i="3"/>
  <c r="D102" i="7"/>
  <c r="I102" i="7"/>
  <c r="I102" i="12" s="1"/>
  <c r="N102" i="7"/>
  <c r="L102" i="7"/>
  <c r="K102" i="12" s="1"/>
  <c r="F102" i="7"/>
  <c r="M102" i="7"/>
  <c r="C102" i="7"/>
  <c r="G102" i="7"/>
  <c r="K102" i="7"/>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I56" i="7"/>
  <c r="I56" i="12" s="1"/>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J17" i="12" s="1"/>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C3" i="21" s="1"/>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1" i="12"/>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H88"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32" i="2"/>
  <c r="F142" i="5"/>
  <c r="G142" i="5" s="1"/>
  <c r="F154" i="5"/>
  <c r="G154" i="5" s="1"/>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72" i="5"/>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M31" i="5"/>
  <c r="N85" i="7"/>
  <c r="K74" i="12"/>
  <c r="M85" i="7"/>
  <c r="F165" i="5"/>
  <c r="G165" i="5" s="1"/>
  <c r="E181" i="3"/>
  <c r="J76" i="7"/>
  <c r="J120" i="7"/>
  <c r="H120" i="7"/>
  <c r="H120" i="12" s="1"/>
  <c r="G60" i="2"/>
  <c r="M108" i="7"/>
  <c r="C76" i="7"/>
  <c r="N139" i="7"/>
  <c r="J14"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H86"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J54" i="12"/>
  <c r="O76" i="12"/>
  <c r="J120" i="12"/>
  <c r="J118"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3" i="2"/>
  <c r="O164" i="12"/>
  <c r="N171" i="12"/>
  <c r="L176" i="12"/>
  <c r="L185" i="12"/>
  <c r="B231"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L28" i="5"/>
  <c r="M28" i="5" s="1"/>
  <c r="L30" i="5"/>
  <c r="M30" i="5" s="1"/>
  <c r="C231"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J87"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90"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I88"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4"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O99" i="12"/>
  <c r="M183" i="12"/>
  <c r="I169"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M46"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2"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J98" i="12"/>
  <c r="K129" i="12"/>
  <c r="Q39" i="12"/>
  <c r="S119" i="12"/>
  <c r="N147" i="12"/>
  <c r="S147" i="12"/>
  <c r="M150" i="5"/>
  <c r="N168" i="7"/>
  <c r="E80" i="5"/>
  <c r="F80" i="5" s="1"/>
  <c r="G80" i="5" s="1"/>
  <c r="O139" i="7"/>
  <c r="S148" i="12"/>
  <c r="N148" i="12"/>
  <c r="I44" i="7"/>
  <c r="I44" i="12" s="1"/>
  <c r="R99" i="12"/>
  <c r="M61" i="5"/>
  <c r="M140" i="5"/>
  <c r="H107" i="12"/>
  <c r="N126" i="7"/>
  <c r="J20" i="5"/>
  <c r="I145" i="12"/>
  <c r="I159" i="12"/>
  <c r="H163"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M32" i="5"/>
  <c r="J13" i="5"/>
  <c r="K157" i="12"/>
  <c r="I160" i="12"/>
  <c r="H99" i="12"/>
  <c r="K126" i="7"/>
  <c r="J157" i="12"/>
  <c r="C174" i="7"/>
  <c r="F119" i="5"/>
  <c r="G119" i="5" s="1"/>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63" i="12"/>
  <c r="J151" i="12"/>
  <c r="C126" i="7"/>
  <c r="N174" i="7"/>
  <c r="M92" i="5"/>
  <c r="F101" i="5"/>
  <c r="G101" i="5" s="1"/>
  <c r="F134" i="5"/>
  <c r="G134" i="5" s="1"/>
  <c r="H122" i="3"/>
  <c r="H35" i="3"/>
  <c r="E145" i="3"/>
  <c r="N110" i="2"/>
  <c r="O110" i="2" s="1"/>
  <c r="J77" i="2"/>
  <c r="K77" i="2" s="1"/>
  <c r="G130" i="2"/>
  <c r="F56" i="7"/>
  <c r="N28" i="2"/>
  <c r="O28" i="2" s="1"/>
  <c r="G193" i="2"/>
  <c r="C175" i="7"/>
  <c r="N175" i="7"/>
  <c r="G150" i="7"/>
  <c r="J22" i="5"/>
  <c r="I162" i="12"/>
  <c r="I150" i="12"/>
  <c r="I151" i="12"/>
  <c r="N137" i="7"/>
  <c r="J174" i="7"/>
  <c r="J74" i="5"/>
  <c r="M102"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L9" i="7"/>
  <c r="K9" i="12" s="1"/>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J189" i="12"/>
  <c r="D9" i="7"/>
  <c r="J66" i="7"/>
  <c r="F143" i="5"/>
  <c r="G143" i="5" s="1"/>
  <c r="B186" i="7"/>
  <c r="I66" i="7"/>
  <c r="I71" i="12" s="1"/>
  <c r="O186" i="7"/>
  <c r="K146" i="12"/>
  <c r="Q28" i="12"/>
  <c r="L139" i="12"/>
  <c r="L65" i="12"/>
  <c r="N87" i="12"/>
  <c r="N147" i="7"/>
  <c r="I109" i="12"/>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H10" i="12"/>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F158" i="5"/>
  <c r="G158" i="5" s="1"/>
  <c r="G73" i="2"/>
  <c r="G97" i="2"/>
  <c r="G121" i="2"/>
  <c r="F29" i="2"/>
  <c r="O191" i="5"/>
  <c r="O192" i="5" s="1"/>
  <c r="J183" i="2"/>
  <c r="K183" i="2" s="1"/>
  <c r="N68" i="2"/>
  <c r="O68" i="2" s="1"/>
  <c r="M54" i="5"/>
  <c r="P137" i="12"/>
  <c r="F93" i="5"/>
  <c r="G93"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45" i="5"/>
  <c r="G145" i="5" s="1"/>
  <c r="F150" i="5"/>
  <c r="G150" i="5" s="1"/>
  <c r="J160" i="5"/>
  <c r="G171" i="14"/>
  <c r="P50" i="12"/>
  <c r="M123" i="12"/>
  <c r="L74" i="12"/>
  <c r="R40" i="12"/>
  <c r="F76" i="5"/>
  <c r="G76" i="5" s="1"/>
  <c r="M132" i="5"/>
  <c r="H21" i="3"/>
  <c r="H79" i="3"/>
  <c r="H130" i="3"/>
  <c r="E169" i="3"/>
  <c r="H245" i="2"/>
  <c r="N64" i="2"/>
  <c r="O64" i="2" s="1"/>
  <c r="J36" i="2"/>
  <c r="K36" i="2" s="1"/>
  <c r="N40" i="12"/>
  <c r="F81" i="5"/>
  <c r="G81"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Q114" i="12"/>
  <c r="N210" i="6"/>
  <c r="O210" i="6" s="1"/>
  <c r="B210" i="6"/>
  <c r="K210" i="6"/>
  <c r="N167" i="12"/>
  <c r="N101" i="12"/>
  <c r="L78" i="12"/>
  <c r="N53" i="12"/>
  <c r="N82" i="12"/>
  <c r="N74" i="12"/>
  <c r="M54" i="12"/>
  <c r="M40" i="12"/>
  <c r="M32" i="12"/>
  <c r="P7" i="12"/>
  <c r="L38" i="12"/>
  <c r="L15" i="12"/>
  <c r="M37" i="12"/>
  <c r="C12" i="28"/>
  <c r="S82" i="12"/>
  <c r="I114" i="12"/>
  <c r="I132" i="12"/>
  <c r="K126" i="12"/>
  <c r="J121" i="12"/>
  <c r="J113" i="12"/>
  <c r="J119" i="12"/>
  <c r="H136" i="12"/>
  <c r="H119" i="12"/>
  <c r="K53" i="12"/>
  <c r="H53" i="12"/>
  <c r="K49" i="12"/>
  <c r="H41" i="12"/>
  <c r="I26" i="12"/>
  <c r="I18" i="12"/>
  <c r="I10" i="12"/>
  <c r="H27" i="12"/>
  <c r="H19" i="12"/>
  <c r="H11" i="12"/>
  <c r="K56" i="12"/>
  <c r="H25" i="12"/>
  <c r="K30" i="12"/>
  <c r="K22" i="12"/>
  <c r="K14" i="12"/>
  <c r="I33" i="12"/>
  <c r="I17" i="12"/>
  <c r="K33"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B15" i="28" s="1"/>
  <c r="I124" i="7"/>
  <c r="C16" i="28" s="1"/>
  <c r="M124" i="7"/>
  <c r="F124" i="7"/>
  <c r="K124" i="7"/>
  <c r="J124" i="12" s="1"/>
  <c r="B124" i="7"/>
  <c r="G124" i="7"/>
  <c r="L124" i="7"/>
  <c r="K124" i="12" s="1"/>
  <c r="C124" i="7"/>
  <c r="H124" i="7"/>
  <c r="B16" i="28" s="1"/>
  <c r="N124" i="7"/>
  <c r="D124" i="7"/>
  <c r="D18" i="28" s="1"/>
  <c r="J124" i="7"/>
  <c r="O124" i="7"/>
  <c r="K136" i="12"/>
  <c r="J129" i="12"/>
  <c r="I112" i="12"/>
  <c r="K131" i="12"/>
  <c r="H123" i="12"/>
  <c r="H117" i="12"/>
  <c r="K135" i="12"/>
  <c r="I135" i="12"/>
  <c r="I119" i="12"/>
  <c r="H57" i="12"/>
  <c r="J23" i="12"/>
  <c r="J7" i="12"/>
  <c r="H38" i="12"/>
  <c r="J25" i="12"/>
  <c r="J53" i="12"/>
  <c r="J37" i="12"/>
  <c r="H21" i="12"/>
  <c r="J47" i="12"/>
  <c r="J41" i="12"/>
  <c r="H37" i="12"/>
  <c r="I20" i="12"/>
  <c r="I12" i="12"/>
  <c r="I45" i="12"/>
  <c r="I29"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I31" i="12" s="1"/>
  <c r="M32" i="7"/>
  <c r="D32" i="7"/>
  <c r="J32" i="7"/>
  <c r="O32" i="7"/>
  <c r="F32" i="7"/>
  <c r="K32" i="7"/>
  <c r="J32" i="12" s="1"/>
  <c r="B32" i="7"/>
  <c r="G32" i="7"/>
  <c r="L32" i="7"/>
  <c r="K31" i="12" s="1"/>
  <c r="C32" i="7"/>
  <c r="H32" i="7"/>
  <c r="H32" i="12" s="1"/>
  <c r="N32" i="7"/>
  <c r="P45" i="12"/>
  <c r="E210" i="6"/>
  <c r="C210" i="6"/>
  <c r="N151" i="12"/>
  <c r="L61" i="12"/>
  <c r="M45" i="12"/>
  <c r="H191" i="5"/>
  <c r="H192" i="5" s="1"/>
  <c r="J37" i="5"/>
  <c r="K138" i="12"/>
  <c r="H135" i="12"/>
  <c r="J117" i="12"/>
  <c r="I122" i="12"/>
  <c r="K134" i="12"/>
  <c r="J48" i="12"/>
  <c r="H54" i="12"/>
  <c r="H45" i="12"/>
  <c r="I30" i="12"/>
  <c r="I22" i="12"/>
  <c r="I14" i="12"/>
  <c r="H31" i="12"/>
  <c r="H23" i="12"/>
  <c r="H15" i="12"/>
  <c r="H7" i="12"/>
  <c r="H17" i="12"/>
  <c r="H46" i="12"/>
  <c r="K18" i="12"/>
  <c r="K10" i="12"/>
  <c r="I57" i="12"/>
  <c r="I41" i="12"/>
  <c r="I25"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38" i="12"/>
  <c r="I129" i="12"/>
  <c r="H121" i="12"/>
  <c r="H113" i="12"/>
  <c r="J131" i="12"/>
  <c r="H127" i="12"/>
  <c r="K114" i="12"/>
  <c r="I127" i="12"/>
  <c r="H47" i="12"/>
  <c r="I113" i="12"/>
  <c r="K46" i="12"/>
  <c r="I54" i="12"/>
  <c r="J45" i="12"/>
  <c r="J27" i="12"/>
  <c r="J19"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C17" i="28" l="1"/>
  <c r="I125" i="12"/>
  <c r="J188"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I18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89"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4" i="2"/>
  <c r="D234" i="2"/>
  <c r="K54" i="12"/>
  <c r="D7" i="28"/>
  <c r="J66" i="12"/>
  <c r="L191" i="5"/>
  <c r="L192" i="5" s="1"/>
  <c r="M192" i="5" s="1"/>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M191" i="5" l="1"/>
  <c r="J192" i="12"/>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<sst xmlns="http://schemas.openxmlformats.org/spreadsheetml/2006/main" count="3356" uniqueCount="695">
  <si>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</si>
  <si>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</si>
  <si>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</si>
  <si>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</si>
  <si>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</si>
  <si>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</si>
  <si>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</si>
  <si>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</si>
  <si>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</si>
  <si>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</si>
  <si>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</si>
  <si>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</si>
  <si>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</si>
  <si>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</si>
  <si>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</si>
  <si>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</si>
  <si>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</si>
  <si>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</si>
  <si>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</si>
  <si>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</si>
  <si>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</si>
  <si>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</si>
  <si>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</si>
  <si>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</si>
  <si>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</si>
  <si>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</si>
  <si>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</si>
  <si>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</si>
  <si>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</si>
  <si>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</si>
  <si>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</si>
  <si>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</si>
  <si>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</si>
  <si>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</si>
  <si>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</si>
  <si>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</si>
  <si>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</si>
  <si>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</si>
  <si>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</si>
  <si>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</si>
  <si>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</si>
  <si>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</si>
  <si>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</si>
  <si>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</si>
  <si>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</si>
  <si>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</si>
  <si>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</si>
  <si>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</si>
  <si>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</si>
  <si>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</si>
  <si>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</si>
  <si>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</si>
  <si>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</si>
  <si>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</si>
  <si>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</si>
  <si>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</si>
  <si>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</si>
  <si>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</si>
  <si>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</si>
  <si>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</si>
  <si>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</si>
  <si>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</si>
  <si>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</si>
  <si>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</si>
  <si>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</si>
  <si>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</si>
  <si>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</si>
  <si>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</si>
  <si>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</si>
  <si>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</si>
  <si>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</si>
  <si>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</si>
  <si>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</si>
  <si>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</si>
  <si>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</si>
  <si>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</si>
  <si>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</si>
  <si>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</si>
  <si>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</si>
  <si>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</si>
  <si>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</si>
  <si>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</si>
  <si>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</si>
  <si>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</si>
  <si>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</si>
  <si>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</si>
  <si>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</si>
  <si>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</si>
  <si>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</si>
  <si>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</si>
  <si>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</si>
  <si>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</si>
  <si>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</si>
  <si>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</si>
  <si>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</si>
  <si>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</si>
  <si>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</si>
  <si>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</si>
  <si>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</si>
  <si>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</si>
  <si>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</si>
  <si>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</si>
  <si>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</si>
  <si>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</si>
  <si>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</si>
  <si>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</si>
  <si>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</si>
  <si>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</si>
  <si>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</si>
  <si>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</si>
  <si>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</si>
  <si>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</si>
  <si>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</si>
  <si>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</si>
  <si>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</si>
  <si>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</si>
  <si>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</si>
  <si>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</si>
  <si>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</si>
  <si>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</si>
  <si>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</si>
  <si>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</si>
  <si>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</si>
  <si>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</si>
  <si>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</si>
  <si>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</si>
  <si>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</si>
  <si>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</si>
  <si>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</si>
  <si>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</si>
  <si>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</si>
  <si>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</si>
  <si>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</si>
  <si>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</si>
  <si>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</si>
  <si>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</si>
  <si>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</si>
  <si>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</si>
  <si>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</si>
  <si>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</si>
  <si>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</si>
  <si>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</si>
  <si>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</si>
  <si>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</si>
  <si>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</si>
  <si>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</si>
  <si>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</si>
  <si>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</si>
  <si>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</si>
  <si>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</si>
  <si>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</si>
  <si>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</si>
  <si>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</si>
  <si>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</si>
  <si>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</si>
  <si>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</si>
  <si>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</si>
  <si>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</si>
  <si>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</si>
  <si>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</si>
  <si>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</si>
  <si>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</si>
  <si>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</si>
  <si>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</si>
  <si>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</si>
  <si>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</si>
  <si>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</si>
  <si>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</si>
  <si>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</si>
  <si>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</si>
  <si>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</si>
  <si>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</si>
  <si>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</si>
  <si>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</si>
  <si>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</si>
  <si>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</si>
  <si>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</si>
  <si>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</si>
  <si>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</si>
  <si>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</si>
  <si>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</si>
  <si>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</si>
  <si>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</si>
  <si>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</si>
  <si>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</si>
  <si>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</si>
  <si>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</si>
  <si>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</si>
  <si>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</si>
  <si>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</si>
  <si>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</si>
  <si>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</si>
  <si>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</si>
  <si>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</si>
  <si>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</si>
  <si>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</si>
  <si>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</si>
  <si>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</si>
  <si>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</si>
  <si>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</si>
  <si>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</si>
  <si>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</si>
  <si>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</si>
  <si>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</si>
  <si>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</si>
  <si>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</si>
  <si>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</si>
  <si>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</si>
  <si>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</si>
  <si>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</si>
  <si>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</si>
  <si>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</si>
  <si>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</si>
  <si>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</si>
  <si>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</si>
  <si>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</si>
  <si>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</si>
  <si>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</si>
  <si>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</si>
  <si>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</si>
  <si>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</si>
  <si>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</si>
  <si>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</si>
  <si>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</si>
  <si>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</si>
  <si>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</si>
  <si>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</si>
  <si>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</si>
  <si>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</si>
  <si>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</si>
  <si>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</si>
  <si>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</si>
  <si>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</si>
  <si>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</si>
  <si>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</si>
  <si>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</si>
  <si>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</si>
  <si>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</si>
  <si>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</si>
  <si>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</si>
  <si>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</si>
  <si>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</si>
  <si>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</si>
  <si>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</si>
  <si>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</si>
  <si>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</si>
  <si>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</si>
  <si>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</si>
  <si>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</si>
  <si>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</si>
  <si>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</si>
  <si>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</si>
  <si>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</si>
  <si>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</si>
  <si>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</si>
  <si>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</si>
  <si>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</si>
  <si>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</si>
  <si>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</si>
  <si>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</si>
  <si>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</si>
  <si>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</si>
  <si>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</si>
  <si>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</si>
  <si>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</si>
  <si>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</si>
  <si>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</si>
  <si>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</si>
  <si>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</si>
  <si>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</si>
  <si>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</si>
  <si>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</si>
  <si>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</si>
  <si>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</si>
  <si>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</si>
  <si>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</si>
  <si>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</si>
  <si>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</si>
  <si>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</si>
  <si>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</si>
  <si>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</si>
  <si>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</si>
  <si>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</si>
  <si>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</si>
  <si>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</si>
  <si>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</si>
  <si>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</si>
  <si>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</si>
  <si>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</si>
  <si>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</si>
  <si>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</si>
  <si>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</si>
  <si>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</si>
  <si>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</si>
  <si>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</si>
  <si>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</si>
  <si>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</si>
  <si>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</si>
  <si>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</si>
  <si>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</si>
  <si>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</si>
  <si>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</si>
  <si>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</si>
  <si>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</si>
  <si>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</si>
  <si>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</si>
  <si>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</si>
  <si>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</si>
  <si>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</si>
  <si>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</si>
  <si>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</si>
  <si>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</si>
  <si>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</si>
  <si>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</si>
  <si>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</si>
  <si>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</si>
  <si>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</si>
  <si>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</si>
  <si>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</si>
  <si>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</si>
  <si>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</si>
  <si>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</si>
  <si>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</si>
  <si>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</si>
  <si>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</si>
  <si>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</si>
  <si>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</si>
  <si>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</si>
  <si>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</si>
  <si>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</si>
  <si>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</si>
  <si>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</si>
  <si>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</si>
  <si>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</si>
  <si>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</si>
  <si>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</si>
  <si>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</si>
  <si>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</si>
  <si>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</si>
  <si>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</si>
  <si>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</si>
  <si>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</si>
  <si>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</si>
  <si>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</si>
  <si>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</si>
  <si>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</si>
  <si>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</si>
  <si>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</si>
  <si>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</si>
  <si>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</si>
  <si>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</si>
  <si>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</si>
  <si>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</si>
  <si>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</si>
  <si>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</si>
  <si>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</si>
  <si>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</si>
  <si>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</si>
  <si>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</si>
  <si>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</si>
  <si>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</si>
  <si>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</si>
  <si>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</si>
  <si>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</si>
  <si>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</si>
  <si>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</si>
  <si>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</si>
  <si>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</si>
  <si>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</si>
  <si>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</si>
  <si>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</si>
  <si>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</si>
  <si>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</si>
  <si>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</si>
  <si>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</si>
  <si>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</si>
  <si>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</si>
  <si>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</si>
  <si>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</si>
  <si>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</si>
  <si>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</si>
  <si>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</si>
  <si>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</si>
  <si>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</si>
  <si>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</si>
  <si>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</si>
  <si>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</si>
  <si>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</si>
  <si>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</si>
  <si>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</si>
  <si>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</si>
  <si>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</si>
  <si>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</si>
  <si>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</si>
  <si>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</si>
  <si>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</si>
  <si>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</si>
  <si>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</si>
  <si>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</si>
  <si>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</si>
  <si>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</si>
  <si>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</si>
  <si>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</si>
  <si>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</si>
  <si>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</si>
  <si>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</si>
  <si>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</si>
  <si>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</si>
  <si>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</si>
  <si>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</si>
  <si>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</si>
  <si>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</si>
  <si>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</si>
  <si>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</si>
  <si>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</si>
  <si>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</si>
  <si>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</si>
  <si>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</si>
  <si>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</si>
  <si>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</si>
  <si>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</si>
  <si>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</si>
  <si>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</si>
  <si>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</si>
  <si>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</si>
  <si>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</si>
  <si>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</si>
  <si>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</si>
  <si>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</si>
  <si>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</si>
  <si>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</si>
  <si>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</si>
  <si>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</si>
  <si>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</si>
  <si>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</si>
  <si>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</si>
  <si>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</si>
  <si>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</si>
  <si>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</si>
  <si>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</si>
  <si>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</si>
  <si>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</si>
  <si>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</si>
  <si>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</si>
  <si>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</si>
  <si>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</si>
  <si>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</si>
  <si>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</si>
  <si>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</si>
  <si>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</si>
  <si>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</si>
  <si>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</si>
  <si>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</si>
  <si>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</si>
  <si>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</si>
  <si>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</si>
  <si>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</si>
  <si>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</si>
  <si>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</si>
  <si>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</si>
  <si>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</si>
  <si>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</si>
  <si>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</si>
  <si>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</si>
  <si>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</si>
  <si>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</si>
  <si>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</si>
  <si>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</si>
  <si>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</si>
  <si>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</si>
  <si>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</si>
  <si>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</si>
  <si>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</si>
  <si>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</si>
  <si>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</si>
  <si>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</si>
  <si>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</si>
  <si>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</si>
  <si>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</si>
  <si>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</si>
  <si>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</si>
  <si>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</si>
  <si>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</si>
  <si>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</si>
  <si>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</si>
  <si>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</si>
  <si>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</si>
  <si>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</si>
  <si>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</si>
  <si>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</si>
  <si>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</si>
  <si>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</si>
  <si>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</si>
  <si>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</si>
  <si>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</si>
  <si>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</si>
  <si>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</si>
  <si>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</si>
  <si>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</si>
  <si>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</si>
  <si>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</si>
  <si>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</si>
  <si>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</si>
  <si>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</si>
  <si>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</si>
  <si>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</si>
  <si>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</si>
  <si>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</si>
  <si>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</si>
  <si>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</si>
  <si>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</si>
  <si>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</si>
  <si>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</si>
  <si>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</si>
  <si>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</si>
  <si>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</si>
  <si>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</si>
  <si>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</si>
  <si>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</si>
  <si>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</si>
  <si>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</si>
  <si>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</si>
  <si>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</si>
  <si>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</si>
  <si>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</si>
  <si>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</si>
  <si>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</si>
  <si>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</si>
  <si>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</si>
  <si>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</si>
  <si>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</si>
  <si>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</si>
  <si>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</si>
  <si>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</si>
  <si>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</si>
  <si>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</si>
  <si>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</si>
  <si>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</si>
  <si>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</si>
  <si>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</si>
  <si>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</si>
  <si>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</si>
  <si>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</si>
  <si>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</si>
  <si>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</si>
  <si>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</si>
  <si>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</si>
  <si>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</si>
  <si>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</si>
  <si>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</si>
  <si>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</si>
  <si>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</si>
  <si>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</si>
  <si>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</si>
  <si>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</si>
  <si>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</si>
  <si>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</si>
  <si>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</si>
  <si>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</si>
  <si>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</si>
  <si>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</si>
  <si>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</si>
  <si>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</si>
  <si>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</si>
  <si>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</si>
  <si>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</si>
  <si>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</si>
  <si>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</si>
  <si>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</si>
  <si>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</si>
  <si>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</si>
  <si>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</si>
  <si>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</si>
  <si>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</si>
  <si>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</si>
  <si>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</si>
  <si>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</si>
  <si>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</si>
  <si>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</si>
  <si>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</si>
  <si>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</si>
  <si>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</si>
  <si>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</si>
  <si>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</si>
  <si>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</si>
  <si>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</si>
  <si>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</si>
  <si>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</si>
  <si>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</si>
  <si>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</si>
  <si>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</si>
  <si>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</si>
  <si>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</si>
  <si>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</si>
  <si>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</si>
  <si>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</si>
  <si>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</si>
  <si>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</si>
  <si>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</si>
  <si>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</si>
  <si>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</si>
  <si>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</si>
  <si>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</si>
  <si>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</si>
  <si>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</si>
  <si>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</si>
  <si>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</si>
  <si>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</si>
  <si>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</si>
  <si>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</si>
  <si>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</si>
  <si>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</si>
  <si>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</si>
  <si>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</si>
  <si>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</si>
  <si>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</si>
  <si>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</si>
  <si>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</si>
  <si>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</si>
  <si>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</si>
  <si>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</si>
  <si>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</si>
  <si>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</si>
  <si>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</si>
  <si>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</si>
  <si>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</si>
  <si>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</si>
  <si>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</si>
  <si>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</si>
  <si>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</si>
  <si>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</si>
  <si>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</si>
  <si>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</si>
  <si>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</si>
  <si>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</si>
  <si>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</si>
  <si>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</si>
  <si>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</si>
  <si>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</si>
  <si>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</si>
  <si>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</si>
  <si>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</si>
  <si>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</si>
  <si>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</si>
  <si>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</si>
  <si>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</si>
  <si>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</si>
  <si>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</si>
  <si>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</si>
  <si>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</si>
  <si>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</si>
  <si>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</si>
  <si>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</si>
  <si>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</si>
  <si>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</si>
  <si>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</si>
  <si>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</si>
  <si>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</si>
  <si>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</si>
  <si>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</si>
  <si>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</si>
  <si>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</si>
  <si>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</si>
  <si>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</si>
  <si>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</si>
  <si>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</si>
  <si>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</si>
  <si>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</si>
  <si>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</si>
  <si>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</si>
  <si>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</si>
  <si>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</si>
  <si>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</si>
  <si>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</si>
  <si>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</si>
  <si>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</si>
  <si>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</si>
  <si>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</si>
  <si>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</si>
  <si>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</si>
  <si>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</si>
  <si>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</si>
  <si>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</si>
  <si>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</si>
  <si>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</si>
  <si>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</si>
  <si>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</si>
  <si>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</si>
  <si>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</si>
  <si>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</si>
  <si>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</si>
  <si>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</si>
  <si>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</si>
  <si>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</si>
  <si>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F&amp;O Market Trading Kit for 8 Jan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</si>
</sst>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zoomScale="85" zoomScaleNormal="85" workbookViewId="0">
      <pane ySplit="10" topLeftCell="A185" activePane="bottomLeft" state="frozen"/>
      <selection pane="bottomLeft" activeCell="A7" sqref="A7:S7"/>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694</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46029</v>
      </c>
      <c r="D10" s="66">
        <f>'Data Vlaue (Cr)'!A2</f>
        <v>46029</v>
      </c>
      <c r="E10" s="65" t="s">
        <v>322</v>
      </c>
      <c r="F10" s="65" t="s">
        <v>320</v>
      </c>
      <c r="G10" s="65" t="s">
        <v>321</v>
      </c>
      <c r="H10" s="66">
        <f>D10</f>
        <v>46029</v>
      </c>
      <c r="I10" s="65" t="s">
        <v>322</v>
      </c>
      <c r="J10" s="65" t="s">
        <v>323</v>
      </c>
      <c r="K10" s="65" t="s">
        <v>324</v>
      </c>
      <c r="L10" s="66">
        <f>D10</f>
        <v>46029</v>
      </c>
      <c r="M10" s="65" t="s">
        <v>322</v>
      </c>
      <c r="N10" s="65" t="s">
        <v>323</v>
      </c>
      <c r="O10" s="65" t="s">
        <v>324</v>
      </c>
      <c r="P10" s="66">
        <f>D10</f>
        <v>46029</v>
      </c>
      <c r="Q10" s="65" t="s">
        <v>324</v>
      </c>
      <c r="R10" s="66">
        <f>D10</f>
        <v>46029</v>
      </c>
      <c r="S10" s="65" t="s">
        <v>324</v>
      </c>
    </row>
    <row r="11" spans="1:19" x14ac:dyDescent="0.25">
      <c r="A11" s="96" t="str">
        <f>'Data Vlaue (Cr)'!C2</f>
        <v>360ONE</v>
      </c>
      <c r="B11" s="75">
        <f>VLOOKUP($A11,'Data Vlaue (Cr)'!$C:$FB,2)</f>
        <v>500</v>
      </c>
      <c r="C11" s="75">
        <f>VLOOKUP($A11,'Data Vlaue (Cr)'!$C:$FB,8)</f>
        <v>1191.8</v>
      </c>
      <c r="D11" s="75">
        <f>VLOOKUP($A11,'Data Vlaue (Cr)'!$C:$FB,4)</f>
        <v>1198</v>
      </c>
      <c r="E11" s="75">
        <f>VLOOKUP($A11,'Data Vlaue (Cr)'!$C:$FB,5)</f>
        <v>1191.0999999999999</v>
      </c>
      <c r="F11" s="75">
        <f>D11-C11</f>
        <v>6.2000000000000455</v>
      </c>
      <c r="G11" s="75">
        <f>(D11-E11)/D11*100</f>
        <v>0.57595993322204431</v>
      </c>
      <c r="H11" s="75">
        <f>VLOOKUP($A11,'Data Vlaue (Cr)'!$C:$FB,99)</f>
        <v>497</v>
      </c>
      <c r="I11" s="75">
        <f>VLOOKUP($A11,'Data Vlaue (Cr)'!$C:$FB,100)</f>
        <v>511</v>
      </c>
      <c r="J11" s="75">
        <f>H11-I11</f>
        <v>-14</v>
      </c>
      <c r="K11" s="75">
        <f>J11/H11*100</f>
        <v>-2.8169014084507045</v>
      </c>
      <c r="L11" s="75">
        <f>VLOOKUP($A11,'Data Vlaue (Cr)'!$C:$FB,67)</f>
        <v>875</v>
      </c>
      <c r="M11" s="75">
        <f>VLOOKUP($A11,'Data Vlaue (Cr)'!$C:$FB,68)</f>
        <v>391</v>
      </c>
      <c r="N11" s="75">
        <f>L11-M11</f>
        <v>484</v>
      </c>
      <c r="O11" s="75">
        <f>N11/L11*100</f>
        <v>55.314285714285717</v>
      </c>
      <c r="P11" s="75">
        <f>VLOOKUP($A11,'Data Vlaue (Cr)'!$C:$FB,119)</f>
        <v>0.54</v>
      </c>
      <c r="Q11" s="75">
        <f>VLOOKUP($A11,'Data Vlaue (Cr)'!$C:$FB,122)*100</f>
        <v>-1.82</v>
      </c>
      <c r="R11" s="75">
        <f>VLOOKUP($A11,'Data Vlaue (Cr)'!$C:$FB,125)</f>
        <v>0.59</v>
      </c>
      <c r="S11" s="75">
        <f>VLOOKUP($A11,'Data Vlaue (Cr)'!$C:$FB,128)*100</f>
        <v>78.790000000000006</v>
      </c>
    </row>
    <row r="12" spans="1:19" x14ac:dyDescent="0.25">
      <c r="A12" s="96" t="str">
        <f>'Data Vlaue (Cr)'!C3</f>
        <v>ABB</v>
      </c>
      <c r="B12" s="75">
        <f>VLOOKUP($A12,'Data Vlaue (Cr)'!$C:$FB,2)</f>
        <v>125</v>
      </c>
      <c r="C12" s="75">
        <f>VLOOKUP($A12,'Data Vlaue (Cr)'!$C:$FB,8)</f>
        <v>5299</v>
      </c>
      <c r="D12" s="75">
        <f>VLOOKUP($A12,'Data Vlaue (Cr)'!$C:$FB,4)</f>
        <v>5322</v>
      </c>
      <c r="E12" s="75">
        <f>VLOOKUP($A12,'Data Vlaue (Cr)'!$C:$FB,5)</f>
        <v>5247</v>
      </c>
      <c r="F12" s="75">
        <f t="shared" ref="F12:F75" si="0">D12-C12</f>
        <v>23</v>
      </c>
      <c r="G12" s="75">
        <f t="shared" ref="G12:G74" si="1">(D12-E12)/D12*100</f>
        <v>1.4092446448703495</v>
      </c>
      <c r="H12" s="75">
        <f>VLOOKUP($A12,'Data Vlaue (Cr)'!$C:$FB,99)</f>
        <v>1869</v>
      </c>
      <c r="I12" s="75">
        <f>VLOOKUP($A12,'Data Vlaue (Cr)'!$C:$FB,100)</f>
        <v>1716</v>
      </c>
      <c r="J12" s="75">
        <f t="shared" ref="J12:J75" si="2">H12-I12</f>
        <v>153</v>
      </c>
      <c r="K12" s="75">
        <f t="shared" ref="K12:K75" si="3">J12/H12*100</f>
        <v>8.1861958266452657</v>
      </c>
      <c r="L12" s="75">
        <f>VLOOKUP($A12,'Data Vlaue (Cr)'!$C:$FB,67)</f>
        <v>1493</v>
      </c>
      <c r="M12" s="75">
        <f>VLOOKUP($A12,'Data Vlaue (Cr)'!$C:$FB,68)</f>
        <v>864</v>
      </c>
      <c r="N12" s="75">
        <f t="shared" ref="N12:N75" si="4">L12-M12</f>
        <v>629</v>
      </c>
      <c r="O12" s="75">
        <f t="shared" ref="O12:O75" si="5">N12/L12*100</f>
        <v>42.129939718687211</v>
      </c>
      <c r="P12" s="75">
        <f>VLOOKUP($A12,'Data Vlaue (Cr)'!$C:$FB,119)</f>
        <v>0.65</v>
      </c>
      <c r="Q12" s="75">
        <f>VLOOKUP($A12,'Data Vlaue (Cr)'!$C:$FB,122)*100</f>
        <v>-22.62</v>
      </c>
      <c r="R12" s="75">
        <f>VLOOKUP($A12,'Data Vlaue (Cr)'!$C:$FB,125)</f>
        <v>0.22</v>
      </c>
      <c r="S12" s="75">
        <f>VLOOKUP($A12,'Data Vlaue (Cr)'!$C:$FB,128)*100</f>
        <v>10</v>
      </c>
    </row>
    <row r="13" spans="1:19" x14ac:dyDescent="0.25">
      <c r="A13" s="96" t="str">
        <f>'Data Vlaue (Cr)'!C4</f>
        <v>ABCAPITAL</v>
      </c>
      <c r="B13" s="75">
        <f>VLOOKUP($A13,'Data Vlaue (Cr)'!$C:$FB,2)</f>
        <v>3100</v>
      </c>
      <c r="C13" s="75">
        <f>VLOOKUP($A13,'Data Vlaue (Cr)'!$C:$FB,8)</f>
        <v>361.1</v>
      </c>
      <c r="D13" s="75">
        <f>VLOOKUP($A13,'Data Vlaue (Cr)'!$C:$FB,4)</f>
        <v>362.5</v>
      </c>
      <c r="E13" s="75">
        <f>VLOOKUP($A13,'Data Vlaue (Cr)'!$C:$FB,5)</f>
        <v>361.65</v>
      </c>
      <c r="F13" s="75">
        <f t="shared" si="0"/>
        <v>1.3999999999999773</v>
      </c>
      <c r="G13" s="75">
        <f t="shared" si="1"/>
        <v>0.23448275862069592</v>
      </c>
      <c r="H13" s="75">
        <f>VLOOKUP($A13,'Data Vlaue (Cr)'!$C:$FB,99)</f>
        <v>4183</v>
      </c>
      <c r="I13" s="75">
        <f>VLOOKUP($A13,'Data Vlaue (Cr)'!$C:$FB,100)</f>
        <v>4146</v>
      </c>
      <c r="J13" s="75">
        <f t="shared" si="2"/>
        <v>37</v>
      </c>
      <c r="K13" s="75">
        <f t="shared" si="3"/>
        <v>0.88453263208223765</v>
      </c>
      <c r="L13" s="75">
        <f>VLOOKUP($A13,'Data Vlaue (Cr)'!$C:$FB,67)</f>
        <v>1863</v>
      </c>
      <c r="M13" s="75">
        <f>VLOOKUP($A13,'Data Vlaue (Cr)'!$C:$FB,68)</f>
        <v>2261</v>
      </c>
      <c r="N13" s="75">
        <f t="shared" si="4"/>
        <v>-398</v>
      </c>
      <c r="O13" s="75">
        <f t="shared" si="5"/>
        <v>-21.36339237788513</v>
      </c>
      <c r="P13" s="75">
        <f>VLOOKUP($A13,'Data Vlaue (Cr)'!$C:$FB,119)</f>
        <v>0.46</v>
      </c>
      <c r="Q13" s="75">
        <f>VLOOKUP($A13,'Data Vlaue (Cr)'!$C:$FB,122)*100</f>
        <v>6.98</v>
      </c>
      <c r="R13" s="75">
        <f>VLOOKUP($A13,'Data Vlaue (Cr)'!$C:$FB,125)</f>
        <v>0.33</v>
      </c>
      <c r="S13" s="75">
        <f>VLOOKUP($A13,'Data Vlaue (Cr)'!$C:$FB,128)*100</f>
        <v>22.220000000000002</v>
      </c>
    </row>
    <row r="14" spans="1:19" x14ac:dyDescent="0.25">
      <c r="A14" s="96" t="str">
        <f>'Data Vlaue (Cr)'!C5</f>
        <v>ADANIENSOL</v>
      </c>
      <c r="B14" s="75">
        <f>VLOOKUP($A14,'Data Vlaue (Cr)'!$C:$FB,2)</f>
        <v>675</v>
      </c>
      <c r="C14" s="75">
        <f>VLOOKUP($A14,'Data Vlaue (Cr)'!$C:$FB,8)</f>
        <v>1033.5</v>
      </c>
      <c r="D14" s="75">
        <f>VLOOKUP($A14,'Data Vlaue (Cr)'!$C:$FB,4)</f>
        <v>1035.3</v>
      </c>
      <c r="E14" s="75">
        <f>VLOOKUP($A14,'Data Vlaue (Cr)'!$C:$FB,5)</f>
        <v>1046.5</v>
      </c>
      <c r="F14" s="75">
        <f t="shared" si="0"/>
        <v>1.7999999999999545</v>
      </c>
      <c r="G14" s="75">
        <f t="shared" si="1"/>
        <v>-1.0818120351588956</v>
      </c>
      <c r="H14" s="75">
        <f>VLOOKUP($A14,'Data Vlaue (Cr)'!$C:$FB,99)</f>
        <v>2367</v>
      </c>
      <c r="I14" s="75">
        <f>VLOOKUP($A14,'Data Vlaue (Cr)'!$C:$FB,100)</f>
        <v>2362</v>
      </c>
      <c r="J14" s="75">
        <f t="shared" si="2"/>
        <v>5</v>
      </c>
      <c r="K14" s="75">
        <f t="shared" si="3"/>
        <v>0.21123785382340513</v>
      </c>
      <c r="L14" s="75">
        <f>VLOOKUP($A14,'Data Vlaue (Cr)'!$C:$FB,67)</f>
        <v>394</v>
      </c>
      <c r="M14" s="75">
        <f>VLOOKUP($A14,'Data Vlaue (Cr)'!$C:$FB,68)</f>
        <v>525</v>
      </c>
      <c r="N14" s="75">
        <f t="shared" si="4"/>
        <v>-131</v>
      </c>
      <c r="O14" s="75">
        <f>N14/L14*100</f>
        <v>-33.248730964467008</v>
      </c>
      <c r="P14" s="75">
        <f>VLOOKUP($A14,'Data Vlaue (Cr)'!$C:$FB,119)</f>
        <v>0.57999999999999996</v>
      </c>
      <c r="Q14" s="75">
        <f>VLOOKUP($A14,'Data Vlaue (Cr)'!$C:$FB,122)*100</f>
        <v>-1.69</v>
      </c>
      <c r="R14" s="75">
        <f>VLOOKUP($A14,'Data Vlaue (Cr)'!$C:$FB,125)</f>
        <v>0.23</v>
      </c>
      <c r="S14" s="75">
        <f>VLOOKUP($A14,'Data Vlaue (Cr)'!$C:$FB,128)*100</f>
        <v>-58.18</v>
      </c>
    </row>
    <row r="15" spans="1:19" x14ac:dyDescent="0.25">
      <c r="A15" s="96" t="str">
        <f>'Data Vlaue (Cr)'!C6</f>
        <v>ADANIENT</v>
      </c>
      <c r="B15" s="75">
        <f>VLOOKUP($A15,'Data Vlaue (Cr)'!$C:$FB,2)</f>
        <v>309</v>
      </c>
      <c r="C15" s="75">
        <f>VLOOKUP($A15,'Data Vlaue (Cr)'!$C:$FB,8)</f>
        <v>2274.1</v>
      </c>
      <c r="D15" s="75">
        <f>VLOOKUP($A15,'Data Vlaue (Cr)'!$C:$FB,4)</f>
        <v>2284.1</v>
      </c>
      <c r="E15" s="75">
        <f>VLOOKUP($A15,'Data Vlaue (Cr)'!$C:$FB,5)</f>
        <v>2270.5</v>
      </c>
      <c r="F15" s="75">
        <f t="shared" si="0"/>
        <v>10</v>
      </c>
      <c r="G15" s="75">
        <f t="shared" si="1"/>
        <v>0.59542051573923693</v>
      </c>
      <c r="H15" s="75">
        <f>VLOOKUP($A15,'Data Vlaue (Cr)'!$C:$FB,99)</f>
        <v>7821</v>
      </c>
      <c r="I15" s="75">
        <f>VLOOKUP($A15,'Data Vlaue (Cr)'!$C:$FB,100)</f>
        <v>7736</v>
      </c>
      <c r="J15" s="75">
        <f t="shared" si="2"/>
        <v>85</v>
      </c>
      <c r="K15" s="75">
        <f t="shared" si="3"/>
        <v>1.086817542513745</v>
      </c>
      <c r="L15" s="75">
        <f>VLOOKUP($A15,'Data Vlaue (Cr)'!$C:$FB,67)</f>
        <v>2260</v>
      </c>
      <c r="M15" s="75">
        <f>VLOOKUP($A15,'Data Vlaue (Cr)'!$C:$FB,68)</f>
        <v>2299</v>
      </c>
      <c r="N15" s="75">
        <f t="shared" si="4"/>
        <v>-39</v>
      </c>
      <c r="O15" s="75">
        <f t="shared" si="5"/>
        <v>-1.7256637168141593</v>
      </c>
      <c r="P15" s="75">
        <f>VLOOKUP($A15,'Data Vlaue (Cr)'!$C:$FB,119)</f>
        <v>0.85</v>
      </c>
      <c r="Q15" s="75">
        <f>VLOOKUP($A15,'Data Vlaue (Cr)'!$C:$FB,122)*100</f>
        <v>-1.1599999999999999</v>
      </c>
      <c r="R15" s="75">
        <f>VLOOKUP($A15,'Data Vlaue (Cr)'!$C:$FB,125)</f>
        <v>0.41</v>
      </c>
      <c r="S15" s="75">
        <f>VLOOKUP($A15,'Data Vlaue (Cr)'!$C:$FB,128)*100</f>
        <v>-45.33</v>
      </c>
    </row>
    <row r="16" spans="1:19" x14ac:dyDescent="0.25">
      <c r="A16" s="96" t="str">
        <f>'Data Vlaue (Cr)'!C7</f>
        <v>ADANIGREEN</v>
      </c>
      <c r="B16" s="75">
        <f>VLOOKUP($A16,'Data Vlaue (Cr)'!$C:$FB,2)</f>
        <v>600</v>
      </c>
      <c r="C16" s="75">
        <f>VLOOKUP($A16,'Data Vlaue (Cr)'!$C:$FB,8)</f>
        <v>1019.2</v>
      </c>
      <c r="D16" s="75">
        <f>VLOOKUP($A16,'Data Vlaue (Cr)'!$C:$FB,4)</f>
        <v>1022.1</v>
      </c>
      <c r="E16" s="75">
        <f>VLOOKUP($A16,'Data Vlaue (Cr)'!$C:$FB,5)</f>
        <v>1025.3</v>
      </c>
      <c r="F16" s="75">
        <f t="shared" si="0"/>
        <v>2.8999999999999773</v>
      </c>
      <c r="G16" s="75">
        <f t="shared" si="1"/>
        <v>-0.31308091184814907</v>
      </c>
      <c r="H16" s="75">
        <f>VLOOKUP($A16,'Data Vlaue (Cr)'!$C:$FB,99)</f>
        <v>3512</v>
      </c>
      <c r="I16" s="75">
        <f>VLOOKUP($A16,'Data Vlaue (Cr)'!$C:$FB,100)</f>
        <v>3485</v>
      </c>
      <c r="J16" s="75">
        <f t="shared" si="2"/>
        <v>27</v>
      </c>
      <c r="K16" s="75">
        <f t="shared" si="3"/>
        <v>0.76879271070615041</v>
      </c>
      <c r="L16" s="75">
        <f>VLOOKUP($A16,'Data Vlaue (Cr)'!$C:$FB,67)</f>
        <v>527</v>
      </c>
      <c r="M16" s="75">
        <f>VLOOKUP($A16,'Data Vlaue (Cr)'!$C:$FB,68)</f>
        <v>719</v>
      </c>
      <c r="N16" s="75">
        <f t="shared" si="4"/>
        <v>-192</v>
      </c>
      <c r="O16" s="75">
        <f t="shared" si="5"/>
        <v>-36.432637571157493</v>
      </c>
      <c r="P16" s="75">
        <f>VLOOKUP($A16,'Data Vlaue (Cr)'!$C:$FB,119)</f>
        <v>0.6</v>
      </c>
      <c r="Q16" s="75">
        <f>VLOOKUP($A16,'Data Vlaue (Cr)'!$C:$FB,122)*100</f>
        <v>-1.6400000000000001</v>
      </c>
      <c r="R16" s="75">
        <f>VLOOKUP($A16,'Data Vlaue (Cr)'!$C:$FB,125)</f>
        <v>0.24</v>
      </c>
      <c r="S16" s="75">
        <f>VLOOKUP($A16,'Data Vlaue (Cr)'!$C:$FB,128)*100</f>
        <v>-29.409999999999997</v>
      </c>
    </row>
    <row r="17" spans="1:19" x14ac:dyDescent="0.25">
      <c r="A17" s="96" t="str">
        <f>'Data Vlaue (Cr)'!C8</f>
        <v>ADANIPORTS</v>
      </c>
      <c r="B17" s="75">
        <f>VLOOKUP($A17,'Data Vlaue (Cr)'!$C:$FB,2)</f>
        <v>475</v>
      </c>
      <c r="C17" s="75">
        <f>VLOOKUP($A17,'Data Vlaue (Cr)'!$C:$FB,8)</f>
        <v>1465.3</v>
      </c>
      <c r="D17" s="75">
        <f>VLOOKUP($A17,'Data Vlaue (Cr)'!$C:$FB,4)</f>
        <v>1472.2</v>
      </c>
      <c r="E17" s="75">
        <f>VLOOKUP($A17,'Data Vlaue (Cr)'!$C:$FB,5)</f>
        <v>1479</v>
      </c>
      <c r="F17" s="75">
        <f t="shared" si="0"/>
        <v>6.9000000000000909</v>
      </c>
      <c r="G17" s="75">
        <f t="shared" si="1"/>
        <v>-0.46189376443417701</v>
      </c>
      <c r="H17" s="75">
        <f>VLOOKUP($A17,'Data Vlaue (Cr)'!$C:$FB,99)</f>
        <v>5440</v>
      </c>
      <c r="I17" s="75">
        <f>VLOOKUP($A17,'Data Vlaue (Cr)'!$C:$FB,100)</f>
        <v>5307</v>
      </c>
      <c r="J17" s="75">
        <f t="shared" si="2"/>
        <v>133</v>
      </c>
      <c r="K17" s="75">
        <f t="shared" si="3"/>
        <v>2.4448529411764706</v>
      </c>
      <c r="L17" s="75">
        <f>VLOOKUP($A17,'Data Vlaue (Cr)'!$C:$FB,67)</f>
        <v>1999</v>
      </c>
      <c r="M17" s="75">
        <f>VLOOKUP($A17,'Data Vlaue (Cr)'!$C:$FB,68)</f>
        <v>2428</v>
      </c>
      <c r="N17" s="75">
        <f t="shared" si="4"/>
        <v>-429</v>
      </c>
      <c r="O17" s="75">
        <f t="shared" si="5"/>
        <v>-21.460730365182592</v>
      </c>
      <c r="P17" s="75">
        <f>VLOOKUP($A17,'Data Vlaue (Cr)'!$C:$FB,119)</f>
        <v>0.72</v>
      </c>
      <c r="Q17" s="75">
        <f>VLOOKUP($A17,'Data Vlaue (Cr)'!$C:$FB,122)*100</f>
        <v>-4</v>
      </c>
      <c r="R17" s="75">
        <f>VLOOKUP($A17,'Data Vlaue (Cr)'!$C:$FB,125)</f>
        <v>0.59</v>
      </c>
      <c r="S17" s="75">
        <f>VLOOKUP($A17,'Data Vlaue (Cr)'!$C:$FB,128)*100</f>
        <v>0</v>
      </c>
    </row>
    <row r="18" spans="1:19" x14ac:dyDescent="0.25">
      <c r="A18" s="96" t="str">
        <f>'Data Vlaue (Cr)'!C9</f>
        <v>ALKEM</v>
      </c>
      <c r="B18" s="75">
        <f>VLOOKUP($A18,'Data Vlaue (Cr)'!$C:$FB,2)</f>
        <v>125</v>
      </c>
      <c r="C18" s="75">
        <f>VLOOKUP($A18,'Data Vlaue (Cr)'!$C:$FB,8)</f>
        <v>5806.5</v>
      </c>
      <c r="D18" s="75">
        <f>VLOOKUP($A18,'Data Vlaue (Cr)'!$C:$FB,4)</f>
        <v>5824.5</v>
      </c>
      <c r="E18" s="75">
        <f>VLOOKUP($A18,'Data Vlaue (Cr)'!$C:$FB,5)</f>
        <v>5673.5</v>
      </c>
      <c r="F18" s="75">
        <f t="shared" si="0"/>
        <v>18</v>
      </c>
      <c r="G18" s="75">
        <f t="shared" si="1"/>
        <v>2.5924972100609494</v>
      </c>
      <c r="H18" s="75">
        <f>VLOOKUP($A18,'Data Vlaue (Cr)'!$C:$FB,99)</f>
        <v>1087</v>
      </c>
      <c r="I18" s="75">
        <f>VLOOKUP($A18,'Data Vlaue (Cr)'!$C:$FB,100)</f>
        <v>1040</v>
      </c>
      <c r="J18" s="75">
        <f t="shared" si="2"/>
        <v>47</v>
      </c>
      <c r="K18" s="75">
        <f t="shared" si="3"/>
        <v>4.3238270469181233</v>
      </c>
      <c r="L18" s="75">
        <f>VLOOKUP($A18,'Data Vlaue (Cr)'!$C:$FB,67)</f>
        <v>1203</v>
      </c>
      <c r="M18" s="75">
        <f>VLOOKUP($A18,'Data Vlaue (Cr)'!$C:$FB,68)</f>
        <v>380</v>
      </c>
      <c r="N18" s="75">
        <f t="shared" si="4"/>
        <v>823</v>
      </c>
      <c r="O18" s="75">
        <f t="shared" si="5"/>
        <v>68.412302576891108</v>
      </c>
      <c r="P18" s="75">
        <f>VLOOKUP($A18,'Data Vlaue (Cr)'!$C:$FB,119)</f>
        <v>0.71</v>
      </c>
      <c r="Q18" s="75">
        <f>VLOOKUP($A18,'Data Vlaue (Cr)'!$C:$FB,122)*100</f>
        <v>-8.9700000000000006</v>
      </c>
      <c r="R18" s="75">
        <f>VLOOKUP($A18,'Data Vlaue (Cr)'!$C:$FB,125)</f>
        <v>0.17</v>
      </c>
      <c r="S18" s="75">
        <f>VLOOKUP($A18,'Data Vlaue (Cr)'!$C:$FB,128)*100</f>
        <v>-19.05</v>
      </c>
    </row>
    <row r="19" spans="1:19" x14ac:dyDescent="0.25">
      <c r="A19" s="96" t="str">
        <f>'Data Vlaue (Cr)'!C10</f>
        <v>AMBER</v>
      </c>
      <c r="B19" s="75">
        <f>VLOOKUP($A19,'Data Vlaue (Cr)'!$C:$FB,2)</f>
        <v>100</v>
      </c>
      <c r="C19" s="75">
        <f>VLOOKUP($A19,'Data Vlaue (Cr)'!$C:$FB,8)</f>
        <v>6653</v>
      </c>
      <c r="D19" s="75">
        <f>VLOOKUP($A19,'Data Vlaue (Cr)'!$C:$FB,4)</f>
        <v>6673.5</v>
      </c>
      <c r="E19" s="75">
        <f>VLOOKUP($A19,'Data Vlaue (Cr)'!$C:$FB,5)</f>
        <v>6713</v>
      </c>
      <c r="F19" s="75">
        <f t="shared" si="0"/>
        <v>20.5</v>
      </c>
      <c r="G19" s="75">
        <f t="shared" si="1"/>
        <v>-0.59189330935790818</v>
      </c>
      <c r="H19" s="75">
        <f>VLOOKUP($A19,'Data Vlaue (Cr)'!$C:$FB,99)</f>
        <v>1154</v>
      </c>
      <c r="I19" s="75">
        <f>VLOOKUP($A19,'Data Vlaue (Cr)'!$C:$FB,100)</f>
        <v>1120</v>
      </c>
      <c r="J19" s="75">
        <f t="shared" si="2"/>
        <v>34</v>
      </c>
      <c r="K19" s="75">
        <f t="shared" si="3"/>
        <v>2.9462738301559792</v>
      </c>
      <c r="L19" s="75">
        <f>VLOOKUP($A19,'Data Vlaue (Cr)'!$C:$FB,67)</f>
        <v>429</v>
      </c>
      <c r="M19" s="75">
        <f>VLOOKUP($A19,'Data Vlaue (Cr)'!$C:$FB,68)</f>
        <v>921</v>
      </c>
      <c r="N19" s="75">
        <f t="shared" si="4"/>
        <v>-492</v>
      </c>
      <c r="O19" s="75">
        <f t="shared" si="5"/>
        <v>-114.68531468531469</v>
      </c>
      <c r="P19" s="75">
        <f>VLOOKUP($A19,'Data Vlaue (Cr)'!$C:$FB,119)</f>
        <v>0.72</v>
      </c>
      <c r="Q19" s="75">
        <f>VLOOKUP($A19,'Data Vlaue (Cr)'!$C:$FB,122)*100</f>
        <v>-8.86</v>
      </c>
      <c r="R19" s="75">
        <f>VLOOKUP($A19,'Data Vlaue (Cr)'!$C:$FB,125)</f>
        <v>0.48</v>
      </c>
      <c r="S19" s="75">
        <f>VLOOKUP($A19,'Data Vlaue (Cr)'!$C:$FB,128)*100</f>
        <v>-44.83</v>
      </c>
    </row>
    <row r="20" spans="1:19" x14ac:dyDescent="0.25">
      <c r="A20" s="96" t="str">
        <f>'Data Vlaue (Cr)'!C11</f>
        <v>AMBUJACEM</v>
      </c>
      <c r="B20" s="75">
        <f>VLOOKUP($A20,'Data Vlaue (Cr)'!$C:$FB,2)</f>
        <v>1050</v>
      </c>
      <c r="C20" s="75">
        <f>VLOOKUP($A20,'Data Vlaue (Cr)'!$C:$FB,8)</f>
        <v>562</v>
      </c>
      <c r="D20" s="75">
        <f>VLOOKUP($A20,'Data Vlaue (Cr)'!$C:$FB,4)</f>
        <v>564.6</v>
      </c>
      <c r="E20" s="75">
        <f>VLOOKUP($A20,'Data Vlaue (Cr)'!$C:$FB,5)</f>
        <v>564.95000000000005</v>
      </c>
      <c r="F20" s="75">
        <f t="shared" si="0"/>
        <v>2.6000000000000227</v>
      </c>
      <c r="G20" s="75">
        <f t="shared" si="1"/>
        <v>-6.1990789939784401E-2</v>
      </c>
      <c r="H20" s="75">
        <f>VLOOKUP($A20,'Data Vlaue (Cr)'!$C:$FB,99)</f>
        <v>4184</v>
      </c>
      <c r="I20" s="75">
        <f>VLOOKUP($A20,'Data Vlaue (Cr)'!$C:$FB,100)</f>
        <v>4174</v>
      </c>
      <c r="J20" s="75">
        <f t="shared" si="2"/>
        <v>10</v>
      </c>
      <c r="K20" s="75">
        <f t="shared" si="3"/>
        <v>0.23900573613766732</v>
      </c>
      <c r="L20" s="75">
        <f>VLOOKUP($A20,'Data Vlaue (Cr)'!$C:$FB,67)</f>
        <v>706</v>
      </c>
      <c r="M20" s="75">
        <f>VLOOKUP($A20,'Data Vlaue (Cr)'!$C:$FB,68)</f>
        <v>933</v>
      </c>
      <c r="N20" s="75">
        <f t="shared" si="4"/>
        <v>-227</v>
      </c>
      <c r="O20" s="75">
        <f t="shared" si="5"/>
        <v>-32.152974504249293</v>
      </c>
      <c r="P20" s="75">
        <f>VLOOKUP($A20,'Data Vlaue (Cr)'!$C:$FB,119)</f>
        <v>0.9</v>
      </c>
      <c r="Q20" s="75">
        <f>VLOOKUP($A20,'Data Vlaue (Cr)'!$C:$FB,122)*100</f>
        <v>0</v>
      </c>
      <c r="R20" s="75">
        <f>VLOOKUP($A20,'Data Vlaue (Cr)'!$C:$FB,125)</f>
        <v>0.46</v>
      </c>
      <c r="S20" s="75">
        <f>VLOOKUP($A20,'Data Vlaue (Cr)'!$C:$FB,128)*100</f>
        <v>-29.23</v>
      </c>
    </row>
    <row r="21" spans="1:19" x14ac:dyDescent="0.25">
      <c r="A21" s="96" t="str">
        <f>'Data Vlaue (Cr)'!C12</f>
        <v>ANGELONE</v>
      </c>
      <c r="B21" s="75">
        <f>VLOOKUP($A21,'Data Vlaue (Cr)'!$C:$FB,2)</f>
        <v>250</v>
      </c>
      <c r="C21" s="75">
        <f>VLOOKUP($A21,'Data Vlaue (Cr)'!$C:$FB,8)</f>
        <v>2470.6</v>
      </c>
      <c r="D21" s="75">
        <f>VLOOKUP($A21,'Data Vlaue (Cr)'!$C:$FB,4)</f>
        <v>2469.3000000000002</v>
      </c>
      <c r="E21" s="75">
        <f>VLOOKUP($A21,'Data Vlaue (Cr)'!$C:$FB,5)</f>
        <v>2416</v>
      </c>
      <c r="F21" s="75">
        <f t="shared" si="0"/>
        <v>-1.2999999999997272</v>
      </c>
      <c r="G21" s="75">
        <f t="shared" si="1"/>
        <v>2.1585064593204626</v>
      </c>
      <c r="H21" s="75">
        <f>VLOOKUP($A21,'Data Vlaue (Cr)'!$C:$FB,99)</f>
        <v>1956</v>
      </c>
      <c r="I21" s="75">
        <f>VLOOKUP($A21,'Data Vlaue (Cr)'!$C:$FB,100)</f>
        <v>1987</v>
      </c>
      <c r="J21" s="75">
        <f t="shared" si="2"/>
        <v>-31</v>
      </c>
      <c r="K21" s="75">
        <f t="shared" si="3"/>
        <v>-1.5848670756646217</v>
      </c>
      <c r="L21" s="75">
        <f>VLOOKUP($A21,'Data Vlaue (Cr)'!$C:$FB,67)</f>
        <v>1847</v>
      </c>
      <c r="M21" s="75">
        <f>VLOOKUP($A21,'Data Vlaue (Cr)'!$C:$FB,68)</f>
        <v>1557</v>
      </c>
      <c r="N21" s="75">
        <f t="shared" si="4"/>
        <v>290</v>
      </c>
      <c r="O21" s="75">
        <f t="shared" si="5"/>
        <v>15.701136978884678</v>
      </c>
      <c r="P21" s="75">
        <f>VLOOKUP($A21,'Data Vlaue (Cr)'!$C:$FB,119)</f>
        <v>1</v>
      </c>
      <c r="Q21" s="75">
        <f>VLOOKUP($A21,'Data Vlaue (Cr)'!$C:$FB,122)*100</f>
        <v>13.639999999999999</v>
      </c>
      <c r="R21" s="75">
        <f>VLOOKUP($A21,'Data Vlaue (Cr)'!$C:$FB,125)</f>
        <v>0.62</v>
      </c>
      <c r="S21" s="75">
        <f>VLOOKUP($A21,'Data Vlaue (Cr)'!$C:$FB,128)*100</f>
        <v>19.23</v>
      </c>
    </row>
    <row r="22" spans="1:19" x14ac:dyDescent="0.25">
      <c r="A22" s="96" t="str">
        <f>'Data Vlaue (Cr)'!C13</f>
        <v>APLAPOLLO</v>
      </c>
      <c r="B22" s="75">
        <f>VLOOKUP($A22,'Data Vlaue (Cr)'!$C:$FB,2)</f>
        <v>350</v>
      </c>
      <c r="C22" s="75">
        <f>VLOOKUP($A22,'Data Vlaue (Cr)'!$C:$FB,8)</f>
        <v>1949.8</v>
      </c>
      <c r="D22" s="75">
        <f>VLOOKUP($A22,'Data Vlaue (Cr)'!$C:$FB,4)</f>
        <v>1957.5</v>
      </c>
      <c r="E22" s="75">
        <f>VLOOKUP($A22,'Data Vlaue (Cr)'!$C:$FB,5)</f>
        <v>1953.3</v>
      </c>
      <c r="F22" s="75">
        <f t="shared" si="0"/>
        <v>7.7000000000000455</v>
      </c>
      <c r="G22" s="75">
        <f t="shared" si="1"/>
        <v>0.21455938697318241</v>
      </c>
      <c r="H22" s="75">
        <f>VLOOKUP($A22,'Data Vlaue (Cr)'!$C:$FB,99)</f>
        <v>2286</v>
      </c>
      <c r="I22" s="75">
        <f>VLOOKUP($A22,'Data Vlaue (Cr)'!$C:$FB,100)</f>
        <v>2291</v>
      </c>
      <c r="J22" s="75">
        <f t="shared" si="2"/>
        <v>-5</v>
      </c>
      <c r="K22" s="75">
        <f t="shared" si="3"/>
        <v>-0.21872265966754156</v>
      </c>
      <c r="L22" s="75">
        <f>VLOOKUP($A22,'Data Vlaue (Cr)'!$C:$FB,67)</f>
        <v>181</v>
      </c>
      <c r="M22" s="75">
        <f>VLOOKUP($A22,'Data Vlaue (Cr)'!$C:$FB,68)</f>
        <v>349</v>
      </c>
      <c r="N22" s="75">
        <f t="shared" si="4"/>
        <v>-168</v>
      </c>
      <c r="O22" s="75">
        <f t="shared" si="5"/>
        <v>-92.817679558011051</v>
      </c>
      <c r="P22" s="75">
        <f>VLOOKUP($A22,'Data Vlaue (Cr)'!$C:$FB,119)</f>
        <v>0.54</v>
      </c>
      <c r="Q22" s="75">
        <f>VLOOKUP($A22,'Data Vlaue (Cr)'!$C:$FB,122)*100</f>
        <v>0</v>
      </c>
      <c r="R22" s="75">
        <f>VLOOKUP($A22,'Data Vlaue (Cr)'!$C:$FB,125)</f>
        <v>0.22</v>
      </c>
      <c r="S22" s="75">
        <f>VLOOKUP($A22,'Data Vlaue (Cr)'!$C:$FB,128)*100</f>
        <v>-8.33</v>
      </c>
    </row>
    <row r="23" spans="1:19" x14ac:dyDescent="0.25">
      <c r="A23" s="96" t="str">
        <f>'Data Vlaue (Cr)'!C14</f>
        <v>APOLLOHOSP</v>
      </c>
      <c r="B23" s="75">
        <f>VLOOKUP($A23,'Data Vlaue (Cr)'!$C:$FB,2)</f>
        <v>125</v>
      </c>
      <c r="C23" s="75">
        <f>VLOOKUP($A23,'Data Vlaue (Cr)'!$C:$FB,8)</f>
        <v>7447.5</v>
      </c>
      <c r="D23" s="75">
        <f>VLOOKUP($A23,'Data Vlaue (Cr)'!$C:$FB,4)</f>
        <v>7474</v>
      </c>
      <c r="E23" s="75">
        <f>VLOOKUP($A23,'Data Vlaue (Cr)'!$C:$FB,5)</f>
        <v>7365</v>
      </c>
      <c r="F23" s="75">
        <f t="shared" si="0"/>
        <v>26.5</v>
      </c>
      <c r="G23" s="75">
        <f t="shared" si="1"/>
        <v>1.4583890821514585</v>
      </c>
      <c r="H23" s="75">
        <f>VLOOKUP($A23,'Data Vlaue (Cr)'!$C:$FB,99)</f>
        <v>4068</v>
      </c>
      <c r="I23" s="75">
        <f>VLOOKUP($A23,'Data Vlaue (Cr)'!$C:$FB,100)</f>
        <v>3788</v>
      </c>
      <c r="J23" s="75">
        <f t="shared" si="2"/>
        <v>280</v>
      </c>
      <c r="K23" s="75">
        <f t="shared" si="3"/>
        <v>6.8829891838741402</v>
      </c>
      <c r="L23" s="75">
        <f>VLOOKUP($A23,'Data Vlaue (Cr)'!$C:$FB,67)</f>
        <v>8895</v>
      </c>
      <c r="M23" s="75">
        <f>VLOOKUP($A23,'Data Vlaue (Cr)'!$C:$FB,68)</f>
        <v>9503</v>
      </c>
      <c r="N23" s="75">
        <f t="shared" si="4"/>
        <v>-608</v>
      </c>
      <c r="O23" s="75">
        <f t="shared" si="5"/>
        <v>-6.835300730747611</v>
      </c>
      <c r="P23" s="75">
        <f>VLOOKUP($A23,'Data Vlaue (Cr)'!$C:$FB,119)</f>
        <v>0.98</v>
      </c>
      <c r="Q23" s="75">
        <f>VLOOKUP($A23,'Data Vlaue (Cr)'!$C:$FB,122)*100</f>
        <v>15.290000000000001</v>
      </c>
      <c r="R23" s="75">
        <f>VLOOKUP($A23,'Data Vlaue (Cr)'!$C:$FB,125)</f>
        <v>0.39</v>
      </c>
      <c r="S23" s="75">
        <f>VLOOKUP($A23,'Data Vlaue (Cr)'!$C:$FB,128)*100</f>
        <v>21.88</v>
      </c>
    </row>
    <row r="24" spans="1:19" x14ac:dyDescent="0.25">
      <c r="A24" s="96" t="str">
        <f>'Data Vlaue (Cr)'!C15</f>
        <v>ASHOKLEY</v>
      </c>
      <c r="B24" s="75">
        <f>VLOOKUP($A24,'Data Vlaue (Cr)'!$C:$FB,2)</f>
        <v>5000</v>
      </c>
      <c r="C24" s="75">
        <f>VLOOKUP($A24,'Data Vlaue (Cr)'!$C:$FB,8)</f>
        <v>186.12</v>
      </c>
      <c r="D24" s="75">
        <f>VLOOKUP($A24,'Data Vlaue (Cr)'!$C:$FB,4)</f>
        <v>185.76</v>
      </c>
      <c r="E24" s="75">
        <f>VLOOKUP($A24,'Data Vlaue (Cr)'!$C:$FB,5)</f>
        <v>185.97</v>
      </c>
      <c r="F24" s="75">
        <f t="shared" si="0"/>
        <v>-0.36000000000001364</v>
      </c>
      <c r="G24" s="75">
        <f t="shared" si="1"/>
        <v>-0.11304909560723943</v>
      </c>
      <c r="H24" s="75">
        <f>VLOOKUP($A24,'Data Vlaue (Cr)'!$C:$FB,99)</f>
        <v>5157</v>
      </c>
      <c r="I24" s="75">
        <f>VLOOKUP($A24,'Data Vlaue (Cr)'!$C:$FB,100)</f>
        <v>5150</v>
      </c>
      <c r="J24" s="75">
        <f t="shared" si="2"/>
        <v>7</v>
      </c>
      <c r="K24" s="75">
        <f t="shared" si="3"/>
        <v>0.1357378320729106</v>
      </c>
      <c r="L24" s="75">
        <f>VLOOKUP($A24,'Data Vlaue (Cr)'!$C:$FB,67)</f>
        <v>1435</v>
      </c>
      <c r="M24" s="75">
        <f>VLOOKUP($A24,'Data Vlaue (Cr)'!$C:$FB,68)</f>
        <v>1748</v>
      </c>
      <c r="N24" s="75">
        <f t="shared" si="4"/>
        <v>-313</v>
      </c>
      <c r="O24" s="75">
        <f t="shared" si="5"/>
        <v>-21.811846689895471</v>
      </c>
      <c r="P24" s="75">
        <f>VLOOKUP($A24,'Data Vlaue (Cr)'!$C:$FB,119)</f>
        <v>0.73</v>
      </c>
      <c r="Q24" s="75">
        <f>VLOOKUP($A24,'Data Vlaue (Cr)'!$C:$FB,122)*100</f>
        <v>1.39</v>
      </c>
      <c r="R24" s="75">
        <f>VLOOKUP($A24,'Data Vlaue (Cr)'!$C:$FB,125)</f>
        <v>0.59</v>
      </c>
      <c r="S24" s="75">
        <f>VLOOKUP($A24,'Data Vlaue (Cr)'!$C:$FB,128)*100</f>
        <v>47.5</v>
      </c>
    </row>
    <row r="25" spans="1:19" x14ac:dyDescent="0.25">
      <c r="A25" s="96" t="str">
        <f>'Data Vlaue (Cr)'!C16</f>
        <v>ASIANPAINT</v>
      </c>
      <c r="B25" s="75">
        <f>VLOOKUP($A25,'Data Vlaue (Cr)'!$C:$FB,2)</f>
        <v>250</v>
      </c>
      <c r="C25" s="75">
        <f>VLOOKUP($A25,'Data Vlaue (Cr)'!$C:$FB,8)</f>
        <v>2809.4</v>
      </c>
      <c r="D25" s="75">
        <f>VLOOKUP($A25,'Data Vlaue (Cr)'!$C:$FB,4)</f>
        <v>2811.8</v>
      </c>
      <c r="E25" s="75">
        <f>VLOOKUP($A25,'Data Vlaue (Cr)'!$C:$FB,5)</f>
        <v>2850.5</v>
      </c>
      <c r="F25" s="75">
        <f t="shared" si="0"/>
        <v>2.4000000000000909</v>
      </c>
      <c r="G25" s="75">
        <f t="shared" si="1"/>
        <v>-1.3763425563695788</v>
      </c>
      <c r="H25" s="75">
        <f>VLOOKUP($A25,'Data Vlaue (Cr)'!$C:$FB,99)</f>
        <v>5855</v>
      </c>
      <c r="I25" s="75">
        <f>VLOOKUP($A25,'Data Vlaue (Cr)'!$C:$FB,100)</f>
        <v>5763</v>
      </c>
      <c r="J25" s="75">
        <f t="shared" si="2"/>
        <v>92</v>
      </c>
      <c r="K25" s="75">
        <f t="shared" si="3"/>
        <v>1.5713065755764304</v>
      </c>
      <c r="L25" s="75">
        <f>VLOOKUP($A25,'Data Vlaue (Cr)'!$C:$FB,67)</f>
        <v>2578</v>
      </c>
      <c r="M25" s="75">
        <f>VLOOKUP($A25,'Data Vlaue (Cr)'!$C:$FB,68)</f>
        <v>3538</v>
      </c>
      <c r="N25" s="75">
        <f t="shared" si="4"/>
        <v>-960</v>
      </c>
      <c r="O25" s="75">
        <f t="shared" si="5"/>
        <v>-37.238169123351433</v>
      </c>
      <c r="P25" s="75">
        <f>VLOOKUP($A25,'Data Vlaue (Cr)'!$C:$FB,119)</f>
        <v>0.73</v>
      </c>
      <c r="Q25" s="75">
        <f>VLOOKUP($A25,'Data Vlaue (Cr)'!$C:$FB,122)*100</f>
        <v>1.39</v>
      </c>
      <c r="R25" s="75">
        <f>VLOOKUP($A25,'Data Vlaue (Cr)'!$C:$FB,125)</f>
        <v>0.59</v>
      </c>
      <c r="S25" s="75">
        <f>VLOOKUP($A25,'Data Vlaue (Cr)'!$C:$FB,128)*100</f>
        <v>22.919999999999998</v>
      </c>
    </row>
    <row r="26" spans="1:19" x14ac:dyDescent="0.25">
      <c r="A26" s="96" t="str">
        <f>'Data Vlaue (Cr)'!C17</f>
        <v>ASTRAL</v>
      </c>
      <c r="B26" s="75">
        <f>VLOOKUP($A26,'Data Vlaue (Cr)'!$C:$FB,2)</f>
        <v>425</v>
      </c>
      <c r="C26" s="75">
        <f>VLOOKUP($A26,'Data Vlaue (Cr)'!$C:$FB,8)</f>
        <v>1502.6</v>
      </c>
      <c r="D26" s="75">
        <f>VLOOKUP($A26,'Data Vlaue (Cr)'!$C:$FB,4)</f>
        <v>1503.7</v>
      </c>
      <c r="E26" s="75">
        <f>VLOOKUP($A26,'Data Vlaue (Cr)'!$C:$FB,5)</f>
        <v>1493.1</v>
      </c>
      <c r="F26" s="75">
        <f t="shared" si="0"/>
        <v>1.1000000000001364</v>
      </c>
      <c r="G26" s="75">
        <f t="shared" si="1"/>
        <v>0.70492784464987268</v>
      </c>
      <c r="H26" s="75">
        <f>VLOOKUP($A26,'Data Vlaue (Cr)'!$C:$FB,99)</f>
        <v>1721</v>
      </c>
      <c r="I26" s="75">
        <f>VLOOKUP($A26,'Data Vlaue (Cr)'!$C:$FB,100)</f>
        <v>1696</v>
      </c>
      <c r="J26" s="75">
        <f t="shared" si="2"/>
        <v>25</v>
      </c>
      <c r="K26" s="75">
        <f t="shared" si="3"/>
        <v>1.4526438117373621</v>
      </c>
      <c r="L26" s="75">
        <f>VLOOKUP($A26,'Data Vlaue (Cr)'!$C:$FB,67)</f>
        <v>1480</v>
      </c>
      <c r="M26" s="75">
        <f>VLOOKUP($A26,'Data Vlaue (Cr)'!$C:$FB,68)</f>
        <v>502</v>
      </c>
      <c r="N26" s="75">
        <f t="shared" si="4"/>
        <v>978</v>
      </c>
      <c r="O26" s="75">
        <f t="shared" si="5"/>
        <v>66.081081081081081</v>
      </c>
      <c r="P26" s="75">
        <f>VLOOKUP($A26,'Data Vlaue (Cr)'!$C:$FB,119)</f>
        <v>0.76</v>
      </c>
      <c r="Q26" s="75">
        <f>VLOOKUP($A26,'Data Vlaue (Cr)'!$C:$FB,122)*100</f>
        <v>0</v>
      </c>
      <c r="R26" s="75">
        <f>VLOOKUP($A26,'Data Vlaue (Cr)'!$C:$FB,125)</f>
        <v>0.52</v>
      </c>
      <c r="S26" s="75">
        <f>VLOOKUP($A26,'Data Vlaue (Cr)'!$C:$FB,128)*100</f>
        <v>1.96</v>
      </c>
    </row>
    <row r="27" spans="1:19" x14ac:dyDescent="0.25">
      <c r="A27" s="96" t="str">
        <f>'Data Vlaue (Cr)'!C18</f>
        <v>AUBANK</v>
      </c>
      <c r="B27" s="75">
        <f>VLOOKUP($A27,'Data Vlaue (Cr)'!$C:$FB,2)</f>
        <v>1000</v>
      </c>
      <c r="C27" s="75">
        <f>VLOOKUP($A27,'Data Vlaue (Cr)'!$C:$FB,8)</f>
        <v>1004.55</v>
      </c>
      <c r="D27" s="75">
        <f>VLOOKUP($A27,'Data Vlaue (Cr)'!$C:$FB,4)</f>
        <v>1007.9</v>
      </c>
      <c r="E27" s="75">
        <f>VLOOKUP($A27,'Data Vlaue (Cr)'!$C:$FB,5)</f>
        <v>1013.9</v>
      </c>
      <c r="F27" s="75">
        <f t="shared" si="0"/>
        <v>3.3500000000000227</v>
      </c>
      <c r="G27" s="75">
        <f t="shared" si="1"/>
        <v>-0.59529715249528725</v>
      </c>
      <c r="H27" s="75">
        <f>VLOOKUP($A27,'Data Vlaue (Cr)'!$C:$FB,99)</f>
        <v>2930</v>
      </c>
      <c r="I27" s="75">
        <f>VLOOKUP($A27,'Data Vlaue (Cr)'!$C:$FB,100)</f>
        <v>2907</v>
      </c>
      <c r="J27" s="75">
        <f t="shared" si="2"/>
        <v>23</v>
      </c>
      <c r="K27" s="75">
        <f t="shared" si="3"/>
        <v>0.78498293515358364</v>
      </c>
      <c r="L27" s="75">
        <f>VLOOKUP($A27,'Data Vlaue (Cr)'!$C:$FB,67)</f>
        <v>757</v>
      </c>
      <c r="M27" s="75">
        <f>VLOOKUP($A27,'Data Vlaue (Cr)'!$C:$FB,68)</f>
        <v>781</v>
      </c>
      <c r="N27" s="75">
        <f t="shared" si="4"/>
        <v>-24</v>
      </c>
      <c r="O27" s="75">
        <f t="shared" si="5"/>
        <v>-3.1704095112285335</v>
      </c>
      <c r="P27" s="75">
        <f>VLOOKUP($A27,'Data Vlaue (Cr)'!$C:$FB,119)</f>
        <v>0.7</v>
      </c>
      <c r="Q27" s="75">
        <f>VLOOKUP($A27,'Data Vlaue (Cr)'!$C:$FB,122)*100</f>
        <v>-7.89</v>
      </c>
      <c r="R27" s="75">
        <f>VLOOKUP($A27,'Data Vlaue (Cr)'!$C:$FB,125)</f>
        <v>0.62</v>
      </c>
      <c r="S27" s="75">
        <f>VLOOKUP($A27,'Data Vlaue (Cr)'!$C:$FB,128)*100</f>
        <v>-13.889999999999999</v>
      </c>
    </row>
    <row r="28" spans="1:19" x14ac:dyDescent="0.25">
      <c r="A28" s="96" t="str">
        <f>'Data Vlaue (Cr)'!C19</f>
        <v>AUROPHARMA</v>
      </c>
      <c r="B28" s="75">
        <f>VLOOKUP($A28,'Data Vlaue (Cr)'!$C:$FB,2)</f>
        <v>550</v>
      </c>
      <c r="C28" s="75">
        <f>VLOOKUP($A28,'Data Vlaue (Cr)'!$C:$FB,8)</f>
        <v>1235.4000000000001</v>
      </c>
      <c r="D28" s="75">
        <f>VLOOKUP($A28,'Data Vlaue (Cr)'!$C:$FB,4)</f>
        <v>1241.5999999999999</v>
      </c>
      <c r="E28" s="75">
        <f>VLOOKUP($A28,'Data Vlaue (Cr)'!$C:$FB,5)</f>
        <v>1237.5999999999999</v>
      </c>
      <c r="F28" s="75">
        <f t="shared" si="0"/>
        <v>6.1999999999998181</v>
      </c>
      <c r="G28" s="75">
        <f t="shared" si="1"/>
        <v>0.32216494845360827</v>
      </c>
      <c r="H28" s="75">
        <f>VLOOKUP($A28,'Data Vlaue (Cr)'!$C:$FB,99)</f>
        <v>3817</v>
      </c>
      <c r="I28" s="75">
        <f>VLOOKUP($A28,'Data Vlaue (Cr)'!$C:$FB,100)</f>
        <v>3574</v>
      </c>
      <c r="J28" s="75">
        <f t="shared" si="2"/>
        <v>243</v>
      </c>
      <c r="K28" s="75">
        <f t="shared" si="3"/>
        <v>6.3662562221640036</v>
      </c>
      <c r="L28" s="75">
        <f>VLOOKUP($A28,'Data Vlaue (Cr)'!$C:$FB,67)</f>
        <v>3489</v>
      </c>
      <c r="M28" s="75">
        <f>VLOOKUP($A28,'Data Vlaue (Cr)'!$C:$FB,68)</f>
        <v>1708</v>
      </c>
      <c r="N28" s="75">
        <f t="shared" si="4"/>
        <v>1781</v>
      </c>
      <c r="O28" s="75">
        <f t="shared" si="5"/>
        <v>51.046145027228427</v>
      </c>
      <c r="P28" s="75">
        <f>VLOOKUP($A28,'Data Vlaue (Cr)'!$C:$FB,119)</f>
        <v>0.54</v>
      </c>
      <c r="Q28" s="75">
        <f>VLOOKUP($A28,'Data Vlaue (Cr)'!$C:$FB,122)*100</f>
        <v>-8.4699999999999989</v>
      </c>
      <c r="R28" s="75">
        <f>VLOOKUP($A28,'Data Vlaue (Cr)'!$C:$FB,125)</f>
        <v>0.26</v>
      </c>
      <c r="S28" s="75">
        <f>VLOOKUP($A28,'Data Vlaue (Cr)'!$C:$FB,128)*100</f>
        <v>-16.13</v>
      </c>
    </row>
    <row r="29" spans="1:19" x14ac:dyDescent="0.25">
      <c r="A29" s="96" t="str">
        <f>'Data Vlaue (Cr)'!C20</f>
        <v>AXISBANK</v>
      </c>
      <c r="B29" s="75">
        <f>VLOOKUP($A29,'Data Vlaue (Cr)'!$C:$FB,2)</f>
        <v>625</v>
      </c>
      <c r="C29" s="75">
        <f>VLOOKUP($A29,'Data Vlaue (Cr)'!$C:$FB,8)</f>
        <v>1295.5</v>
      </c>
      <c r="D29" s="75">
        <f>VLOOKUP($A29,'Data Vlaue (Cr)'!$C:$FB,4)</f>
        <v>1297.8</v>
      </c>
      <c r="E29" s="75">
        <f>VLOOKUP($A29,'Data Vlaue (Cr)'!$C:$FB,5)</f>
        <v>1296.8</v>
      </c>
      <c r="F29" s="75">
        <f t="shared" si="0"/>
        <v>2.2999999999999545</v>
      </c>
      <c r="G29" s="75">
        <f t="shared" si="1"/>
        <v>7.705347511172754E-2</v>
      </c>
      <c r="H29" s="75">
        <f>VLOOKUP($A29,'Data Vlaue (Cr)'!$C:$FB,99)</f>
        <v>15096</v>
      </c>
      <c r="I29" s="75">
        <f>VLOOKUP($A29,'Data Vlaue (Cr)'!$C:$FB,100)</f>
        <v>14682</v>
      </c>
      <c r="J29" s="75">
        <f t="shared" si="2"/>
        <v>414</v>
      </c>
      <c r="K29" s="75">
        <f t="shared" si="3"/>
        <v>2.7424483306836245</v>
      </c>
      <c r="L29" s="75">
        <f>VLOOKUP($A29,'Data Vlaue (Cr)'!$C:$FB,67)</f>
        <v>5374</v>
      </c>
      <c r="M29" s="75">
        <f>VLOOKUP($A29,'Data Vlaue (Cr)'!$C:$FB,68)</f>
        <v>9889</v>
      </c>
      <c r="N29" s="75">
        <f t="shared" si="4"/>
        <v>-4515</v>
      </c>
      <c r="O29" s="75">
        <f t="shared" si="5"/>
        <v>-84.015630815035365</v>
      </c>
      <c r="P29" s="75">
        <f>VLOOKUP($A29,'Data Vlaue (Cr)'!$C:$FB,119)</f>
        <v>0.55000000000000004</v>
      </c>
      <c r="Q29" s="75">
        <f>VLOOKUP($A29,'Data Vlaue (Cr)'!$C:$FB,122)*100</f>
        <v>-5.17</v>
      </c>
      <c r="R29" s="75">
        <f>VLOOKUP($A29,'Data Vlaue (Cr)'!$C:$FB,125)</f>
        <v>0.56000000000000005</v>
      </c>
      <c r="S29" s="75">
        <f>VLOOKUP($A29,'Data Vlaue (Cr)'!$C:$FB,128)*100</f>
        <v>24.44</v>
      </c>
    </row>
    <row r="30" spans="1:19" x14ac:dyDescent="0.25">
      <c r="A30" s="96" t="str">
        <f>'Data Vlaue (Cr)'!C21</f>
        <v>BAJAJ-AUTO</v>
      </c>
      <c r="B30" s="75">
        <f>VLOOKUP($A30,'Data Vlaue (Cr)'!$C:$FB,2)</f>
        <v>75</v>
      </c>
      <c r="C30" s="75">
        <f>VLOOKUP($A30,'Data Vlaue (Cr)'!$C:$FB,8)</f>
        <v>9789.5</v>
      </c>
      <c r="D30" s="75">
        <f>VLOOKUP($A30,'Data Vlaue (Cr)'!$C:$FB,4)</f>
        <v>9802.5</v>
      </c>
      <c r="E30" s="75">
        <f>VLOOKUP($A30,'Data Vlaue (Cr)'!$C:$FB,5)</f>
        <v>9686</v>
      </c>
      <c r="F30" s="75">
        <f t="shared" si="0"/>
        <v>13</v>
      </c>
      <c r="G30" s="75">
        <f t="shared" si="1"/>
        <v>1.1884723284876306</v>
      </c>
      <c r="H30" s="75">
        <f>VLOOKUP($A30,'Data Vlaue (Cr)'!$C:$FB,99)</f>
        <v>6229</v>
      </c>
      <c r="I30" s="75">
        <f>VLOOKUP($A30,'Data Vlaue (Cr)'!$C:$FB,100)</f>
        <v>5856</v>
      </c>
      <c r="J30" s="75">
        <f t="shared" si="2"/>
        <v>373</v>
      </c>
      <c r="K30" s="75">
        <f t="shared" si="3"/>
        <v>5.988120083480494</v>
      </c>
      <c r="L30" s="75">
        <f>VLOOKUP($A30,'Data Vlaue (Cr)'!$C:$FB,67)</f>
        <v>5822</v>
      </c>
      <c r="M30" s="75">
        <f>VLOOKUP($A30,'Data Vlaue (Cr)'!$C:$FB,68)</f>
        <v>9767</v>
      </c>
      <c r="N30" s="75">
        <f t="shared" si="4"/>
        <v>-3945</v>
      </c>
      <c r="O30" s="75">
        <f t="shared" si="5"/>
        <v>-67.760219855719683</v>
      </c>
      <c r="P30" s="75">
        <f>VLOOKUP($A30,'Data Vlaue (Cr)'!$C:$FB,119)</f>
        <v>0.82</v>
      </c>
      <c r="Q30" s="75">
        <f>VLOOKUP($A30,'Data Vlaue (Cr)'!$C:$FB,122)*100</f>
        <v>5.13</v>
      </c>
      <c r="R30" s="75">
        <f>VLOOKUP($A30,'Data Vlaue (Cr)'!$C:$FB,125)</f>
        <v>0.56000000000000005</v>
      </c>
      <c r="S30" s="75">
        <f>VLOOKUP($A30,'Data Vlaue (Cr)'!$C:$FB,128)*100</f>
        <v>24.44</v>
      </c>
    </row>
    <row r="31" spans="1:19" x14ac:dyDescent="0.25">
      <c r="A31" s="96" t="str">
        <f>'Data Vlaue (Cr)'!C22</f>
        <v>BAJAJFINSV</v>
      </c>
      <c r="B31" s="75">
        <f>VLOOKUP($A31,'Data Vlaue (Cr)'!$C:$FB,2)</f>
        <v>250</v>
      </c>
      <c r="C31" s="75">
        <f>VLOOKUP($A31,'Data Vlaue (Cr)'!$C:$FB,8)</f>
        <v>2031.9</v>
      </c>
      <c r="D31" s="75">
        <f>VLOOKUP($A31,'Data Vlaue (Cr)'!$C:$FB,4)</f>
        <v>2036.2</v>
      </c>
      <c r="E31" s="75">
        <f>VLOOKUP($A31,'Data Vlaue (Cr)'!$C:$FB,5)</f>
        <v>2055.1999999999998</v>
      </c>
      <c r="F31" s="75">
        <f t="shared" si="0"/>
        <v>4.2999999999999545</v>
      </c>
      <c r="G31" s="75">
        <f t="shared" si="1"/>
        <v>-0.93311069639523492</v>
      </c>
      <c r="H31" s="75">
        <f>VLOOKUP($A31,'Data Vlaue (Cr)'!$C:$FB,99)</f>
        <v>5152</v>
      </c>
      <c r="I31" s="75">
        <f>VLOOKUP($A31,'Data Vlaue (Cr)'!$C:$FB,100)</f>
        <v>5072</v>
      </c>
      <c r="J31" s="75">
        <f t="shared" si="2"/>
        <v>80</v>
      </c>
      <c r="K31" s="75">
        <f t="shared" si="3"/>
        <v>1.5527950310559007</v>
      </c>
      <c r="L31" s="75">
        <f>VLOOKUP($A31,'Data Vlaue (Cr)'!$C:$FB,67)</f>
        <v>1415</v>
      </c>
      <c r="M31" s="75">
        <f>VLOOKUP($A31,'Data Vlaue (Cr)'!$C:$FB,68)</f>
        <v>3413</v>
      </c>
      <c r="N31" s="75">
        <f t="shared" si="4"/>
        <v>-1998</v>
      </c>
      <c r="O31" s="75">
        <f t="shared" si="5"/>
        <v>-141.20141342756182</v>
      </c>
      <c r="P31" s="75">
        <f>VLOOKUP($A31,'Data Vlaue (Cr)'!$C:$FB,119)</f>
        <v>0.69</v>
      </c>
      <c r="Q31" s="75">
        <f>VLOOKUP($A31,'Data Vlaue (Cr)'!$C:$FB,122)*100</f>
        <v>-2.82</v>
      </c>
      <c r="R31" s="75">
        <f>VLOOKUP($A31,'Data Vlaue (Cr)'!$C:$FB,125)</f>
        <v>0.52</v>
      </c>
      <c r="S31" s="75">
        <f>VLOOKUP($A31,'Data Vlaue (Cr)'!$C:$FB,128)*100</f>
        <v>67.739999999999995</v>
      </c>
    </row>
    <row r="32" spans="1:19" x14ac:dyDescent="0.25">
      <c r="A32" s="96" t="str">
        <f>'Data Vlaue (Cr)'!C23</f>
        <v>BAJAJHLDNG</v>
      </c>
      <c r="B32" s="75">
        <f>VLOOKUP($A32,'Data Vlaue (Cr)'!$C:$FB,2)</f>
        <v>50</v>
      </c>
      <c r="C32" s="75">
        <f>VLOOKUP($A32,'Data Vlaue (Cr)'!$C:$FB,8)</f>
        <v>11198</v>
      </c>
      <c r="D32" s="75">
        <f>VLOOKUP($A32,'Data Vlaue (Cr)'!$C:$FB,4)</f>
        <v>11256</v>
      </c>
      <c r="E32" s="75">
        <f>VLOOKUP($A32,'Data Vlaue (Cr)'!$C:$FB,5)</f>
        <v>11253</v>
      </c>
      <c r="F32" s="75">
        <f t="shared" si="0"/>
        <v>58</v>
      </c>
      <c r="G32" s="75">
        <f t="shared" si="1"/>
        <v>2.6652452025586353E-2</v>
      </c>
      <c r="H32" s="75">
        <f>VLOOKUP($A32,'Data Vlaue (Cr)'!$C:$FB,99)</f>
        <v>214</v>
      </c>
      <c r="I32" s="75">
        <f>VLOOKUP($A32,'Data Vlaue (Cr)'!$C:$FB,100)</f>
        <v>213</v>
      </c>
      <c r="J32" s="75">
        <f t="shared" si="2"/>
        <v>1</v>
      </c>
      <c r="K32" s="75">
        <f t="shared" si="3"/>
        <v>0.46728971962616817</v>
      </c>
      <c r="L32" s="75">
        <f>VLOOKUP($A32,'Data Vlaue (Cr)'!$C:$FB,67)</f>
        <v>148</v>
      </c>
      <c r="M32" s="75">
        <f>VLOOKUP($A32,'Data Vlaue (Cr)'!$C:$FB,68)</f>
        <v>179</v>
      </c>
      <c r="N32" s="75">
        <f t="shared" si="4"/>
        <v>-31</v>
      </c>
      <c r="O32" s="75">
        <f t="shared" si="5"/>
        <v>-20.945945945945947</v>
      </c>
      <c r="P32" s="75">
        <f>VLOOKUP($A32,'Data Vlaue (Cr)'!$C:$FB,119)</f>
        <v>0.44</v>
      </c>
      <c r="Q32" s="75">
        <f>VLOOKUP($A32,'Data Vlaue (Cr)'!$C:$FB,122)*100</f>
        <v>-10.199999999999999</v>
      </c>
      <c r="R32" s="75">
        <f>VLOOKUP($A32,'Data Vlaue (Cr)'!$C:$FB,125)</f>
        <v>0.13</v>
      </c>
      <c r="S32" s="75">
        <f>VLOOKUP($A32,'Data Vlaue (Cr)'!$C:$FB,128)*100</f>
        <v>-55.169999999999995</v>
      </c>
    </row>
    <row r="33" spans="1:19" x14ac:dyDescent="0.25">
      <c r="A33" s="96" t="str">
        <f>'Data Vlaue (Cr)'!C24</f>
        <v>BAJFINANCE</v>
      </c>
      <c r="B33" s="75">
        <f>VLOOKUP($A33,'Data Vlaue (Cr)'!$C:$FB,2)</f>
        <v>750</v>
      </c>
      <c r="C33" s="75">
        <f>VLOOKUP($A33,'Data Vlaue (Cr)'!$C:$FB,8)</f>
        <v>968.8</v>
      </c>
      <c r="D33" s="75">
        <f>VLOOKUP($A33,'Data Vlaue (Cr)'!$C:$FB,4)</f>
        <v>973.4</v>
      </c>
      <c r="E33" s="75">
        <f>VLOOKUP($A33,'Data Vlaue (Cr)'!$C:$FB,5)</f>
        <v>981.65</v>
      </c>
      <c r="F33" s="75">
        <f t="shared" si="0"/>
        <v>4.6000000000000227</v>
      </c>
      <c r="G33" s="75">
        <f t="shared" si="1"/>
        <v>-0.84754468871995081</v>
      </c>
      <c r="H33" s="75">
        <f>VLOOKUP($A33,'Data Vlaue (Cr)'!$C:$FB,99)</f>
        <v>14404</v>
      </c>
      <c r="I33" s="75">
        <f>VLOOKUP($A33,'Data Vlaue (Cr)'!$C:$FB,100)</f>
        <v>14033</v>
      </c>
      <c r="J33" s="75">
        <f t="shared" si="2"/>
        <v>371</v>
      </c>
      <c r="K33" s="75">
        <f t="shared" si="3"/>
        <v>2.5756734240488752</v>
      </c>
      <c r="L33" s="75">
        <f>VLOOKUP($A33,'Data Vlaue (Cr)'!$C:$FB,67)</f>
        <v>3318</v>
      </c>
      <c r="M33" s="75">
        <f>VLOOKUP($A33,'Data Vlaue (Cr)'!$C:$FB,68)</f>
        <v>3288</v>
      </c>
      <c r="N33" s="75">
        <f t="shared" si="4"/>
        <v>30</v>
      </c>
      <c r="O33" s="75">
        <f t="shared" si="5"/>
        <v>0.9041591320072333</v>
      </c>
      <c r="P33" s="75">
        <f>VLOOKUP($A33,'Data Vlaue (Cr)'!$C:$FB,119)</f>
        <v>0.67</v>
      </c>
      <c r="Q33" s="75">
        <f>VLOOKUP($A33,'Data Vlaue (Cr)'!$C:$FB,122)*100</f>
        <v>-1.47</v>
      </c>
      <c r="R33" s="75">
        <f>VLOOKUP($A33,'Data Vlaue (Cr)'!$C:$FB,125)</f>
        <v>0.43</v>
      </c>
      <c r="S33" s="75">
        <f>VLOOKUP($A33,'Data Vlaue (Cr)'!$C:$FB,128)*100</f>
        <v>26.47</v>
      </c>
    </row>
    <row r="34" spans="1:19" x14ac:dyDescent="0.25">
      <c r="A34" s="96" t="str">
        <f>'Data Vlaue (Cr)'!C25</f>
        <v>BANDHANBNK</v>
      </c>
      <c r="B34" s="75">
        <f>VLOOKUP($A34,'Data Vlaue (Cr)'!$C:$FB,2)</f>
        <v>3600</v>
      </c>
      <c r="C34" s="75">
        <f>VLOOKUP($A34,'Data Vlaue (Cr)'!$C:$FB,8)</f>
        <v>147.63999999999999</v>
      </c>
      <c r="D34" s="75">
        <f>VLOOKUP($A34,'Data Vlaue (Cr)'!$C:$FB,4)</f>
        <v>148.37</v>
      </c>
      <c r="E34" s="75">
        <f>VLOOKUP($A34,'Data Vlaue (Cr)'!$C:$FB,5)</f>
        <v>148.37</v>
      </c>
      <c r="F34" s="75">
        <f t="shared" si="0"/>
        <v>0.73000000000001819</v>
      </c>
      <c r="G34" s="75">
        <f t="shared" si="1"/>
        <v>0</v>
      </c>
      <c r="H34" s="180">
        <f>VLOOKUP($A34,'Data Vlaue (Cr)'!$C:$FB,99)</f>
        <v>2918</v>
      </c>
      <c r="I34" s="180">
        <f>VLOOKUP($A34,'Data Vlaue (Cr)'!$C:$FB,100)</f>
        <v>2868</v>
      </c>
      <c r="J34" s="180">
        <f t="shared" si="2"/>
        <v>50</v>
      </c>
      <c r="K34" s="180">
        <f t="shared" si="3"/>
        <v>1.7135023989033584</v>
      </c>
      <c r="L34" s="180">
        <f>VLOOKUP($A34,'Data Vlaue (Cr)'!$C:$FB,67)</f>
        <v>484</v>
      </c>
      <c r="M34" s="180">
        <f>VLOOKUP($A34,'Data Vlaue (Cr)'!$C:$FB,68)</f>
        <v>706</v>
      </c>
      <c r="N34" s="180">
        <f t="shared" si="4"/>
        <v>-222</v>
      </c>
      <c r="O34" s="180">
        <f t="shared" si="5"/>
        <v>-45.867768595041326</v>
      </c>
      <c r="P34" s="180">
        <f>VLOOKUP($A34,'Data Vlaue (Cr)'!$C:$FB,119)</f>
        <v>0.92</v>
      </c>
      <c r="Q34" s="180">
        <f>VLOOKUP($A34,'Data Vlaue (Cr)'!$C:$FB,122)*100</f>
        <v>2.2200000000000002</v>
      </c>
      <c r="R34" s="180">
        <f>VLOOKUP($A34,'Data Vlaue (Cr)'!$C:$FB,125)</f>
        <v>0.4</v>
      </c>
      <c r="S34" s="180">
        <f>VLOOKUP($A34,'Data Vlaue (Cr)'!$C:$FB,128)*100</f>
        <v>25</v>
      </c>
    </row>
    <row r="35" spans="1:19" x14ac:dyDescent="0.25">
      <c r="A35" s="96" t="str">
        <f>'Data Vlaue (Cr)'!C26</f>
        <v>BANKBARODA</v>
      </c>
      <c r="B35" s="75">
        <f>VLOOKUP($A35,'Data Vlaue (Cr)'!$C:$FB,2)</f>
        <v>2925</v>
      </c>
      <c r="C35" s="75">
        <f>VLOOKUP($A35,'Data Vlaue (Cr)'!$C:$FB,8)</f>
        <v>308.25</v>
      </c>
      <c r="D35" s="75">
        <f>VLOOKUP($A35,'Data Vlaue (Cr)'!$C:$FB,4)</f>
        <v>308.85000000000002</v>
      </c>
      <c r="E35" s="75">
        <f>VLOOKUP($A35,'Data Vlaue (Cr)'!$C:$FB,5)</f>
        <v>306.2</v>
      </c>
      <c r="F35" s="75">
        <f t="shared" si="0"/>
        <v>0.60000000000002274</v>
      </c>
      <c r="G35" s="75">
        <f t="shared" si="1"/>
        <v>0.85802169337867373</v>
      </c>
      <c r="H35" s="75">
        <f>VLOOKUP($A35,'Data Vlaue (Cr)'!$C:$FB,99)</f>
        <v>5069</v>
      </c>
      <c r="I35" s="75">
        <f>VLOOKUP($A35,'Data Vlaue (Cr)'!$C:$FB,100)</f>
        <v>4660</v>
      </c>
      <c r="J35" s="75">
        <f t="shared" si="2"/>
        <v>409</v>
      </c>
      <c r="K35" s="75">
        <f t="shared" si="3"/>
        <v>8.0686525942000387</v>
      </c>
      <c r="L35" s="75">
        <f>VLOOKUP($A35,'Data Vlaue (Cr)'!$C:$FB,67)</f>
        <v>4487</v>
      </c>
      <c r="M35" s="75">
        <f>VLOOKUP($A35,'Data Vlaue (Cr)'!$C:$FB,68)</f>
        <v>3681</v>
      </c>
      <c r="N35" s="75">
        <f t="shared" si="4"/>
        <v>806</v>
      </c>
      <c r="O35" s="75">
        <f t="shared" si="5"/>
        <v>17.963004234455092</v>
      </c>
      <c r="P35" s="75">
        <f>VLOOKUP($A35,'Data Vlaue (Cr)'!$C:$FB,119)</f>
        <v>0.63</v>
      </c>
      <c r="Q35" s="75">
        <f>VLOOKUP($A35,'Data Vlaue (Cr)'!$C:$FB,122)*100</f>
        <v>-21.25</v>
      </c>
      <c r="R35" s="75">
        <f>VLOOKUP($A35,'Data Vlaue (Cr)'!$C:$FB,125)</f>
        <v>0.27</v>
      </c>
      <c r="S35" s="75">
        <f>VLOOKUP($A35,'Data Vlaue (Cr)'!$C:$FB,128)*100</f>
        <v>-49.059999999999995</v>
      </c>
    </row>
    <row r="36" spans="1:19" x14ac:dyDescent="0.25">
      <c r="A36" s="96" t="str">
        <f>'Data Vlaue (Cr)'!C27</f>
        <v>BANKINDIA</v>
      </c>
      <c r="B36" s="75">
        <f>VLOOKUP($A36,'Data Vlaue (Cr)'!$C:$FB,2)</f>
        <v>5200</v>
      </c>
      <c r="C36" s="75">
        <f>VLOOKUP($A36,'Data Vlaue (Cr)'!$C:$FB,8)</f>
        <v>151.49</v>
      </c>
      <c r="D36" s="75">
        <f>VLOOKUP($A36,'Data Vlaue (Cr)'!$C:$FB,4)</f>
        <v>152.04</v>
      </c>
      <c r="E36" s="75">
        <f>VLOOKUP($A36,'Data Vlaue (Cr)'!$C:$FB,5)</f>
        <v>151.41999999999999</v>
      </c>
      <c r="F36" s="75">
        <f t="shared" si="0"/>
        <v>0.54999999999998295</v>
      </c>
      <c r="G36" s="75">
        <f t="shared" si="1"/>
        <v>0.40778742436201298</v>
      </c>
      <c r="H36" s="75">
        <f>VLOOKUP($A36,'Data Vlaue (Cr)'!$C:$FB,99)</f>
        <v>1312</v>
      </c>
      <c r="I36" s="75">
        <f>VLOOKUP($A36,'Data Vlaue (Cr)'!$C:$FB,100)</f>
        <v>1277</v>
      </c>
      <c r="J36" s="75">
        <f t="shared" si="2"/>
        <v>35</v>
      </c>
      <c r="K36" s="75">
        <f t="shared" si="3"/>
        <v>2.6676829268292681</v>
      </c>
      <c r="L36" s="75">
        <f>VLOOKUP($A36,'Data Vlaue (Cr)'!$C:$FB,67)</f>
        <v>406</v>
      </c>
      <c r="M36" s="75">
        <f>VLOOKUP($A36,'Data Vlaue (Cr)'!$C:$FB,68)</f>
        <v>829</v>
      </c>
      <c r="N36" s="75">
        <f t="shared" si="4"/>
        <v>-423</v>
      </c>
      <c r="O36" s="75">
        <f t="shared" si="5"/>
        <v>-104.1871921182266</v>
      </c>
      <c r="P36" s="75">
        <f>VLOOKUP($A36,'Data Vlaue (Cr)'!$C:$FB,119)</f>
        <v>0.85</v>
      </c>
      <c r="Q36" s="75">
        <f>VLOOKUP($A36,'Data Vlaue (Cr)'!$C:$FB,122)*100</f>
        <v>-3.4099999999999997</v>
      </c>
      <c r="R36" s="75">
        <f>VLOOKUP($A36,'Data Vlaue (Cr)'!$C:$FB,125)</f>
        <v>0.45</v>
      </c>
      <c r="S36" s="75">
        <f>VLOOKUP($A36,'Data Vlaue (Cr)'!$C:$FB,128)*100</f>
        <v>40.630000000000003</v>
      </c>
    </row>
    <row r="37" spans="1:19" x14ac:dyDescent="0.25">
      <c r="A37" s="96" t="str">
        <f>'Data Vlaue (Cr)'!C28</f>
        <v>BANKNIFTY</v>
      </c>
      <c r="B37" s="75">
        <f>VLOOKUP($A37,'Data Vlaue (Cr)'!$C:$FB,2)</f>
        <v>30</v>
      </c>
      <c r="C37" s="75">
        <f>VLOOKUP($A37,'Data Vlaue (Cr)'!$C:$FB,8)</f>
        <v>59990.85</v>
      </c>
      <c r="D37" s="75">
        <f>VLOOKUP($A37,'Data Vlaue (Cr)'!$C:$FB,4)</f>
        <v>60171.199999999997</v>
      </c>
      <c r="E37" s="75">
        <f>VLOOKUP($A37,'Data Vlaue (Cr)'!$C:$FB,5)</f>
        <v>60312.800000000003</v>
      </c>
      <c r="F37" s="75">
        <f t="shared" si="0"/>
        <v>180.34999999999854</v>
      </c>
      <c r="G37" s="75">
        <f t="shared" si="1"/>
        <v>-0.23532852926317879</v>
      </c>
      <c r="H37" s="75">
        <f>VLOOKUP($A37,'Data Vlaue (Cr)'!$C:$FB,99)</f>
        <v>171899</v>
      </c>
      <c r="I37" s="75">
        <f>VLOOKUP($A37,'Data Vlaue (Cr)'!$C:$FB,100)</f>
        <v>170245</v>
      </c>
      <c r="J37" s="75">
        <f t="shared" si="2"/>
        <v>1654</v>
      </c>
      <c r="K37" s="75">
        <f t="shared" si="3"/>
        <v>0.96219291560742071</v>
      </c>
      <c r="L37" s="75">
        <f>VLOOKUP($A37,'Data Vlaue (Cr)'!$C:$FB,67)</f>
        <v>361080</v>
      </c>
      <c r="M37" s="75">
        <f>VLOOKUP($A37,'Data Vlaue (Cr)'!$C:$FB,68)</f>
        <v>345007</v>
      </c>
      <c r="N37" s="75">
        <f t="shared" si="4"/>
        <v>16073</v>
      </c>
      <c r="O37" s="75">
        <f t="shared" si="5"/>
        <v>4.4513681178686166</v>
      </c>
      <c r="P37" s="75">
        <f>VLOOKUP($A37,'Data Vlaue (Cr)'!$C:$FB,119)</f>
        <v>1.0900000000000001</v>
      </c>
      <c r="Q37" s="75">
        <f>VLOOKUP($A37,'Data Vlaue (Cr)'!$C:$FB,122)*100</f>
        <v>-5.2200000000000006</v>
      </c>
      <c r="R37" s="75">
        <f>VLOOKUP($A37,'Data Vlaue (Cr)'!$C:$FB,125)</f>
        <v>1.02</v>
      </c>
      <c r="S37" s="75">
        <f>VLOOKUP($A37,'Data Vlaue (Cr)'!$C:$FB,128)*100</f>
        <v>4.08</v>
      </c>
    </row>
    <row r="38" spans="1:19" x14ac:dyDescent="0.25">
      <c r="A38" s="96" t="str">
        <f>'Data Vlaue (Cr)'!C29</f>
        <v>BDL</v>
      </c>
      <c r="B38" s="75">
        <f>VLOOKUP($A38,'Data Vlaue (Cr)'!$C:$FB,2)</f>
        <v>350</v>
      </c>
      <c r="C38" s="75">
        <f>VLOOKUP($A38,'Data Vlaue (Cr)'!$C:$FB,8)</f>
        <v>1539.5</v>
      </c>
      <c r="D38" s="75">
        <f>VLOOKUP($A38,'Data Vlaue (Cr)'!$C:$FB,4)</f>
        <v>1542.6</v>
      </c>
      <c r="E38" s="75">
        <f>VLOOKUP($A38,'Data Vlaue (Cr)'!$C:$FB,5)</f>
        <v>1549.8</v>
      </c>
      <c r="F38" s="75">
        <f t="shared" si="0"/>
        <v>3.0999999999999091</v>
      </c>
      <c r="G38" s="75">
        <f t="shared" si="1"/>
        <v>-0.46674445740957127</v>
      </c>
      <c r="H38" s="75">
        <f>VLOOKUP($A38,'Data Vlaue (Cr)'!$C:$FB,99)</f>
        <v>1777</v>
      </c>
      <c r="I38" s="75">
        <f>VLOOKUP($A38,'Data Vlaue (Cr)'!$C:$FB,100)</f>
        <v>1776</v>
      </c>
      <c r="J38" s="75">
        <f t="shared" si="2"/>
        <v>1</v>
      </c>
      <c r="K38" s="75">
        <f t="shared" si="3"/>
        <v>5.6274620146314014E-2</v>
      </c>
      <c r="L38" s="75">
        <f>VLOOKUP($A38,'Data Vlaue (Cr)'!$C:$FB,67)</f>
        <v>2713</v>
      </c>
      <c r="M38" s="75">
        <f>VLOOKUP($A38,'Data Vlaue (Cr)'!$C:$FB,68)</f>
        <v>8598</v>
      </c>
      <c r="N38" s="75">
        <f t="shared" si="4"/>
        <v>-5885</v>
      </c>
      <c r="O38" s="75">
        <f t="shared" si="5"/>
        <v>-216.91854036122376</v>
      </c>
      <c r="P38" s="75">
        <f>VLOOKUP($A38,'Data Vlaue (Cr)'!$C:$FB,119)</f>
        <v>0.76</v>
      </c>
      <c r="Q38" s="75">
        <f>VLOOKUP($A38,'Data Vlaue (Cr)'!$C:$FB,122)*100</f>
        <v>-8.43</v>
      </c>
      <c r="R38" s="75">
        <f>VLOOKUP($A38,'Data Vlaue (Cr)'!$C:$FB,125)</f>
        <v>0.49</v>
      </c>
      <c r="S38" s="75">
        <f>VLOOKUP($A38,'Data Vlaue (Cr)'!$C:$FB,128)*100</f>
        <v>-9.26</v>
      </c>
    </row>
    <row r="39" spans="1:19" x14ac:dyDescent="0.25">
      <c r="A39" s="96" t="str">
        <f>'Data Vlaue (Cr)'!C30</f>
        <v>BEL</v>
      </c>
      <c r="B39" s="75">
        <f>VLOOKUP($A39,'Data Vlaue (Cr)'!$C:$FB,2)</f>
        <v>1425</v>
      </c>
      <c r="C39" s="75">
        <f>VLOOKUP($A39,'Data Vlaue (Cr)'!$C:$FB,8)</f>
        <v>415.65</v>
      </c>
      <c r="D39" s="75">
        <f>VLOOKUP($A39,'Data Vlaue (Cr)'!$C:$FB,4)</f>
        <v>417.7</v>
      </c>
      <c r="E39" s="75">
        <f>VLOOKUP($A39,'Data Vlaue (Cr)'!$C:$FB,5)</f>
        <v>414.45</v>
      </c>
      <c r="F39" s="75">
        <f t="shared" si="0"/>
        <v>2.0500000000000114</v>
      </c>
      <c r="G39" s="75">
        <f t="shared" si="1"/>
        <v>0.77807038544409868</v>
      </c>
      <c r="H39" s="75">
        <f>VLOOKUP($A39,'Data Vlaue (Cr)'!$C:$FB,99)</f>
        <v>8443</v>
      </c>
      <c r="I39" s="75">
        <f>VLOOKUP($A39,'Data Vlaue (Cr)'!$C:$FB,100)</f>
        <v>8377</v>
      </c>
      <c r="J39" s="75">
        <f t="shared" si="2"/>
        <v>66</v>
      </c>
      <c r="K39" s="75">
        <f t="shared" si="3"/>
        <v>0.78171266137628792</v>
      </c>
      <c r="L39" s="75">
        <f>VLOOKUP($A39,'Data Vlaue (Cr)'!$C:$FB,67)</f>
        <v>3883</v>
      </c>
      <c r="M39" s="75">
        <f>VLOOKUP($A39,'Data Vlaue (Cr)'!$C:$FB,68)</f>
        <v>3794</v>
      </c>
      <c r="N39" s="75">
        <f t="shared" si="4"/>
        <v>89</v>
      </c>
      <c r="O39" s="75">
        <f t="shared" si="5"/>
        <v>2.2920422353850114</v>
      </c>
      <c r="P39" s="75">
        <f>VLOOKUP($A39,'Data Vlaue (Cr)'!$C:$FB,119)</f>
        <v>0.67</v>
      </c>
      <c r="Q39" s="75">
        <f>VLOOKUP($A39,'Data Vlaue (Cr)'!$C:$FB,122)*100</f>
        <v>0</v>
      </c>
      <c r="R39" s="75">
        <f>VLOOKUP($A39,'Data Vlaue (Cr)'!$C:$FB,125)</f>
        <v>0.51</v>
      </c>
      <c r="S39" s="75">
        <f>VLOOKUP($A39,'Data Vlaue (Cr)'!$C:$FB,128)*100</f>
        <v>-15</v>
      </c>
    </row>
    <row r="40" spans="1:19" x14ac:dyDescent="0.25">
      <c r="A40" s="96" t="str">
        <f>'Data Vlaue (Cr)'!C31</f>
        <v>BHARATFORG</v>
      </c>
      <c r="B40" s="75">
        <f>VLOOKUP($A40,'Data Vlaue (Cr)'!$C:$FB,2)</f>
        <v>500</v>
      </c>
      <c r="C40" s="75">
        <f>VLOOKUP($A40,'Data Vlaue (Cr)'!$C:$FB,8)</f>
        <v>1483.4</v>
      </c>
      <c r="D40" s="75">
        <f>VLOOKUP($A40,'Data Vlaue (Cr)'!$C:$FB,4)</f>
        <v>1488.5</v>
      </c>
      <c r="E40" s="75">
        <f>VLOOKUP($A40,'Data Vlaue (Cr)'!$C:$FB,5)</f>
        <v>1479.4</v>
      </c>
      <c r="F40" s="75">
        <f t="shared" si="0"/>
        <v>5.0999999999999091</v>
      </c>
      <c r="G40" s="75">
        <f t="shared" si="1"/>
        <v>0.61135371179038689</v>
      </c>
      <c r="H40" s="75">
        <f>VLOOKUP($A40,'Data Vlaue (Cr)'!$C:$FB,99)</f>
        <v>1860</v>
      </c>
      <c r="I40" s="75">
        <f>VLOOKUP($A40,'Data Vlaue (Cr)'!$C:$FB,100)</f>
        <v>1925</v>
      </c>
      <c r="J40" s="75">
        <f t="shared" si="2"/>
        <v>-65</v>
      </c>
      <c r="K40" s="75">
        <f t="shared" si="3"/>
        <v>-3.4946236559139781</v>
      </c>
      <c r="L40" s="75">
        <f>VLOOKUP($A40,'Data Vlaue (Cr)'!$C:$FB,67)</f>
        <v>1031</v>
      </c>
      <c r="M40" s="75">
        <f>VLOOKUP($A40,'Data Vlaue (Cr)'!$C:$FB,68)</f>
        <v>1954</v>
      </c>
      <c r="N40" s="75">
        <f t="shared" si="4"/>
        <v>-923</v>
      </c>
      <c r="O40" s="75">
        <f t="shared" si="5"/>
        <v>-89.524733268671199</v>
      </c>
      <c r="P40" s="75">
        <f>VLOOKUP($A40,'Data Vlaue (Cr)'!$C:$FB,119)</f>
        <v>0.65</v>
      </c>
      <c r="Q40" s="75">
        <f>VLOOKUP($A40,'Data Vlaue (Cr)'!$C:$FB,122)*100</f>
        <v>-4.41</v>
      </c>
      <c r="R40" s="75">
        <f>VLOOKUP($A40,'Data Vlaue (Cr)'!$C:$FB,125)</f>
        <v>0.42</v>
      </c>
      <c r="S40" s="75">
        <f>VLOOKUP($A40,'Data Vlaue (Cr)'!$C:$FB,128)*100</f>
        <v>16.669999999999998</v>
      </c>
    </row>
    <row r="41" spans="1:19" x14ac:dyDescent="0.25">
      <c r="A41" s="96" t="str">
        <f>'Data Vlaue (Cr)'!C32</f>
        <v>BHARTIARTL</v>
      </c>
      <c r="B41" s="75">
        <f>VLOOKUP($A41,'Data Vlaue (Cr)'!$C:$FB,2)</f>
        <v>475</v>
      </c>
      <c r="C41" s="75">
        <f>VLOOKUP($A41,'Data Vlaue (Cr)'!$C:$FB,8)</f>
        <v>2084.1999999999998</v>
      </c>
      <c r="D41" s="75">
        <f>VLOOKUP($A41,'Data Vlaue (Cr)'!$C:$FB,4)</f>
        <v>2091.5</v>
      </c>
      <c r="E41" s="75">
        <f>VLOOKUP($A41,'Data Vlaue (Cr)'!$C:$FB,5)</f>
        <v>2113.6999999999998</v>
      </c>
      <c r="F41" s="75">
        <f t="shared" si="0"/>
        <v>7.3000000000001819</v>
      </c>
      <c r="G41" s="75">
        <f t="shared" si="1"/>
        <v>-1.0614391584986764</v>
      </c>
      <c r="H41" s="75">
        <f>VLOOKUP($A41,'Data Vlaue (Cr)'!$C:$FB,99)</f>
        <v>13422</v>
      </c>
      <c r="I41" s="75">
        <f>VLOOKUP($A41,'Data Vlaue (Cr)'!$C:$FB,100)</f>
        <v>13108</v>
      </c>
      <c r="J41" s="75">
        <f t="shared" si="2"/>
        <v>314</v>
      </c>
      <c r="K41" s="75">
        <f t="shared" si="3"/>
        <v>2.3394427060050664</v>
      </c>
      <c r="L41" s="75">
        <f>VLOOKUP($A41,'Data Vlaue (Cr)'!$C:$FB,67)</f>
        <v>5066</v>
      </c>
      <c r="M41" s="75">
        <f>VLOOKUP($A41,'Data Vlaue (Cr)'!$C:$FB,68)</f>
        <v>6368</v>
      </c>
      <c r="N41" s="75">
        <f t="shared" si="4"/>
        <v>-1302</v>
      </c>
      <c r="O41" s="75">
        <f t="shared" si="5"/>
        <v>-25.700750098697196</v>
      </c>
      <c r="P41" s="75">
        <f>VLOOKUP($A41,'Data Vlaue (Cr)'!$C:$FB,119)</f>
        <v>0.57999999999999996</v>
      </c>
      <c r="Q41" s="75">
        <f>VLOOKUP($A41,'Data Vlaue (Cr)'!$C:$FB,122)*100</f>
        <v>-9.379999999999999</v>
      </c>
      <c r="R41" s="75">
        <f>VLOOKUP($A41,'Data Vlaue (Cr)'!$C:$FB,125)</f>
        <v>0.59</v>
      </c>
      <c r="S41" s="75">
        <f>VLOOKUP($A41,'Data Vlaue (Cr)'!$C:$FB,128)*100</f>
        <v>-3.2800000000000002</v>
      </c>
    </row>
    <row r="42" spans="1:19" x14ac:dyDescent="0.25">
      <c r="A42" s="96" t="str">
        <f>'Data Vlaue (Cr)'!C33</f>
        <v>BHEL</v>
      </c>
      <c r="B42" s="75">
        <f>VLOOKUP($A42,'Data Vlaue (Cr)'!$C:$FB,2)</f>
        <v>2625</v>
      </c>
      <c r="C42" s="75">
        <f>VLOOKUP($A42,'Data Vlaue (Cr)'!$C:$FB,8)</f>
        <v>303.55</v>
      </c>
      <c r="D42" s="75">
        <f>VLOOKUP($A42,'Data Vlaue (Cr)'!$C:$FB,4)</f>
        <v>304.75</v>
      </c>
      <c r="E42" s="75">
        <f>VLOOKUP($A42,'Data Vlaue (Cr)'!$C:$FB,5)</f>
        <v>298.5</v>
      </c>
      <c r="F42" s="75">
        <f t="shared" si="0"/>
        <v>1.1999999999999886</v>
      </c>
      <c r="G42" s="75">
        <f t="shared" si="1"/>
        <v>2.0508613617719442</v>
      </c>
      <c r="H42" s="75">
        <f>VLOOKUP($A42,'Data Vlaue (Cr)'!$C:$FB,99)</f>
        <v>4241</v>
      </c>
      <c r="I42" s="75">
        <f>VLOOKUP($A42,'Data Vlaue (Cr)'!$C:$FB,100)</f>
        <v>4139</v>
      </c>
      <c r="J42" s="75">
        <f t="shared" si="2"/>
        <v>102</v>
      </c>
      <c r="K42" s="75">
        <f t="shared" si="3"/>
        <v>2.4050931384107521</v>
      </c>
      <c r="L42" s="75">
        <f>VLOOKUP($A42,'Data Vlaue (Cr)'!$C:$FB,67)</f>
        <v>6076</v>
      </c>
      <c r="M42" s="75">
        <f>VLOOKUP($A42,'Data Vlaue (Cr)'!$C:$FB,68)</f>
        <v>3638</v>
      </c>
      <c r="N42" s="75">
        <f t="shared" si="4"/>
        <v>2438</v>
      </c>
      <c r="O42" s="75">
        <f t="shared" si="5"/>
        <v>40.125082290980906</v>
      </c>
      <c r="P42" s="75">
        <f>VLOOKUP($A42,'Data Vlaue (Cr)'!$C:$FB,119)</f>
        <v>0.69</v>
      </c>
      <c r="Q42" s="75">
        <f>VLOOKUP($A42,'Data Vlaue (Cr)'!$C:$FB,122)*100</f>
        <v>1.47</v>
      </c>
      <c r="R42" s="75">
        <f>VLOOKUP($A42,'Data Vlaue (Cr)'!$C:$FB,125)</f>
        <v>0.27</v>
      </c>
      <c r="S42" s="75">
        <f>VLOOKUP($A42,'Data Vlaue (Cr)'!$C:$FB,128)*100</f>
        <v>-44.9</v>
      </c>
    </row>
    <row r="43" spans="1:19" x14ac:dyDescent="0.25">
      <c r="A43" s="96" t="str">
        <f>'Data Vlaue (Cr)'!C34</f>
        <v>BIOCON</v>
      </c>
      <c r="B43" s="75">
        <f>VLOOKUP($A43,'Data Vlaue (Cr)'!$C:$FB,2)</f>
        <v>2500</v>
      </c>
      <c r="C43" s="75">
        <f>VLOOKUP($A43,'Data Vlaue (Cr)'!$C:$FB,8)</f>
        <v>387.05</v>
      </c>
      <c r="D43" s="75">
        <f>VLOOKUP($A43,'Data Vlaue (Cr)'!$C:$FB,4)</f>
        <v>388.95</v>
      </c>
      <c r="E43" s="75">
        <f>VLOOKUP($A43,'Data Vlaue (Cr)'!$C:$FB,5)</f>
        <v>387.1</v>
      </c>
      <c r="F43" s="75">
        <f t="shared" si="0"/>
        <v>1.8999999999999773</v>
      </c>
      <c r="G43" s="75">
        <f t="shared" si="1"/>
        <v>0.47563954235762079</v>
      </c>
      <c r="H43" s="75">
        <f>VLOOKUP($A43,'Data Vlaue (Cr)'!$C:$FB,99)</f>
        <v>3001</v>
      </c>
      <c r="I43" s="75">
        <f>VLOOKUP($A43,'Data Vlaue (Cr)'!$C:$FB,100)</f>
        <v>2776</v>
      </c>
      <c r="J43" s="75">
        <f t="shared" si="2"/>
        <v>225</v>
      </c>
      <c r="K43" s="75">
        <f t="shared" si="3"/>
        <v>7.4975008330556481</v>
      </c>
      <c r="L43" s="75">
        <f>VLOOKUP($A43,'Data Vlaue (Cr)'!$C:$FB,67)</f>
        <v>2356</v>
      </c>
      <c r="M43" s="75">
        <f>VLOOKUP($A43,'Data Vlaue (Cr)'!$C:$FB,68)</f>
        <v>1558</v>
      </c>
      <c r="N43" s="75">
        <f t="shared" si="4"/>
        <v>798</v>
      </c>
      <c r="O43" s="75">
        <f t="shared" si="5"/>
        <v>33.87096774193548</v>
      </c>
      <c r="P43" s="75">
        <f>VLOOKUP($A43,'Data Vlaue (Cr)'!$C:$FB,119)</f>
        <v>0.54</v>
      </c>
      <c r="Q43" s="75">
        <f>VLOOKUP($A43,'Data Vlaue (Cr)'!$C:$FB,122)*100</f>
        <v>-3.5700000000000003</v>
      </c>
      <c r="R43" s="75">
        <f>VLOOKUP($A43,'Data Vlaue (Cr)'!$C:$FB,125)</f>
        <v>0.27</v>
      </c>
      <c r="S43" s="75">
        <f>VLOOKUP($A43,'Data Vlaue (Cr)'!$C:$FB,128)*100</f>
        <v>-44.9</v>
      </c>
    </row>
    <row r="44" spans="1:19" x14ac:dyDescent="0.25">
      <c r="A44" s="96" t="str">
        <f>'Data Vlaue (Cr)'!C35</f>
        <v>BLUESTARCO</v>
      </c>
      <c r="B44" s="75">
        <f>VLOOKUP($A44,'Data Vlaue (Cr)'!$C:$FB,2)</f>
        <v>325</v>
      </c>
      <c r="C44" s="75">
        <f>VLOOKUP($A44,'Data Vlaue (Cr)'!$C:$FB,8)</f>
        <v>1842.7</v>
      </c>
      <c r="D44" s="75">
        <f>VLOOKUP($A44,'Data Vlaue (Cr)'!$C:$FB,4)</f>
        <v>1845.8</v>
      </c>
      <c r="E44" s="75">
        <f>VLOOKUP($A44,'Data Vlaue (Cr)'!$C:$FB,5)</f>
        <v>1826.3</v>
      </c>
      <c r="F44" s="75">
        <f t="shared" si="0"/>
        <v>3.0999999999999091</v>
      </c>
      <c r="G44" s="75">
        <f t="shared" si="1"/>
        <v>1.0564524867266227</v>
      </c>
      <c r="H44" s="75">
        <f>VLOOKUP($A44,'Data Vlaue (Cr)'!$C:$FB,99)</f>
        <v>656</v>
      </c>
      <c r="I44" s="75">
        <f>VLOOKUP($A44,'Data Vlaue (Cr)'!$C:$FB,100)</f>
        <v>613</v>
      </c>
      <c r="J44" s="75">
        <f t="shared" si="2"/>
        <v>43</v>
      </c>
      <c r="K44" s="75">
        <f t="shared" si="3"/>
        <v>6.5548780487804876</v>
      </c>
      <c r="L44" s="75">
        <f>VLOOKUP($A44,'Data Vlaue (Cr)'!$C:$FB,67)</f>
        <v>737</v>
      </c>
      <c r="M44" s="75">
        <f>VLOOKUP($A44,'Data Vlaue (Cr)'!$C:$FB,68)</f>
        <v>230</v>
      </c>
      <c r="N44" s="75">
        <f t="shared" si="4"/>
        <v>507</v>
      </c>
      <c r="O44" s="75">
        <f t="shared" si="5"/>
        <v>68.792401628222521</v>
      </c>
      <c r="P44" s="75">
        <f>VLOOKUP($A44,'Data Vlaue (Cr)'!$C:$FB,119)</f>
        <v>0.76</v>
      </c>
      <c r="Q44" s="75">
        <f>VLOOKUP($A44,'Data Vlaue (Cr)'!$C:$FB,122)*100</f>
        <v>-2.56</v>
      </c>
      <c r="R44" s="75">
        <f>VLOOKUP($A44,'Data Vlaue (Cr)'!$C:$FB,125)</f>
        <v>0.49</v>
      </c>
      <c r="S44" s="75">
        <f>VLOOKUP($A44,'Data Vlaue (Cr)'!$C:$FB,128)*100</f>
        <v>-10.91</v>
      </c>
    </row>
    <row r="45" spans="1:19" x14ac:dyDescent="0.25">
      <c r="A45" s="96" t="str">
        <f>'Data Vlaue (Cr)'!C36</f>
        <v>BOSCHLTD</v>
      </c>
      <c r="B45" s="75">
        <f>VLOOKUP($A45,'Data Vlaue (Cr)'!$C:$FB,2)</f>
        <v>25</v>
      </c>
      <c r="C45" s="75">
        <f>VLOOKUP($A45,'Data Vlaue (Cr)'!$C:$FB,8)</f>
        <v>39145</v>
      </c>
      <c r="D45" s="75">
        <f>VLOOKUP($A45,'Data Vlaue (Cr)'!$C:$FB,4)</f>
        <v>39340</v>
      </c>
      <c r="E45" s="75">
        <f>VLOOKUP($A45,'Data Vlaue (Cr)'!$C:$FB,5)</f>
        <v>39060</v>
      </c>
      <c r="F45" s="75">
        <f t="shared" si="0"/>
        <v>195</v>
      </c>
      <c r="G45" s="75">
        <f t="shared" si="1"/>
        <v>0.71174377224199281</v>
      </c>
      <c r="H45" s="75">
        <f>VLOOKUP($A45,'Data Vlaue (Cr)'!$C:$FB,99)</f>
        <v>2423</v>
      </c>
      <c r="I45" s="75">
        <f>VLOOKUP($A45,'Data Vlaue (Cr)'!$C:$FB,100)</f>
        <v>2440</v>
      </c>
      <c r="J45" s="75">
        <f t="shared" si="2"/>
        <v>-17</v>
      </c>
      <c r="K45" s="75">
        <f t="shared" si="3"/>
        <v>-0.70160957490713993</v>
      </c>
      <c r="L45" s="75">
        <f>VLOOKUP($A45,'Data Vlaue (Cr)'!$C:$FB,67)</f>
        <v>4493</v>
      </c>
      <c r="M45" s="75">
        <f>VLOOKUP($A45,'Data Vlaue (Cr)'!$C:$FB,68)</f>
        <v>2447</v>
      </c>
      <c r="N45" s="75">
        <f t="shared" si="4"/>
        <v>2046</v>
      </c>
      <c r="O45" s="75">
        <f t="shared" si="5"/>
        <v>45.537502782105499</v>
      </c>
      <c r="P45" s="75">
        <f>VLOOKUP($A45,'Data Vlaue (Cr)'!$C:$FB,119)</f>
        <v>0.72</v>
      </c>
      <c r="Q45" s="75">
        <f>VLOOKUP($A45,'Data Vlaue (Cr)'!$C:$FB,122)*100</f>
        <v>-4</v>
      </c>
      <c r="R45" s="75">
        <f>VLOOKUP($A45,'Data Vlaue (Cr)'!$C:$FB,125)</f>
        <v>0.88</v>
      </c>
      <c r="S45" s="75">
        <f>VLOOKUP($A45,'Data Vlaue (Cr)'!$C:$FB,128)*100</f>
        <v>66.039999999999992</v>
      </c>
    </row>
    <row r="46" spans="1:19" x14ac:dyDescent="0.25">
      <c r="A46" s="96" t="str">
        <f>'Data Vlaue (Cr)'!C37</f>
        <v>BPCL</v>
      </c>
      <c r="B46" s="75">
        <f>VLOOKUP($A46,'Data Vlaue (Cr)'!$C:$FB,2)</f>
        <v>1975</v>
      </c>
      <c r="C46" s="75">
        <f>VLOOKUP($A46,'Data Vlaue (Cr)'!$C:$FB,8)</f>
        <v>368.2</v>
      </c>
      <c r="D46" s="75">
        <f>VLOOKUP($A46,'Data Vlaue (Cr)'!$C:$FB,4)</f>
        <v>369</v>
      </c>
      <c r="E46" s="75">
        <f>VLOOKUP($A46,'Data Vlaue (Cr)'!$C:$FB,5)</f>
        <v>372.2</v>
      </c>
      <c r="F46" s="75">
        <f t="shared" si="0"/>
        <v>0.80000000000001137</v>
      </c>
      <c r="G46" s="75">
        <f t="shared" si="1"/>
        <v>-0.8672086720867177</v>
      </c>
      <c r="H46" s="75">
        <f>VLOOKUP($A46,'Data Vlaue (Cr)'!$C:$FB,99)</f>
        <v>2023</v>
      </c>
      <c r="I46" s="75">
        <f>VLOOKUP($A46,'Data Vlaue (Cr)'!$C:$FB,100)</f>
        <v>1958</v>
      </c>
      <c r="J46" s="75">
        <f t="shared" si="2"/>
        <v>65</v>
      </c>
      <c r="K46" s="75">
        <f t="shared" si="3"/>
        <v>3.2130499258526943</v>
      </c>
      <c r="L46" s="75">
        <f>VLOOKUP($A46,'Data Vlaue (Cr)'!$C:$FB,67)</f>
        <v>792</v>
      </c>
      <c r="M46" s="75">
        <f>VLOOKUP($A46,'Data Vlaue (Cr)'!$C:$FB,68)</f>
        <v>2421</v>
      </c>
      <c r="N46" s="75">
        <f t="shared" si="4"/>
        <v>-1629</v>
      </c>
      <c r="O46" s="75">
        <f t="shared" si="5"/>
        <v>-205.68181818181816</v>
      </c>
      <c r="P46" s="75">
        <f>VLOOKUP($A46,'Data Vlaue (Cr)'!$C:$FB,119)</f>
        <v>0.6</v>
      </c>
      <c r="Q46" s="75">
        <f>VLOOKUP($A46,'Data Vlaue (Cr)'!$C:$FB,122)*100</f>
        <v>-1.6400000000000001</v>
      </c>
      <c r="R46" s="75">
        <f>VLOOKUP($A46,'Data Vlaue (Cr)'!$C:$FB,125)</f>
        <v>0.57999999999999996</v>
      </c>
      <c r="S46" s="75">
        <f>VLOOKUP($A46,'Data Vlaue (Cr)'!$C:$FB,128)*100</f>
        <v>-17.14</v>
      </c>
    </row>
    <row r="47" spans="1:19" x14ac:dyDescent="0.25">
      <c r="A47" s="96" t="str">
        <f>'Data Vlaue (Cr)'!C38</f>
        <v>BRITANNIA</v>
      </c>
      <c r="B47" s="75">
        <f>VLOOKUP($A47,'Data Vlaue (Cr)'!$C:$FB,2)</f>
        <v>125</v>
      </c>
      <c r="C47" s="75">
        <f>VLOOKUP($A47,'Data Vlaue (Cr)'!$C:$FB,8)</f>
        <v>6185</v>
      </c>
      <c r="D47" s="75">
        <f>VLOOKUP($A47,'Data Vlaue (Cr)'!$C:$FB,4)</f>
        <v>6199</v>
      </c>
      <c r="E47" s="75">
        <f>VLOOKUP($A47,'Data Vlaue (Cr)'!$C:$FB,5)</f>
        <v>6161.5</v>
      </c>
      <c r="F47" s="75">
        <f t="shared" si="0"/>
        <v>14</v>
      </c>
      <c r="G47" s="75">
        <f t="shared" si="1"/>
        <v>0.60493628004516853</v>
      </c>
      <c r="H47" s="75">
        <f>VLOOKUP($A47,'Data Vlaue (Cr)'!$C:$FB,99)</f>
        <v>2662</v>
      </c>
      <c r="I47" s="75">
        <f>VLOOKUP($A47,'Data Vlaue (Cr)'!$C:$FB,100)</f>
        <v>2583</v>
      </c>
      <c r="J47" s="75">
        <f t="shared" si="2"/>
        <v>79</v>
      </c>
      <c r="K47" s="75">
        <f t="shared" si="3"/>
        <v>2.9676934635612322</v>
      </c>
      <c r="L47" s="75">
        <f>VLOOKUP($A47,'Data Vlaue (Cr)'!$C:$FB,67)</f>
        <v>2930</v>
      </c>
      <c r="M47" s="75">
        <f>VLOOKUP($A47,'Data Vlaue (Cr)'!$C:$FB,68)</f>
        <v>2613</v>
      </c>
      <c r="N47" s="75">
        <f t="shared" si="4"/>
        <v>317</v>
      </c>
      <c r="O47" s="75">
        <f t="shared" si="5"/>
        <v>10.819112627986348</v>
      </c>
      <c r="P47" s="75">
        <f>VLOOKUP($A47,'Data Vlaue (Cr)'!$C:$FB,119)</f>
        <v>0.67</v>
      </c>
      <c r="Q47" s="75">
        <f>VLOOKUP($A47,'Data Vlaue (Cr)'!$C:$FB,122)*100</f>
        <v>4.6899999999999995</v>
      </c>
      <c r="R47" s="75">
        <f>VLOOKUP($A47,'Data Vlaue (Cr)'!$C:$FB,125)</f>
        <v>0.37</v>
      </c>
      <c r="S47" s="75">
        <f>VLOOKUP($A47,'Data Vlaue (Cr)'!$C:$FB,128)*100</f>
        <v>2.78</v>
      </c>
    </row>
    <row r="48" spans="1:19" x14ac:dyDescent="0.25">
      <c r="A48" s="96" t="str">
        <f>'Data Vlaue (Cr)'!C39</f>
        <v>BSE</v>
      </c>
      <c r="B48" s="75">
        <f>VLOOKUP($A48,'Data Vlaue (Cr)'!$C:$FB,2)</f>
        <v>375</v>
      </c>
      <c r="C48" s="75">
        <f>VLOOKUP($A48,'Data Vlaue (Cr)'!$C:$FB,8)</f>
        <v>2744.9</v>
      </c>
      <c r="D48" s="75">
        <f>VLOOKUP($A48,'Data Vlaue (Cr)'!$C:$FB,4)</f>
        <v>2757.3</v>
      </c>
      <c r="E48" s="75">
        <f>VLOOKUP($A48,'Data Vlaue (Cr)'!$C:$FB,5)</f>
        <v>2716.6</v>
      </c>
      <c r="F48" s="75">
        <f t="shared" si="0"/>
        <v>12.400000000000091</v>
      </c>
      <c r="G48" s="75">
        <f t="shared" si="1"/>
        <v>1.4760816741014859</v>
      </c>
      <c r="H48" s="75">
        <f>VLOOKUP($A48,'Data Vlaue (Cr)'!$C:$FB,99)</f>
        <v>6470</v>
      </c>
      <c r="I48" s="75">
        <f>VLOOKUP($A48,'Data Vlaue (Cr)'!$C:$FB,100)</f>
        <v>6633</v>
      </c>
      <c r="J48" s="75">
        <f t="shared" si="2"/>
        <v>-163</v>
      </c>
      <c r="K48" s="75">
        <f t="shared" si="3"/>
        <v>-2.5193199381761979</v>
      </c>
      <c r="L48" s="75">
        <f>VLOOKUP($A48,'Data Vlaue (Cr)'!$C:$FB,67)</f>
        <v>6453</v>
      </c>
      <c r="M48" s="75">
        <f>VLOOKUP($A48,'Data Vlaue (Cr)'!$C:$FB,68)</f>
        <v>5981</v>
      </c>
      <c r="N48" s="75">
        <f t="shared" si="4"/>
        <v>472</v>
      </c>
      <c r="O48" s="75">
        <f t="shared" si="5"/>
        <v>7.3144273981094061</v>
      </c>
      <c r="P48" s="75">
        <f>VLOOKUP($A48,'Data Vlaue (Cr)'!$C:$FB,119)</f>
        <v>0.76</v>
      </c>
      <c r="Q48" s="75">
        <f>VLOOKUP($A48,'Data Vlaue (Cr)'!$C:$FB,122)*100</f>
        <v>8.57</v>
      </c>
      <c r="R48" s="75">
        <f>VLOOKUP($A48,'Data Vlaue (Cr)'!$C:$FB,125)</f>
        <v>0.51</v>
      </c>
      <c r="S48" s="75">
        <f>VLOOKUP($A48,'Data Vlaue (Cr)'!$C:$FB,128)*100</f>
        <v>0</v>
      </c>
    </row>
    <row r="49" spans="1:19" x14ac:dyDescent="0.25">
      <c r="A49" s="96" t="str">
        <f>'Data Vlaue (Cr)'!C40</f>
        <v>CAMS</v>
      </c>
      <c r="B49" s="75">
        <f>VLOOKUP($A49,'Data Vlaue (Cr)'!$C:$FB,2)</f>
        <v>750</v>
      </c>
      <c r="C49" s="75">
        <f>VLOOKUP($A49,'Data Vlaue (Cr)'!$C:$FB,8)</f>
        <v>756.8</v>
      </c>
      <c r="D49" s="75">
        <f>VLOOKUP($A49,'Data Vlaue (Cr)'!$C:$FB,4)</f>
        <v>757.95</v>
      </c>
      <c r="E49" s="75">
        <f>VLOOKUP($A49,'Data Vlaue (Cr)'!$C:$FB,5)</f>
        <v>751.6</v>
      </c>
      <c r="F49" s="75">
        <f t="shared" si="0"/>
        <v>1.1500000000000909</v>
      </c>
      <c r="G49" s="75">
        <f t="shared" si="1"/>
        <v>0.83778613364997989</v>
      </c>
      <c r="H49" s="75">
        <f>VLOOKUP($A49,'Data Vlaue (Cr)'!$C:$FB,99)</f>
        <v>986</v>
      </c>
      <c r="I49" s="75">
        <f>VLOOKUP($A49,'Data Vlaue (Cr)'!$C:$FB,100)</f>
        <v>969</v>
      </c>
      <c r="J49" s="75">
        <f t="shared" si="2"/>
        <v>17</v>
      </c>
      <c r="K49" s="75">
        <f t="shared" si="3"/>
        <v>1.7241379310344827</v>
      </c>
      <c r="L49" s="75">
        <f>VLOOKUP($A49,'Data Vlaue (Cr)'!$C:$FB,67)</f>
        <v>351</v>
      </c>
      <c r="M49" s="75">
        <f>VLOOKUP($A49,'Data Vlaue (Cr)'!$C:$FB,68)</f>
        <v>271</v>
      </c>
      <c r="N49" s="75">
        <f t="shared" si="4"/>
        <v>80</v>
      </c>
      <c r="O49" s="75">
        <f t="shared" si="5"/>
        <v>22.792022792022792</v>
      </c>
      <c r="P49" s="75">
        <f>VLOOKUP($A49,'Data Vlaue (Cr)'!$C:$FB,119)</f>
        <v>0.93</v>
      </c>
      <c r="Q49" s="75">
        <f>VLOOKUP($A49,'Data Vlaue (Cr)'!$C:$FB,122)*100</f>
        <v>-2.11</v>
      </c>
      <c r="R49" s="75">
        <f>VLOOKUP($A49,'Data Vlaue (Cr)'!$C:$FB,125)</f>
        <v>0.33</v>
      </c>
      <c r="S49" s="75">
        <f>VLOOKUP($A49,'Data Vlaue (Cr)'!$C:$FB,128)*100</f>
        <v>-17.5</v>
      </c>
    </row>
    <row r="50" spans="1:19" x14ac:dyDescent="0.25">
      <c r="A50" s="96" t="str">
        <f>'Data Vlaue (Cr)'!C41</f>
        <v>CANBK</v>
      </c>
      <c r="B50" s="75">
        <f>VLOOKUP($A50,'Data Vlaue (Cr)'!$C:$FB,2)</f>
        <v>6750</v>
      </c>
      <c r="C50" s="75">
        <f>VLOOKUP($A50,'Data Vlaue (Cr)'!$C:$FB,8)</f>
        <v>152.96</v>
      </c>
      <c r="D50" s="75">
        <f>VLOOKUP($A50,'Data Vlaue (Cr)'!$C:$FB,4)</f>
        <v>152.85</v>
      </c>
      <c r="E50" s="75">
        <f>VLOOKUP($A50,'Data Vlaue (Cr)'!$C:$FB,5)</f>
        <v>154.1</v>
      </c>
      <c r="F50" s="75">
        <f t="shared" si="0"/>
        <v>-0.11000000000001364</v>
      </c>
      <c r="G50" s="75">
        <f t="shared" si="1"/>
        <v>-0.81779522407589145</v>
      </c>
      <c r="H50" s="75">
        <f>VLOOKUP($A50,'Data Vlaue (Cr)'!$C:$FB,99)</f>
        <v>4822</v>
      </c>
      <c r="I50" s="75">
        <f>VLOOKUP($A50,'Data Vlaue (Cr)'!$C:$FB,100)</f>
        <v>4521</v>
      </c>
      <c r="J50" s="75">
        <f t="shared" si="2"/>
        <v>301</v>
      </c>
      <c r="K50" s="75">
        <f t="shared" si="3"/>
        <v>6.2422231439236828</v>
      </c>
      <c r="L50" s="75">
        <f>VLOOKUP($A50,'Data Vlaue (Cr)'!$C:$FB,67)</f>
        <v>3786</v>
      </c>
      <c r="M50" s="75">
        <f>VLOOKUP($A50,'Data Vlaue (Cr)'!$C:$FB,68)</f>
        <v>2626</v>
      </c>
      <c r="N50" s="75">
        <f t="shared" si="4"/>
        <v>1160</v>
      </c>
      <c r="O50" s="75">
        <f t="shared" si="5"/>
        <v>30.6391970417327</v>
      </c>
      <c r="P50" s="75">
        <f>VLOOKUP($A50,'Data Vlaue (Cr)'!$C:$FB,119)</f>
        <v>0.73</v>
      </c>
      <c r="Q50" s="75">
        <f>VLOOKUP($A50,'Data Vlaue (Cr)'!$C:$FB,122)*100</f>
        <v>-6.41</v>
      </c>
      <c r="R50" s="75">
        <f>VLOOKUP($A50,'Data Vlaue (Cr)'!$C:$FB,125)</f>
        <v>0.66</v>
      </c>
      <c r="S50" s="75">
        <f>VLOOKUP($A50,'Data Vlaue (Cr)'!$C:$FB,128)*100</f>
        <v>20</v>
      </c>
    </row>
    <row r="51" spans="1:19" x14ac:dyDescent="0.25">
      <c r="A51" s="96" t="str">
        <f>'Data Vlaue (Cr)'!C42</f>
        <v>CDSL</v>
      </c>
      <c r="B51" s="75">
        <f>VLOOKUP($A51,'Data Vlaue (Cr)'!$C:$FB,2)</f>
        <v>475</v>
      </c>
      <c r="C51" s="75">
        <f>VLOOKUP($A51,'Data Vlaue (Cr)'!$C:$FB,8)</f>
        <v>1475.6</v>
      </c>
      <c r="D51" s="75">
        <f>VLOOKUP($A51,'Data Vlaue (Cr)'!$C:$FB,4)</f>
        <v>1482.8</v>
      </c>
      <c r="E51" s="75">
        <f>VLOOKUP($A51,'Data Vlaue (Cr)'!$C:$FB,5)</f>
        <v>1462.5</v>
      </c>
      <c r="F51" s="75">
        <f t="shared" si="0"/>
        <v>7.2000000000000455</v>
      </c>
      <c r="G51" s="75">
        <f t="shared" si="1"/>
        <v>1.3690315619098972</v>
      </c>
      <c r="H51" s="75">
        <f>VLOOKUP($A51,'Data Vlaue (Cr)'!$C:$FB,99)</f>
        <v>3365</v>
      </c>
      <c r="I51" s="75">
        <f>VLOOKUP($A51,'Data Vlaue (Cr)'!$C:$FB,100)</f>
        <v>3398</v>
      </c>
      <c r="J51" s="75">
        <f t="shared" si="2"/>
        <v>-33</v>
      </c>
      <c r="K51" s="75">
        <f t="shared" si="3"/>
        <v>-0.98068350668647841</v>
      </c>
      <c r="L51" s="75">
        <f>VLOOKUP($A51,'Data Vlaue (Cr)'!$C:$FB,67)</f>
        <v>1569</v>
      </c>
      <c r="M51" s="75">
        <f>VLOOKUP($A51,'Data Vlaue (Cr)'!$C:$FB,68)</f>
        <v>1306</v>
      </c>
      <c r="N51" s="75">
        <f t="shared" si="4"/>
        <v>263</v>
      </c>
      <c r="O51" s="75">
        <f t="shared" si="5"/>
        <v>16.762268961121734</v>
      </c>
      <c r="P51" s="75">
        <f>VLOOKUP($A51,'Data Vlaue (Cr)'!$C:$FB,119)</f>
        <v>0.68</v>
      </c>
      <c r="Q51" s="75">
        <f>VLOOKUP($A51,'Data Vlaue (Cr)'!$C:$FB,122)*100</f>
        <v>-5.56</v>
      </c>
      <c r="R51" s="75">
        <f>VLOOKUP($A51,'Data Vlaue (Cr)'!$C:$FB,125)</f>
        <v>0.48</v>
      </c>
      <c r="S51" s="75">
        <f>VLOOKUP($A51,'Data Vlaue (Cr)'!$C:$FB,128)*100</f>
        <v>-4</v>
      </c>
    </row>
    <row r="52" spans="1:19" x14ac:dyDescent="0.25">
      <c r="A52" s="96" t="str">
        <f>'Data Vlaue (Cr)'!C43</f>
        <v>CGPOWER</v>
      </c>
      <c r="B52" s="75">
        <f>VLOOKUP($A52,'Data Vlaue (Cr)'!$C:$FB,2)</f>
        <v>850</v>
      </c>
      <c r="C52" s="75">
        <f>VLOOKUP($A52,'Data Vlaue (Cr)'!$C:$FB,8)</f>
        <v>636.95000000000005</v>
      </c>
      <c r="D52" s="75">
        <f>VLOOKUP($A52,'Data Vlaue (Cr)'!$C:$FB,4)</f>
        <v>638.65</v>
      </c>
      <c r="E52" s="75">
        <f>VLOOKUP($A52,'Data Vlaue (Cr)'!$C:$FB,5)</f>
        <v>641</v>
      </c>
      <c r="F52" s="75">
        <f t="shared" si="0"/>
        <v>1.6999999999999318</v>
      </c>
      <c r="G52" s="75">
        <f t="shared" si="1"/>
        <v>-0.36796367337352581</v>
      </c>
      <c r="H52" s="75">
        <f>VLOOKUP($A52,'Data Vlaue (Cr)'!$C:$FB,99)</f>
        <v>1599</v>
      </c>
      <c r="I52" s="75">
        <f>VLOOKUP($A52,'Data Vlaue (Cr)'!$C:$FB,100)</f>
        <v>1537</v>
      </c>
      <c r="J52" s="75">
        <f t="shared" si="2"/>
        <v>62</v>
      </c>
      <c r="K52" s="75">
        <f t="shared" si="3"/>
        <v>3.877423389618512</v>
      </c>
      <c r="L52" s="75">
        <f>VLOOKUP($A52,'Data Vlaue (Cr)'!$C:$FB,67)</f>
        <v>524</v>
      </c>
      <c r="M52" s="75">
        <f>VLOOKUP($A52,'Data Vlaue (Cr)'!$C:$FB,68)</f>
        <v>437</v>
      </c>
      <c r="N52" s="75">
        <f t="shared" si="4"/>
        <v>87</v>
      </c>
      <c r="O52" s="75">
        <f t="shared" si="5"/>
        <v>16.603053435114504</v>
      </c>
      <c r="P52" s="75">
        <f>VLOOKUP($A52,'Data Vlaue (Cr)'!$C:$FB,119)</f>
        <v>0.65</v>
      </c>
      <c r="Q52" s="75">
        <f>VLOOKUP($A52,'Data Vlaue (Cr)'!$C:$FB,122)*100</f>
        <v>-7.1400000000000006</v>
      </c>
      <c r="R52" s="75">
        <f>VLOOKUP($A52,'Data Vlaue (Cr)'!$C:$FB,125)</f>
        <v>0.37</v>
      </c>
      <c r="S52" s="75">
        <f>VLOOKUP($A52,'Data Vlaue (Cr)'!$C:$FB,128)*100</f>
        <v>2.78</v>
      </c>
    </row>
    <row r="53" spans="1:19" x14ac:dyDescent="0.25">
      <c r="A53" s="96" t="str">
        <f>'Data Vlaue (Cr)'!C44</f>
        <v>CHOLAFIN</v>
      </c>
      <c r="B53" s="75">
        <f>VLOOKUP($A53,'Data Vlaue (Cr)'!$C:$FB,2)</f>
        <v>625</v>
      </c>
      <c r="C53" s="75">
        <f>VLOOKUP($A53,'Data Vlaue (Cr)'!$C:$FB,8)</f>
        <v>1786.5</v>
      </c>
      <c r="D53" s="75">
        <f>VLOOKUP($A53,'Data Vlaue (Cr)'!$C:$FB,4)</f>
        <v>1794.7</v>
      </c>
      <c r="E53" s="75">
        <f>VLOOKUP($A53,'Data Vlaue (Cr)'!$C:$FB,5)</f>
        <v>1813.3</v>
      </c>
      <c r="F53" s="75">
        <f t="shared" si="0"/>
        <v>8.2000000000000455</v>
      </c>
      <c r="G53" s="75">
        <f t="shared" si="1"/>
        <v>-1.0363849111272028</v>
      </c>
      <c r="H53" s="75">
        <f>VLOOKUP($A53,'Data Vlaue (Cr)'!$C:$FB,99)</f>
        <v>3793</v>
      </c>
      <c r="I53" s="75">
        <f>VLOOKUP($A53,'Data Vlaue (Cr)'!$C:$FB,100)</f>
        <v>3808</v>
      </c>
      <c r="J53" s="75">
        <f t="shared" si="2"/>
        <v>-15</v>
      </c>
      <c r="K53" s="75">
        <f t="shared" si="3"/>
        <v>-0.39546533087266011</v>
      </c>
      <c r="L53" s="75">
        <f>VLOOKUP($A53,'Data Vlaue (Cr)'!$C:$FB,67)</f>
        <v>1237</v>
      </c>
      <c r="M53" s="75">
        <f>VLOOKUP($A53,'Data Vlaue (Cr)'!$C:$FB,68)</f>
        <v>5612</v>
      </c>
      <c r="N53" s="75">
        <f t="shared" si="4"/>
        <v>-4375</v>
      </c>
      <c r="O53" s="75">
        <f t="shared" si="5"/>
        <v>-353.67825383993534</v>
      </c>
      <c r="P53" s="75">
        <f>VLOOKUP($A53,'Data Vlaue (Cr)'!$C:$FB,119)</f>
        <v>0.85</v>
      </c>
      <c r="Q53" s="75">
        <f>VLOOKUP($A53,'Data Vlaue (Cr)'!$C:$FB,122)*100</f>
        <v>-4.49</v>
      </c>
      <c r="R53" s="75">
        <f>VLOOKUP($A53,'Data Vlaue (Cr)'!$C:$FB,125)</f>
        <v>0.88</v>
      </c>
      <c r="S53" s="75">
        <f>VLOOKUP($A53,'Data Vlaue (Cr)'!$C:$FB,128)*100</f>
        <v>114.63000000000001</v>
      </c>
    </row>
    <row r="54" spans="1:19" x14ac:dyDescent="0.25">
      <c r="A54" s="96" t="str">
        <f>'Data Vlaue (Cr)'!C45</f>
        <v>CIPLA</v>
      </c>
      <c r="B54" s="75">
        <f>VLOOKUP($A54,'Data Vlaue (Cr)'!$C:$FB,2)</f>
        <v>375</v>
      </c>
      <c r="C54" s="75">
        <f>VLOOKUP($A54,'Data Vlaue (Cr)'!$C:$FB,8)</f>
        <v>1467.9</v>
      </c>
      <c r="D54" s="75">
        <f>VLOOKUP($A54,'Data Vlaue (Cr)'!$C:$FB,4)</f>
        <v>1471.6</v>
      </c>
      <c r="E54" s="75">
        <f>VLOOKUP($A54,'Data Vlaue (Cr)'!$C:$FB,5)</f>
        <v>1537.9</v>
      </c>
      <c r="F54" s="75">
        <f t="shared" si="0"/>
        <v>3.6999999999998181</v>
      </c>
      <c r="G54" s="75">
        <f t="shared" si="1"/>
        <v>-4.5053003533569029</v>
      </c>
      <c r="H54" s="75">
        <f>VLOOKUP($A54,'Data Vlaue (Cr)'!$C:$FB,99)</f>
        <v>3528</v>
      </c>
      <c r="I54" s="75">
        <f>VLOOKUP($A54,'Data Vlaue (Cr)'!$C:$FB,100)</f>
        <v>2674</v>
      </c>
      <c r="J54" s="75">
        <f t="shared" si="2"/>
        <v>854</v>
      </c>
      <c r="K54" s="75">
        <f t="shared" si="3"/>
        <v>24.206349206349206</v>
      </c>
      <c r="L54" s="75">
        <f>VLOOKUP($A54,'Data Vlaue (Cr)'!$C:$FB,67)</f>
        <v>9863</v>
      </c>
      <c r="M54" s="75">
        <f>VLOOKUP($A54,'Data Vlaue (Cr)'!$C:$FB,68)</f>
        <v>1774</v>
      </c>
      <c r="N54" s="75">
        <f t="shared" si="4"/>
        <v>8089</v>
      </c>
      <c r="O54" s="75">
        <f t="shared" si="5"/>
        <v>82.013586129980737</v>
      </c>
      <c r="P54" s="75">
        <f>VLOOKUP($A54,'Data Vlaue (Cr)'!$C:$FB,119)</f>
        <v>0.76</v>
      </c>
      <c r="Q54" s="75">
        <f>VLOOKUP($A54,'Data Vlaue (Cr)'!$C:$FB,122)*100</f>
        <v>0</v>
      </c>
      <c r="R54" s="75">
        <f>VLOOKUP($A54,'Data Vlaue (Cr)'!$C:$FB,125)</f>
        <v>1.1599999999999999</v>
      </c>
      <c r="S54" s="75">
        <f>VLOOKUP($A54,'Data Vlaue (Cr)'!$C:$FB,128)*100</f>
        <v>222.22</v>
      </c>
    </row>
    <row r="55" spans="1:19" x14ac:dyDescent="0.25">
      <c r="A55" s="96" t="str">
        <f>'Data Vlaue (Cr)'!C46</f>
        <v>COALINDIA</v>
      </c>
      <c r="B55" s="75">
        <f>VLOOKUP($A55,'Data Vlaue (Cr)'!$C:$FB,2)</f>
        <v>1350</v>
      </c>
      <c r="C55" s="75">
        <f>VLOOKUP($A55,'Data Vlaue (Cr)'!$C:$FB,8)</f>
        <v>431.65</v>
      </c>
      <c r="D55" s="75">
        <f>VLOOKUP($A55,'Data Vlaue (Cr)'!$C:$FB,4)</f>
        <v>432.75</v>
      </c>
      <c r="E55" s="75">
        <f>VLOOKUP($A55,'Data Vlaue (Cr)'!$C:$FB,5)</f>
        <v>428.15</v>
      </c>
      <c r="F55" s="75">
        <f t="shared" si="0"/>
        <v>1.1000000000000227</v>
      </c>
      <c r="G55" s="75">
        <f t="shared" si="1"/>
        <v>1.0629693818602017</v>
      </c>
      <c r="H55" s="75">
        <f>VLOOKUP($A55,'Data Vlaue (Cr)'!$C:$FB,99)</f>
        <v>5606</v>
      </c>
      <c r="I55" s="75">
        <f>VLOOKUP($A55,'Data Vlaue (Cr)'!$C:$FB,100)</f>
        <v>5525</v>
      </c>
      <c r="J55" s="75">
        <f t="shared" si="2"/>
        <v>81</v>
      </c>
      <c r="K55" s="75">
        <f t="shared" si="3"/>
        <v>1.4448804851944346</v>
      </c>
      <c r="L55" s="75">
        <f>VLOOKUP($A55,'Data Vlaue (Cr)'!$C:$FB,67)</f>
        <v>3589</v>
      </c>
      <c r="M55" s="75">
        <f>VLOOKUP($A55,'Data Vlaue (Cr)'!$C:$FB,68)</f>
        <v>3324</v>
      </c>
      <c r="N55" s="75">
        <f t="shared" si="4"/>
        <v>265</v>
      </c>
      <c r="O55" s="75">
        <f t="shared" si="5"/>
        <v>7.3836723321259399</v>
      </c>
      <c r="P55" s="75">
        <f>VLOOKUP($A55,'Data Vlaue (Cr)'!$C:$FB,119)</f>
        <v>0.56000000000000005</v>
      </c>
      <c r="Q55" s="75">
        <f>VLOOKUP($A55,'Data Vlaue (Cr)'!$C:$FB,122)*100</f>
        <v>-1.7500000000000002</v>
      </c>
      <c r="R55" s="75">
        <f>VLOOKUP($A55,'Data Vlaue (Cr)'!$C:$FB,125)</f>
        <v>0.32</v>
      </c>
      <c r="S55" s="75">
        <f>VLOOKUP($A55,'Data Vlaue (Cr)'!$C:$FB,128)*100</f>
        <v>-25.580000000000002</v>
      </c>
    </row>
    <row r="56" spans="1:19" x14ac:dyDescent="0.25">
      <c r="A56" s="96" t="str">
        <f>'Data Vlaue (Cr)'!C47</f>
        <v>COFORGE</v>
      </c>
      <c r="B56" s="75">
        <f>VLOOKUP($A56,'Data Vlaue (Cr)'!$C:$FB,2)</f>
        <v>375</v>
      </c>
      <c r="C56" s="75">
        <f>VLOOKUP($A56,'Data Vlaue (Cr)'!$C:$FB,8)</f>
        <v>1701.5</v>
      </c>
      <c r="D56" s="75">
        <f>VLOOKUP($A56,'Data Vlaue (Cr)'!$C:$FB,4)</f>
        <v>1704.2</v>
      </c>
      <c r="E56" s="75">
        <f>VLOOKUP($A56,'Data Vlaue (Cr)'!$C:$FB,5)</f>
        <v>1661.5</v>
      </c>
      <c r="F56" s="75">
        <f t="shared" si="0"/>
        <v>2.7000000000000455</v>
      </c>
      <c r="G56" s="75">
        <f t="shared" si="1"/>
        <v>2.5055744630911891</v>
      </c>
      <c r="H56" s="75">
        <f>VLOOKUP($A56,'Data Vlaue (Cr)'!$C:$FB,99)</f>
        <v>5501</v>
      </c>
      <c r="I56" s="75">
        <f>VLOOKUP($A56,'Data Vlaue (Cr)'!$C:$FB,100)</f>
        <v>5688</v>
      </c>
      <c r="J56" s="75">
        <f t="shared" si="2"/>
        <v>-187</v>
      </c>
      <c r="K56" s="75">
        <f t="shared" si="3"/>
        <v>-3.3993819305580804</v>
      </c>
      <c r="L56" s="75">
        <f>VLOOKUP($A56,'Data Vlaue (Cr)'!$C:$FB,67)</f>
        <v>4518</v>
      </c>
      <c r="M56" s="75">
        <f>VLOOKUP($A56,'Data Vlaue (Cr)'!$C:$FB,68)</f>
        <v>2206</v>
      </c>
      <c r="N56" s="75">
        <f t="shared" si="4"/>
        <v>2312</v>
      </c>
      <c r="O56" s="75">
        <f t="shared" si="5"/>
        <v>51.173085436033638</v>
      </c>
      <c r="P56" s="75">
        <f>VLOOKUP($A56,'Data Vlaue (Cr)'!$C:$FB,119)</f>
        <v>0.49</v>
      </c>
      <c r="Q56" s="75">
        <f>VLOOKUP($A56,'Data Vlaue (Cr)'!$C:$FB,122)*100</f>
        <v>0</v>
      </c>
      <c r="R56" s="75">
        <f>VLOOKUP($A56,'Data Vlaue (Cr)'!$C:$FB,125)</f>
        <v>0.31</v>
      </c>
      <c r="S56" s="75">
        <f>VLOOKUP($A56,'Data Vlaue (Cr)'!$C:$FB,128)*100</f>
        <v>6.9</v>
      </c>
    </row>
    <row r="57" spans="1:19" x14ac:dyDescent="0.25">
      <c r="A57" s="96" t="str">
        <f>'Data Vlaue (Cr)'!C48</f>
        <v>COLPAL</v>
      </c>
      <c r="B57" s="75">
        <f>VLOOKUP($A57,'Data Vlaue (Cr)'!$C:$FB,2)</f>
        <v>225</v>
      </c>
      <c r="C57" s="75">
        <f>VLOOKUP($A57,'Data Vlaue (Cr)'!$C:$FB,8)</f>
        <v>2076.6</v>
      </c>
      <c r="D57" s="75">
        <f>VLOOKUP($A57,'Data Vlaue (Cr)'!$C:$FB,4)</f>
        <v>2081.3000000000002</v>
      </c>
      <c r="E57" s="75">
        <f>VLOOKUP($A57,'Data Vlaue (Cr)'!$C:$FB,5)</f>
        <v>2100.1</v>
      </c>
      <c r="F57" s="75">
        <f t="shared" si="0"/>
        <v>4.7000000000002728</v>
      </c>
      <c r="G57" s="75">
        <f t="shared" si="1"/>
        <v>-0.90328160284436287</v>
      </c>
      <c r="H57" s="75">
        <f>VLOOKUP($A57,'Data Vlaue (Cr)'!$C:$FB,99)</f>
        <v>2334</v>
      </c>
      <c r="I57" s="75">
        <f>VLOOKUP($A57,'Data Vlaue (Cr)'!$C:$FB,100)</f>
        <v>2269</v>
      </c>
      <c r="J57" s="75">
        <f t="shared" si="2"/>
        <v>65</v>
      </c>
      <c r="K57" s="75">
        <f t="shared" si="3"/>
        <v>2.7849185946872321</v>
      </c>
      <c r="L57" s="75">
        <f>VLOOKUP($A57,'Data Vlaue (Cr)'!$C:$FB,67)</f>
        <v>533</v>
      </c>
      <c r="M57" s="75">
        <f>VLOOKUP($A57,'Data Vlaue (Cr)'!$C:$FB,68)</f>
        <v>902</v>
      </c>
      <c r="N57" s="75">
        <f t="shared" si="4"/>
        <v>-369</v>
      </c>
      <c r="O57" s="75">
        <f t="shared" si="5"/>
        <v>-69.230769230769226</v>
      </c>
      <c r="P57" s="75">
        <f>VLOOKUP($A57,'Data Vlaue (Cr)'!$C:$FB,119)</f>
        <v>0.61</v>
      </c>
      <c r="Q57" s="75">
        <f>VLOOKUP($A57,'Data Vlaue (Cr)'!$C:$FB,122)*100</f>
        <v>-4.6899999999999995</v>
      </c>
      <c r="R57" s="75">
        <f>VLOOKUP($A57,'Data Vlaue (Cr)'!$C:$FB,125)</f>
        <v>0.32</v>
      </c>
      <c r="S57" s="75">
        <f>VLOOKUP($A57,'Data Vlaue (Cr)'!$C:$FB,128)*100</f>
        <v>-11.110000000000001</v>
      </c>
    </row>
    <row r="58" spans="1:19" x14ac:dyDescent="0.25">
      <c r="A58" s="96" t="str">
        <f>'Data Vlaue (Cr)'!C49</f>
        <v>CONCOR</v>
      </c>
      <c r="B58" s="75">
        <f>VLOOKUP($A58,'Data Vlaue (Cr)'!$C:$FB,2)</f>
        <v>1250</v>
      </c>
      <c r="C58" s="75">
        <f>VLOOKUP($A58,'Data Vlaue (Cr)'!$C:$FB,8)</f>
        <v>532.79999999999995</v>
      </c>
      <c r="D58" s="75">
        <f>VLOOKUP($A58,'Data Vlaue (Cr)'!$C:$FB,4)</f>
        <v>534.04999999999995</v>
      </c>
      <c r="E58" s="75">
        <f>VLOOKUP($A58,'Data Vlaue (Cr)'!$C:$FB,5)</f>
        <v>531.29999999999995</v>
      </c>
      <c r="F58" s="75">
        <f t="shared" si="0"/>
        <v>1.25</v>
      </c>
      <c r="G58" s="75">
        <f t="shared" si="1"/>
        <v>0.51493305870236872</v>
      </c>
      <c r="H58" s="75">
        <f>VLOOKUP($A58,'Data Vlaue (Cr)'!$C:$FB,99)</f>
        <v>3024</v>
      </c>
      <c r="I58" s="75">
        <f>VLOOKUP($A58,'Data Vlaue (Cr)'!$C:$FB,100)</f>
        <v>3038</v>
      </c>
      <c r="J58" s="75">
        <f t="shared" si="2"/>
        <v>-14</v>
      </c>
      <c r="K58" s="75">
        <f t="shared" si="3"/>
        <v>-0.46296296296296291</v>
      </c>
      <c r="L58" s="75">
        <f>VLOOKUP($A58,'Data Vlaue (Cr)'!$C:$FB,67)</f>
        <v>592</v>
      </c>
      <c r="M58" s="75">
        <f>VLOOKUP($A58,'Data Vlaue (Cr)'!$C:$FB,68)</f>
        <v>568</v>
      </c>
      <c r="N58" s="75">
        <f t="shared" si="4"/>
        <v>24</v>
      </c>
      <c r="O58" s="75">
        <f t="shared" si="5"/>
        <v>4.0540540540540544</v>
      </c>
      <c r="P58" s="75">
        <f>VLOOKUP($A58,'Data Vlaue (Cr)'!$C:$FB,119)</f>
        <v>0.67</v>
      </c>
      <c r="Q58" s="75">
        <f>VLOOKUP($A58,'Data Vlaue (Cr)'!$C:$FB,122)*100</f>
        <v>1.52</v>
      </c>
      <c r="R58" s="75">
        <f>VLOOKUP($A58,'Data Vlaue (Cr)'!$C:$FB,125)</f>
        <v>0.33</v>
      </c>
      <c r="S58" s="75">
        <f>VLOOKUP($A58,'Data Vlaue (Cr)'!$C:$FB,128)*100</f>
        <v>10</v>
      </c>
    </row>
    <row r="59" spans="1:19" x14ac:dyDescent="0.25">
      <c r="A59" s="96" t="str">
        <f>'Data Vlaue (Cr)'!C50</f>
        <v>CROMPTON</v>
      </c>
      <c r="B59" s="75">
        <f>VLOOKUP($A59,'Data Vlaue (Cr)'!$C:$FB,2)</f>
        <v>1800</v>
      </c>
      <c r="C59" s="75">
        <f>VLOOKUP($A59,'Data Vlaue (Cr)'!$C:$FB,8)</f>
        <v>263.45</v>
      </c>
      <c r="D59" s="75">
        <f>VLOOKUP($A59,'Data Vlaue (Cr)'!$C:$FB,4)</f>
        <v>264.10000000000002</v>
      </c>
      <c r="E59" s="75">
        <f>VLOOKUP($A59,'Data Vlaue (Cr)'!$C:$FB,5)</f>
        <v>260.85000000000002</v>
      </c>
      <c r="F59" s="75">
        <f t="shared" si="0"/>
        <v>0.65000000000003411</v>
      </c>
      <c r="G59" s="75">
        <f t="shared" si="1"/>
        <v>1.2305944717909882</v>
      </c>
      <c r="H59" s="75">
        <f>VLOOKUP($A59,'Data Vlaue (Cr)'!$C:$FB,99)</f>
        <v>2214</v>
      </c>
      <c r="I59" s="75">
        <f>VLOOKUP($A59,'Data Vlaue (Cr)'!$C:$FB,100)</f>
        <v>2243</v>
      </c>
      <c r="J59" s="75">
        <f t="shared" si="2"/>
        <v>-29</v>
      </c>
      <c r="K59" s="75">
        <f t="shared" si="3"/>
        <v>-1.3098464317976515</v>
      </c>
      <c r="L59" s="75">
        <f>VLOOKUP($A59,'Data Vlaue (Cr)'!$C:$FB,67)</f>
        <v>1103</v>
      </c>
      <c r="M59" s="75">
        <f>VLOOKUP($A59,'Data Vlaue (Cr)'!$C:$FB,68)</f>
        <v>1027</v>
      </c>
      <c r="N59" s="75">
        <f t="shared" si="4"/>
        <v>76</v>
      </c>
      <c r="O59" s="75">
        <f t="shared" si="5"/>
        <v>6.8902991840435179</v>
      </c>
      <c r="P59" s="75">
        <f>VLOOKUP($A59,'Data Vlaue (Cr)'!$C:$FB,119)</f>
        <v>0.68</v>
      </c>
      <c r="Q59" s="75">
        <f>VLOOKUP($A59,'Data Vlaue (Cr)'!$C:$FB,122)*100</f>
        <v>6.25</v>
      </c>
      <c r="R59" s="75">
        <f>VLOOKUP($A59,'Data Vlaue (Cr)'!$C:$FB,125)</f>
        <v>0.25</v>
      </c>
      <c r="S59" s="75">
        <f>VLOOKUP($A59,'Data Vlaue (Cr)'!$C:$FB,128)*100</f>
        <v>31.580000000000002</v>
      </c>
    </row>
    <row r="60" spans="1:19" x14ac:dyDescent="0.25">
      <c r="A60" s="96" t="str">
        <f>'Data Vlaue (Cr)'!C51</f>
        <v>CUMMINSIND</v>
      </c>
      <c r="B60" s="75">
        <f>VLOOKUP($A60,'Data Vlaue (Cr)'!$C:$FB,2)</f>
        <v>200</v>
      </c>
      <c r="C60" s="75">
        <f>VLOOKUP($A60,'Data Vlaue (Cr)'!$C:$FB,8)</f>
        <v>4147.8999999999996</v>
      </c>
      <c r="D60" s="75">
        <f>VLOOKUP($A60,'Data Vlaue (Cr)'!$C:$FB,4)</f>
        <v>4167.2</v>
      </c>
      <c r="E60" s="75">
        <f>VLOOKUP($A60,'Data Vlaue (Cr)'!$C:$FB,5)</f>
        <v>4151.3</v>
      </c>
      <c r="F60" s="75">
        <f t="shared" si="0"/>
        <v>19.300000000000182</v>
      </c>
      <c r="G60" s="75">
        <f t="shared" si="1"/>
        <v>0.3815511614513255</v>
      </c>
      <c r="H60" s="75">
        <f>VLOOKUP($A60,'Data Vlaue (Cr)'!$C:$FB,99)</f>
        <v>2537</v>
      </c>
      <c r="I60" s="75">
        <f>VLOOKUP($A60,'Data Vlaue (Cr)'!$C:$FB,100)</f>
        <v>2497</v>
      </c>
      <c r="J60" s="75">
        <f t="shared" si="2"/>
        <v>40</v>
      </c>
      <c r="K60" s="75">
        <f t="shared" si="3"/>
        <v>1.5766653527788728</v>
      </c>
      <c r="L60" s="75">
        <f>VLOOKUP($A60,'Data Vlaue (Cr)'!$C:$FB,67)</f>
        <v>1421</v>
      </c>
      <c r="M60" s="75">
        <f>VLOOKUP($A60,'Data Vlaue (Cr)'!$C:$FB,68)</f>
        <v>3640</v>
      </c>
      <c r="N60" s="75">
        <f t="shared" si="4"/>
        <v>-2219</v>
      </c>
      <c r="O60" s="75">
        <f t="shared" si="5"/>
        <v>-156.1576354679803</v>
      </c>
      <c r="P60" s="75">
        <f>VLOOKUP($A60,'Data Vlaue (Cr)'!$C:$FB,119)</f>
        <v>0.56000000000000005</v>
      </c>
      <c r="Q60" s="75">
        <f>VLOOKUP($A60,'Data Vlaue (Cr)'!$C:$FB,122)*100</f>
        <v>5.66</v>
      </c>
      <c r="R60" s="75">
        <f>VLOOKUP($A60,'Data Vlaue (Cr)'!$C:$FB,125)</f>
        <v>0.67</v>
      </c>
      <c r="S60" s="75">
        <f>VLOOKUP($A60,'Data Vlaue (Cr)'!$C:$FB,128)*100</f>
        <v>-31.630000000000003</v>
      </c>
    </row>
    <row r="61" spans="1:19" x14ac:dyDescent="0.25">
      <c r="A61" s="96" t="str">
        <f>'Data Vlaue (Cr)'!C52</f>
        <v>DABUR</v>
      </c>
      <c r="B61" s="75">
        <f>VLOOKUP($A61,'Data Vlaue (Cr)'!$C:$FB,2)</f>
        <v>1250</v>
      </c>
      <c r="C61" s="75">
        <f>VLOOKUP($A61,'Data Vlaue (Cr)'!$C:$FB,8)</f>
        <v>520.9</v>
      </c>
      <c r="D61" s="75">
        <f>VLOOKUP($A61,'Data Vlaue (Cr)'!$C:$FB,4)</f>
        <v>523.4</v>
      </c>
      <c r="E61" s="75">
        <f>VLOOKUP($A61,'Data Vlaue (Cr)'!$C:$FB,5)</f>
        <v>522.65</v>
      </c>
      <c r="F61" s="75">
        <f t="shared" si="0"/>
        <v>2.5</v>
      </c>
      <c r="G61" s="75">
        <f t="shared" si="1"/>
        <v>0.14329384791746275</v>
      </c>
      <c r="H61" s="75">
        <f>VLOOKUP($A61,'Data Vlaue (Cr)'!$C:$FB,99)</f>
        <v>2511</v>
      </c>
      <c r="I61" s="75">
        <f>VLOOKUP($A61,'Data Vlaue (Cr)'!$C:$FB,100)</f>
        <v>2535</v>
      </c>
      <c r="J61" s="75">
        <f t="shared" si="2"/>
        <v>-24</v>
      </c>
      <c r="K61" s="75">
        <f t="shared" si="3"/>
        <v>-0.95579450418160095</v>
      </c>
      <c r="L61" s="75">
        <f>VLOOKUP($A61,'Data Vlaue (Cr)'!$C:$FB,67)</f>
        <v>926</v>
      </c>
      <c r="M61" s="75">
        <f>VLOOKUP($A61,'Data Vlaue (Cr)'!$C:$FB,68)</f>
        <v>3705</v>
      </c>
      <c r="N61" s="75">
        <f t="shared" si="4"/>
        <v>-2779</v>
      </c>
      <c r="O61" s="75">
        <f t="shared" si="5"/>
        <v>-300.10799136069113</v>
      </c>
      <c r="P61" s="75">
        <f>VLOOKUP($A61,'Data Vlaue (Cr)'!$C:$FB,119)</f>
        <v>0.65</v>
      </c>
      <c r="Q61" s="75">
        <f>VLOOKUP($A61,'Data Vlaue (Cr)'!$C:$FB,122)*100</f>
        <v>0</v>
      </c>
      <c r="R61" s="75">
        <f>VLOOKUP($A61,'Data Vlaue (Cr)'!$C:$FB,125)</f>
        <v>0.47</v>
      </c>
      <c r="S61" s="75">
        <f>VLOOKUP($A61,'Data Vlaue (Cr)'!$C:$FB,128)*100</f>
        <v>-6</v>
      </c>
    </row>
    <row r="62" spans="1:19" x14ac:dyDescent="0.25">
      <c r="A62" s="96" t="str">
        <f>'Data Vlaue (Cr)'!C53</f>
        <v>DALBHARAT</v>
      </c>
      <c r="B62" s="75">
        <f>VLOOKUP($A62,'Data Vlaue (Cr)'!$C:$FB,2)</f>
        <v>325</v>
      </c>
      <c r="C62" s="75">
        <f>VLOOKUP($A62,'Data Vlaue (Cr)'!$C:$FB,8)</f>
        <v>2121.1999999999998</v>
      </c>
      <c r="D62" s="75">
        <f>VLOOKUP($A62,'Data Vlaue (Cr)'!$C:$FB,4)</f>
        <v>2131.6</v>
      </c>
      <c r="E62" s="75">
        <f>VLOOKUP($A62,'Data Vlaue (Cr)'!$C:$FB,5)</f>
        <v>2127.3000000000002</v>
      </c>
      <c r="F62" s="75">
        <f t="shared" si="0"/>
        <v>10.400000000000091</v>
      </c>
      <c r="G62" s="75">
        <f t="shared" si="1"/>
        <v>0.20172640270218276</v>
      </c>
      <c r="H62" s="75">
        <f>VLOOKUP($A62,'Data Vlaue (Cr)'!$C:$FB,99)</f>
        <v>906</v>
      </c>
      <c r="I62" s="75">
        <f>VLOOKUP($A62,'Data Vlaue (Cr)'!$C:$FB,100)</f>
        <v>890</v>
      </c>
      <c r="J62" s="75">
        <f t="shared" si="2"/>
        <v>16</v>
      </c>
      <c r="K62" s="75">
        <f t="shared" si="3"/>
        <v>1.7660044150110374</v>
      </c>
      <c r="L62" s="75">
        <f>VLOOKUP($A62,'Data Vlaue (Cr)'!$C:$FB,67)</f>
        <v>303</v>
      </c>
      <c r="M62" s="75">
        <f>VLOOKUP($A62,'Data Vlaue (Cr)'!$C:$FB,68)</f>
        <v>212</v>
      </c>
      <c r="N62" s="75">
        <f t="shared" si="4"/>
        <v>91</v>
      </c>
      <c r="O62" s="75">
        <f t="shared" si="5"/>
        <v>30.033003300330037</v>
      </c>
      <c r="P62" s="75">
        <f>VLOOKUP($A62,'Data Vlaue (Cr)'!$C:$FB,119)</f>
        <v>0.59</v>
      </c>
      <c r="Q62" s="75">
        <f>VLOOKUP($A62,'Data Vlaue (Cr)'!$C:$FB,122)*100</f>
        <v>7.2700000000000005</v>
      </c>
      <c r="R62" s="75">
        <f>VLOOKUP($A62,'Data Vlaue (Cr)'!$C:$FB,125)</f>
        <v>0.3</v>
      </c>
      <c r="S62" s="75">
        <f>VLOOKUP($A62,'Data Vlaue (Cr)'!$C:$FB,128)*100</f>
        <v>-30.23</v>
      </c>
    </row>
    <row r="63" spans="1:19" x14ac:dyDescent="0.25">
      <c r="A63" s="96" t="str">
        <f>'Data Vlaue (Cr)'!C54</f>
        <v>DELHIVERY</v>
      </c>
      <c r="B63" s="75">
        <f>VLOOKUP($A63,'Data Vlaue (Cr)'!$C:$FB,2)</f>
        <v>2075</v>
      </c>
      <c r="C63" s="75">
        <f>VLOOKUP($A63,'Data Vlaue (Cr)'!$C:$FB,8)</f>
        <v>422.25</v>
      </c>
      <c r="D63" s="75">
        <f>VLOOKUP($A63,'Data Vlaue (Cr)'!$C:$FB,4)</f>
        <v>424.4</v>
      </c>
      <c r="E63" s="75">
        <f>VLOOKUP($A63,'Data Vlaue (Cr)'!$C:$FB,5)</f>
        <v>416.2</v>
      </c>
      <c r="F63" s="75">
        <f t="shared" si="0"/>
        <v>2.1499999999999773</v>
      </c>
      <c r="G63" s="75">
        <f t="shared" si="1"/>
        <v>1.9321394910461802</v>
      </c>
      <c r="H63" s="75">
        <f>VLOOKUP($A63,'Data Vlaue (Cr)'!$C:$FB,99)</f>
        <v>1408</v>
      </c>
      <c r="I63" s="75">
        <f>VLOOKUP($A63,'Data Vlaue (Cr)'!$C:$FB,100)</f>
        <v>1281</v>
      </c>
      <c r="J63" s="75">
        <f t="shared" si="2"/>
        <v>127</v>
      </c>
      <c r="K63" s="75">
        <f t="shared" si="3"/>
        <v>9.0198863636363633</v>
      </c>
      <c r="L63" s="75">
        <f>VLOOKUP($A63,'Data Vlaue (Cr)'!$C:$FB,67)</f>
        <v>1755</v>
      </c>
      <c r="M63" s="75">
        <f>VLOOKUP($A63,'Data Vlaue (Cr)'!$C:$FB,68)</f>
        <v>959</v>
      </c>
      <c r="N63" s="75">
        <f t="shared" si="4"/>
        <v>796</v>
      </c>
      <c r="O63" s="75">
        <f t="shared" si="5"/>
        <v>45.356125356125354</v>
      </c>
      <c r="P63" s="75">
        <f>VLOOKUP($A63,'Data Vlaue (Cr)'!$C:$FB,119)</f>
        <v>0.77</v>
      </c>
      <c r="Q63" s="75">
        <f>VLOOKUP($A63,'Data Vlaue (Cr)'!$C:$FB,122)*100</f>
        <v>-9.41</v>
      </c>
      <c r="R63" s="75">
        <f>VLOOKUP($A63,'Data Vlaue (Cr)'!$C:$FB,125)</f>
        <v>0.4</v>
      </c>
      <c r="S63" s="75">
        <f>VLOOKUP($A63,'Data Vlaue (Cr)'!$C:$FB,128)*100</f>
        <v>14.29</v>
      </c>
    </row>
    <row r="64" spans="1:19" x14ac:dyDescent="0.25">
      <c r="A64" s="96" t="str">
        <f>'Data Vlaue (Cr)'!C55</f>
        <v>DIVISLAB</v>
      </c>
      <c r="B64" s="75">
        <f>VLOOKUP($A64,'Data Vlaue (Cr)'!$C:$FB,2)</f>
        <v>100</v>
      </c>
      <c r="C64" s="75">
        <f>VLOOKUP($A64,'Data Vlaue (Cr)'!$C:$FB,8)</f>
        <v>6642.5</v>
      </c>
      <c r="D64" s="75">
        <f>VLOOKUP($A64,'Data Vlaue (Cr)'!$C:$FB,4)</f>
        <v>6657.5</v>
      </c>
      <c r="E64" s="75">
        <f>VLOOKUP($A64,'Data Vlaue (Cr)'!$C:$FB,5)</f>
        <v>6676.5</v>
      </c>
      <c r="F64" s="75">
        <f t="shared" si="0"/>
        <v>15</v>
      </c>
      <c r="G64" s="75">
        <f t="shared" si="1"/>
        <v>-0.28539241457003378</v>
      </c>
      <c r="H64" s="75">
        <f>VLOOKUP($A64,'Data Vlaue (Cr)'!$C:$FB,99)</f>
        <v>3632</v>
      </c>
      <c r="I64" s="75">
        <f>VLOOKUP($A64,'Data Vlaue (Cr)'!$C:$FB,100)</f>
        <v>3541</v>
      </c>
      <c r="J64" s="75">
        <f t="shared" si="2"/>
        <v>91</v>
      </c>
      <c r="K64" s="75">
        <f t="shared" si="3"/>
        <v>2.5055066079295156</v>
      </c>
      <c r="L64" s="75">
        <f>VLOOKUP($A64,'Data Vlaue (Cr)'!$C:$FB,67)</f>
        <v>3171</v>
      </c>
      <c r="M64" s="75">
        <f>VLOOKUP($A64,'Data Vlaue (Cr)'!$C:$FB,68)</f>
        <v>8631</v>
      </c>
      <c r="N64" s="75">
        <f t="shared" si="4"/>
        <v>-5460</v>
      </c>
      <c r="O64" s="75">
        <f t="shared" si="5"/>
        <v>-172.18543046357615</v>
      </c>
      <c r="P64" s="75">
        <f>VLOOKUP($A64,'Data Vlaue (Cr)'!$C:$FB,119)</f>
        <v>0.64</v>
      </c>
      <c r="Q64" s="75">
        <f>VLOOKUP($A64,'Data Vlaue (Cr)'!$C:$FB,122)*100</f>
        <v>-3.0300000000000002</v>
      </c>
      <c r="R64" s="75">
        <f>VLOOKUP($A64,'Data Vlaue (Cr)'!$C:$FB,125)</f>
        <v>0.28999999999999998</v>
      </c>
      <c r="S64" s="75">
        <f>VLOOKUP($A64,'Data Vlaue (Cr)'!$C:$FB,128)*100</f>
        <v>31.819999999999997</v>
      </c>
    </row>
    <row r="65" spans="1:19" x14ac:dyDescent="0.25">
      <c r="A65" s="96" t="str">
        <f>'Data Vlaue (Cr)'!C56</f>
        <v>DIXON</v>
      </c>
      <c r="B65" s="75">
        <f>VLOOKUP($A65,'Data Vlaue (Cr)'!$C:$FB,2)</f>
        <v>50</v>
      </c>
      <c r="C65" s="75">
        <f>VLOOKUP($A65,'Data Vlaue (Cr)'!$C:$FB,8)</f>
        <v>11770</v>
      </c>
      <c r="D65" s="75">
        <f>VLOOKUP($A65,'Data Vlaue (Cr)'!$C:$FB,4)</f>
        <v>11827</v>
      </c>
      <c r="E65" s="75">
        <f>VLOOKUP($A65,'Data Vlaue (Cr)'!$C:$FB,5)</f>
        <v>11739</v>
      </c>
      <c r="F65" s="75">
        <f t="shared" si="0"/>
        <v>57</v>
      </c>
      <c r="G65" s="75">
        <f t="shared" si="1"/>
        <v>0.74406020123446348</v>
      </c>
      <c r="H65" s="75">
        <f>VLOOKUP($A65,'Data Vlaue (Cr)'!$C:$FB,99)</f>
        <v>9278</v>
      </c>
      <c r="I65" s="75">
        <f>VLOOKUP($A65,'Data Vlaue (Cr)'!$C:$FB,100)</f>
        <v>9018</v>
      </c>
      <c r="J65" s="75">
        <f t="shared" si="2"/>
        <v>260</v>
      </c>
      <c r="K65" s="75">
        <f t="shared" si="3"/>
        <v>2.8023280879499892</v>
      </c>
      <c r="L65" s="75">
        <f>VLOOKUP($A65,'Data Vlaue (Cr)'!$C:$FB,67)</f>
        <v>11176</v>
      </c>
      <c r="M65" s="75">
        <f>VLOOKUP($A65,'Data Vlaue (Cr)'!$C:$FB,68)</f>
        <v>8001</v>
      </c>
      <c r="N65" s="75">
        <f t="shared" si="4"/>
        <v>3175</v>
      </c>
      <c r="O65" s="75">
        <f t="shared" si="5"/>
        <v>28.40909090909091</v>
      </c>
      <c r="P65" s="75">
        <f>VLOOKUP($A65,'Data Vlaue (Cr)'!$C:$FB,119)</f>
        <v>0.59</v>
      </c>
      <c r="Q65" s="75">
        <f>VLOOKUP($A65,'Data Vlaue (Cr)'!$C:$FB,122)*100</f>
        <v>1.72</v>
      </c>
      <c r="R65" s="75">
        <f>VLOOKUP($A65,'Data Vlaue (Cr)'!$C:$FB,125)</f>
        <v>0.7</v>
      </c>
      <c r="S65" s="75">
        <f>VLOOKUP($A65,'Data Vlaue (Cr)'!$C:$FB,128)*100</f>
        <v>-12.5</v>
      </c>
    </row>
    <row r="66" spans="1:19" x14ac:dyDescent="0.25">
      <c r="A66" s="96" t="str">
        <f>'Data Vlaue (Cr)'!C57</f>
        <v>DLF</v>
      </c>
      <c r="B66" s="75">
        <f>VLOOKUP($A66,'Data Vlaue (Cr)'!$C:$FB,2)</f>
        <v>825</v>
      </c>
      <c r="C66" s="75">
        <f>VLOOKUP($A66,'Data Vlaue (Cr)'!$C:$FB,8)</f>
        <v>703.25</v>
      </c>
      <c r="D66" s="75">
        <f>VLOOKUP($A66,'Data Vlaue (Cr)'!$C:$FB,4)</f>
        <v>706.45</v>
      </c>
      <c r="E66" s="75">
        <f>VLOOKUP($A66,'Data Vlaue (Cr)'!$C:$FB,5)</f>
        <v>708.2</v>
      </c>
      <c r="F66" s="75">
        <f t="shared" si="0"/>
        <v>3.2000000000000455</v>
      </c>
      <c r="G66" s="75">
        <f t="shared" si="1"/>
        <v>-0.24771746054214733</v>
      </c>
      <c r="H66" s="75">
        <f>VLOOKUP($A66,'Data Vlaue (Cr)'!$C:$FB,99)</f>
        <v>5385</v>
      </c>
      <c r="I66" s="75">
        <f>VLOOKUP($A66,'Data Vlaue (Cr)'!$C:$FB,100)</f>
        <v>5309</v>
      </c>
      <c r="J66" s="75">
        <f t="shared" si="2"/>
        <v>76</v>
      </c>
      <c r="K66" s="75">
        <f t="shared" si="3"/>
        <v>1.4113277623026927</v>
      </c>
      <c r="L66" s="75">
        <f>VLOOKUP($A66,'Data Vlaue (Cr)'!$C:$FB,67)</f>
        <v>2024</v>
      </c>
      <c r="M66" s="75">
        <f>VLOOKUP($A66,'Data Vlaue (Cr)'!$C:$FB,68)</f>
        <v>2165</v>
      </c>
      <c r="N66" s="75">
        <f t="shared" si="4"/>
        <v>-141</v>
      </c>
      <c r="O66" s="75">
        <f t="shared" si="5"/>
        <v>-6.9664031620553359</v>
      </c>
      <c r="P66" s="75">
        <f>VLOOKUP($A66,'Data Vlaue (Cr)'!$C:$FB,119)</f>
        <v>0.75</v>
      </c>
      <c r="Q66" s="75">
        <f>VLOOKUP($A66,'Data Vlaue (Cr)'!$C:$FB,122)*100</f>
        <v>-6.25</v>
      </c>
      <c r="R66" s="75">
        <f>VLOOKUP($A66,'Data Vlaue (Cr)'!$C:$FB,125)</f>
        <v>0.38</v>
      </c>
      <c r="S66" s="75">
        <f>VLOOKUP($A66,'Data Vlaue (Cr)'!$C:$FB,128)*100</f>
        <v>31.03</v>
      </c>
    </row>
    <row r="67" spans="1:19" x14ac:dyDescent="0.25">
      <c r="A67" s="96" t="str">
        <f>'Data Vlaue (Cr)'!C58</f>
        <v>DMART</v>
      </c>
      <c r="B67" s="75">
        <f>VLOOKUP($A67,'Data Vlaue (Cr)'!$C:$FB,2)</f>
        <v>150</v>
      </c>
      <c r="C67" s="75">
        <f>VLOOKUP($A67,'Data Vlaue (Cr)'!$C:$FB,8)</f>
        <v>3841.6</v>
      </c>
      <c r="D67" s="75">
        <f>VLOOKUP($A67,'Data Vlaue (Cr)'!$C:$FB,4)</f>
        <v>3857.7</v>
      </c>
      <c r="E67" s="75">
        <f>VLOOKUP($A67,'Data Vlaue (Cr)'!$C:$FB,5)</f>
        <v>3681.6</v>
      </c>
      <c r="F67" s="75">
        <f t="shared" si="0"/>
        <v>16.099999999999909</v>
      </c>
      <c r="G67" s="75">
        <f t="shared" si="1"/>
        <v>4.5648961816626459</v>
      </c>
      <c r="H67" s="75">
        <f>VLOOKUP($A67,'Data Vlaue (Cr)'!$C:$FB,99)</f>
        <v>3529</v>
      </c>
      <c r="I67" s="75">
        <f>VLOOKUP($A67,'Data Vlaue (Cr)'!$C:$FB,100)</f>
        <v>3480</v>
      </c>
      <c r="J67" s="75">
        <f t="shared" si="2"/>
        <v>49</v>
      </c>
      <c r="K67" s="75">
        <f t="shared" si="3"/>
        <v>1.3884953244545197</v>
      </c>
      <c r="L67" s="75">
        <f>VLOOKUP($A67,'Data Vlaue (Cr)'!$C:$FB,67)</f>
        <v>6930</v>
      </c>
      <c r="M67" s="75">
        <f>VLOOKUP($A67,'Data Vlaue (Cr)'!$C:$FB,68)</f>
        <v>2090</v>
      </c>
      <c r="N67" s="75">
        <f t="shared" si="4"/>
        <v>4840</v>
      </c>
      <c r="O67" s="75">
        <f t="shared" si="5"/>
        <v>69.841269841269835</v>
      </c>
      <c r="P67" s="75">
        <f>VLOOKUP($A67,'Data Vlaue (Cr)'!$C:$FB,119)</f>
        <v>0.8</v>
      </c>
      <c r="Q67" s="75">
        <f>VLOOKUP($A67,'Data Vlaue (Cr)'!$C:$FB,122)*100</f>
        <v>-1.23</v>
      </c>
      <c r="R67" s="75">
        <f>VLOOKUP($A67,'Data Vlaue (Cr)'!$C:$FB,125)</f>
        <v>0.28000000000000003</v>
      </c>
      <c r="S67" s="75">
        <f>VLOOKUP($A67,'Data Vlaue (Cr)'!$C:$FB,128)*100</f>
        <v>-46.150000000000006</v>
      </c>
    </row>
    <row r="68" spans="1:19" x14ac:dyDescent="0.25">
      <c r="A68" s="96" t="str">
        <f>'Data Vlaue (Cr)'!C59</f>
        <v>DRREDDY</v>
      </c>
      <c r="B68" s="75">
        <f>VLOOKUP($A68,'Data Vlaue (Cr)'!$C:$FB,2)</f>
        <v>625</v>
      </c>
      <c r="C68" s="75">
        <f>VLOOKUP($A68,'Data Vlaue (Cr)'!$C:$FB,8)</f>
        <v>1242.8</v>
      </c>
      <c r="D68" s="75">
        <f>VLOOKUP($A68,'Data Vlaue (Cr)'!$C:$FB,4)</f>
        <v>1246.2</v>
      </c>
      <c r="E68" s="75">
        <f>VLOOKUP($A68,'Data Vlaue (Cr)'!$C:$FB,5)</f>
        <v>1259</v>
      </c>
      <c r="F68" s="75">
        <f t="shared" si="0"/>
        <v>3.4000000000000909</v>
      </c>
      <c r="G68" s="75">
        <f t="shared" si="1"/>
        <v>-1.027122452254851</v>
      </c>
      <c r="H68" s="75">
        <f>VLOOKUP($A68,'Data Vlaue (Cr)'!$C:$FB,99)</f>
        <v>2803</v>
      </c>
      <c r="I68" s="75">
        <f>VLOOKUP($A68,'Data Vlaue (Cr)'!$C:$FB,100)</f>
        <v>2672</v>
      </c>
      <c r="J68" s="75">
        <f t="shared" si="2"/>
        <v>131</v>
      </c>
      <c r="K68" s="75">
        <f t="shared" si="3"/>
        <v>4.673564038530146</v>
      </c>
      <c r="L68" s="75">
        <f>VLOOKUP($A68,'Data Vlaue (Cr)'!$C:$FB,67)</f>
        <v>1561</v>
      </c>
      <c r="M68" s="75">
        <f>VLOOKUP($A68,'Data Vlaue (Cr)'!$C:$FB,68)</f>
        <v>737</v>
      </c>
      <c r="N68" s="75">
        <f t="shared" si="4"/>
        <v>824</v>
      </c>
      <c r="O68" s="75">
        <f t="shared" si="5"/>
        <v>52.786675208199874</v>
      </c>
      <c r="P68" s="75">
        <f>VLOOKUP($A68,'Data Vlaue (Cr)'!$C:$FB,119)</f>
        <v>0.66</v>
      </c>
      <c r="Q68" s="75">
        <f>VLOOKUP($A68,'Data Vlaue (Cr)'!$C:$FB,122)*100</f>
        <v>-4.3499999999999996</v>
      </c>
      <c r="R68" s="75">
        <f>VLOOKUP($A68,'Data Vlaue (Cr)'!$C:$FB,125)</f>
        <v>0.4</v>
      </c>
      <c r="S68" s="75">
        <f>VLOOKUP($A68,'Data Vlaue (Cr)'!$C:$FB,128)*100</f>
        <v>14.29</v>
      </c>
    </row>
    <row r="69" spans="1:19" x14ac:dyDescent="0.25">
      <c r="A69" s="96" t="str">
        <f>'Data Vlaue (Cr)'!C60</f>
        <v>EICHERMOT</v>
      </c>
      <c r="B69" s="75">
        <f>VLOOKUP($A69,'Data Vlaue (Cr)'!$C:$FB,2)</f>
        <v>100</v>
      </c>
      <c r="C69" s="75">
        <f>VLOOKUP($A69,'Data Vlaue (Cr)'!$C:$FB,8)</f>
        <v>7582.5</v>
      </c>
      <c r="D69" s="75">
        <f>VLOOKUP($A69,'Data Vlaue (Cr)'!$C:$FB,4)</f>
        <v>7617</v>
      </c>
      <c r="E69" s="75">
        <f>VLOOKUP($A69,'Data Vlaue (Cr)'!$C:$FB,5)</f>
        <v>7557</v>
      </c>
      <c r="F69" s="75">
        <f t="shared" si="0"/>
        <v>34.5</v>
      </c>
      <c r="G69" s="75">
        <f t="shared" si="1"/>
        <v>0.78771169751870818</v>
      </c>
      <c r="H69" s="75">
        <f>VLOOKUP($A69,'Data Vlaue (Cr)'!$C:$FB,99)</f>
        <v>4394</v>
      </c>
      <c r="I69" s="75">
        <f>VLOOKUP($A69,'Data Vlaue (Cr)'!$C:$FB,100)</f>
        <v>4175</v>
      </c>
      <c r="J69" s="75">
        <f t="shared" si="2"/>
        <v>219</v>
      </c>
      <c r="K69" s="75">
        <f t="shared" si="3"/>
        <v>4.9840691852526176</v>
      </c>
      <c r="L69" s="75">
        <f>VLOOKUP($A69,'Data Vlaue (Cr)'!$C:$FB,67)</f>
        <v>2638</v>
      </c>
      <c r="M69" s="75">
        <f>VLOOKUP($A69,'Data Vlaue (Cr)'!$C:$FB,68)</f>
        <v>3703</v>
      </c>
      <c r="N69" s="75">
        <f t="shared" si="4"/>
        <v>-1065</v>
      </c>
      <c r="O69" s="75">
        <f t="shared" si="5"/>
        <v>-40.37149355572403</v>
      </c>
      <c r="P69" s="75">
        <f>VLOOKUP($A69,'Data Vlaue (Cr)'!$C:$FB,119)</f>
        <v>1.1100000000000001</v>
      </c>
      <c r="Q69" s="75">
        <f>VLOOKUP($A69,'Data Vlaue (Cr)'!$C:$FB,122)*100</f>
        <v>6.7299999999999995</v>
      </c>
      <c r="R69" s="75">
        <f>VLOOKUP($A69,'Data Vlaue (Cr)'!$C:$FB,125)</f>
        <v>0.83</v>
      </c>
      <c r="S69" s="75">
        <f>VLOOKUP($A69,'Data Vlaue (Cr)'!$C:$FB,128)*100</f>
        <v>23.880000000000003</v>
      </c>
    </row>
    <row r="70" spans="1:19" x14ac:dyDescent="0.25">
      <c r="A70" s="96" t="str">
        <f>'Data Vlaue (Cr)'!C61</f>
        <v>ETERNAL</v>
      </c>
      <c r="B70" s="75">
        <f>VLOOKUP($A70,'Data Vlaue (Cr)'!$C:$FB,2)</f>
        <v>2425</v>
      </c>
      <c r="C70" s="75">
        <f>VLOOKUP($A70,'Data Vlaue (Cr)'!$C:$FB,8)</f>
        <v>280.95</v>
      </c>
      <c r="D70" s="75">
        <f>VLOOKUP($A70,'Data Vlaue (Cr)'!$C:$FB,4)</f>
        <v>282.39999999999998</v>
      </c>
      <c r="E70" s="75">
        <f>VLOOKUP($A70,'Data Vlaue (Cr)'!$C:$FB,5)</f>
        <v>279.60000000000002</v>
      </c>
      <c r="F70" s="75">
        <f t="shared" si="0"/>
        <v>1.4499999999999886</v>
      </c>
      <c r="G70" s="75">
        <f t="shared" si="1"/>
        <v>0.99150141643057887</v>
      </c>
      <c r="H70" s="75">
        <f>VLOOKUP($A70,'Data Vlaue (Cr)'!$C:$FB,99)</f>
        <v>10419</v>
      </c>
      <c r="I70" s="75">
        <f>VLOOKUP($A70,'Data Vlaue (Cr)'!$C:$FB,100)</f>
        <v>10056</v>
      </c>
      <c r="J70" s="75">
        <f t="shared" si="2"/>
        <v>363</v>
      </c>
      <c r="K70" s="75">
        <f t="shared" si="3"/>
        <v>3.4840195796141664</v>
      </c>
      <c r="L70" s="75">
        <f>VLOOKUP($A70,'Data Vlaue (Cr)'!$C:$FB,67)</f>
        <v>4732</v>
      </c>
      <c r="M70" s="75">
        <f>VLOOKUP($A70,'Data Vlaue (Cr)'!$C:$FB,68)</f>
        <v>3031</v>
      </c>
      <c r="N70" s="75">
        <f t="shared" si="4"/>
        <v>1701</v>
      </c>
      <c r="O70" s="75">
        <f t="shared" si="5"/>
        <v>35.946745562130175</v>
      </c>
      <c r="P70" s="75">
        <f>VLOOKUP($A70,'Data Vlaue (Cr)'!$C:$FB,119)</f>
        <v>0.73</v>
      </c>
      <c r="Q70" s="75">
        <f>VLOOKUP($A70,'Data Vlaue (Cr)'!$C:$FB,122)*100</f>
        <v>-1.35</v>
      </c>
      <c r="R70" s="75">
        <f>VLOOKUP($A70,'Data Vlaue (Cr)'!$C:$FB,125)</f>
        <v>0.59</v>
      </c>
      <c r="S70" s="75">
        <f>VLOOKUP($A70,'Data Vlaue (Cr)'!$C:$FB,128)*100</f>
        <v>-15.709999999999999</v>
      </c>
    </row>
    <row r="71" spans="1:19" x14ac:dyDescent="0.25">
      <c r="A71" s="96" t="str">
        <f>'Data Vlaue (Cr)'!C62</f>
        <v>EXIDEIND</v>
      </c>
      <c r="B71" s="75">
        <f>VLOOKUP($A71,'Data Vlaue (Cr)'!$C:$FB,2)</f>
        <v>1800</v>
      </c>
      <c r="C71" s="75">
        <f>VLOOKUP($A71,'Data Vlaue (Cr)'!$C:$FB,8)</f>
        <v>359.4</v>
      </c>
      <c r="D71" s="75">
        <f>VLOOKUP($A71,'Data Vlaue (Cr)'!$C:$FB,4)</f>
        <v>360.35</v>
      </c>
      <c r="E71" s="75">
        <f>VLOOKUP($A71,'Data Vlaue (Cr)'!$C:$FB,5)</f>
        <v>364.9</v>
      </c>
      <c r="F71" s="75">
        <f t="shared" si="0"/>
        <v>0.95000000000004547</v>
      </c>
      <c r="G71" s="75">
        <f t="shared" si="1"/>
        <v>-1.2626613015124057</v>
      </c>
      <c r="H71" s="75">
        <f>VLOOKUP($A71,'Data Vlaue (Cr)'!$C:$FB,99)</f>
        <v>2074</v>
      </c>
      <c r="I71" s="75">
        <f>VLOOKUP($A71,'Data Vlaue (Cr)'!$C:$FB,100)</f>
        <v>1917</v>
      </c>
      <c r="J71" s="75">
        <f t="shared" si="2"/>
        <v>157</v>
      </c>
      <c r="K71" s="75">
        <f t="shared" si="3"/>
        <v>7.5699132111861136</v>
      </c>
      <c r="L71" s="75">
        <f>VLOOKUP($A71,'Data Vlaue (Cr)'!$C:$FB,67)</f>
        <v>772</v>
      </c>
      <c r="M71" s="75">
        <f>VLOOKUP($A71,'Data Vlaue (Cr)'!$C:$FB,68)</f>
        <v>704</v>
      </c>
      <c r="N71" s="75">
        <f t="shared" si="4"/>
        <v>68</v>
      </c>
      <c r="O71" s="75">
        <f t="shared" si="5"/>
        <v>8.8082901554404138</v>
      </c>
      <c r="P71" s="75">
        <f>VLOOKUP($A71,'Data Vlaue (Cr)'!$C:$FB,119)</f>
        <v>0.64</v>
      </c>
      <c r="Q71" s="75">
        <f>VLOOKUP($A71,'Data Vlaue (Cr)'!$C:$FB,122)*100</f>
        <v>0</v>
      </c>
      <c r="R71" s="75">
        <f>VLOOKUP($A71,'Data Vlaue (Cr)'!$C:$FB,125)</f>
        <v>0.42</v>
      </c>
      <c r="S71" s="75">
        <f>VLOOKUP($A71,'Data Vlaue (Cr)'!$C:$FB,128)*100</f>
        <v>7.6899999999999995</v>
      </c>
    </row>
    <row r="72" spans="1:19" x14ac:dyDescent="0.25">
      <c r="A72" s="96" t="str">
        <f>'Data Vlaue (Cr)'!C63</f>
        <v>FEDERALBNK</v>
      </c>
      <c r="B72" s="75">
        <f>VLOOKUP($A72,'Data Vlaue (Cr)'!$C:$FB,2)</f>
        <v>5000</v>
      </c>
      <c r="C72" s="75">
        <f>VLOOKUP($A72,'Data Vlaue (Cr)'!$C:$FB,8)</f>
        <v>258.55</v>
      </c>
      <c r="D72" s="75">
        <f>VLOOKUP($A72,'Data Vlaue (Cr)'!$C:$FB,4)</f>
        <v>258.89999999999998</v>
      </c>
      <c r="E72" s="75">
        <f>VLOOKUP($A72,'Data Vlaue (Cr)'!$C:$FB,5)</f>
        <v>258.05</v>
      </c>
      <c r="F72" s="75">
        <f t="shared" si="0"/>
        <v>0.34999999999996589</v>
      </c>
      <c r="G72" s="75">
        <f t="shared" si="1"/>
        <v>0.32831208960987485</v>
      </c>
      <c r="H72" s="75">
        <f>VLOOKUP($A72,'Data Vlaue (Cr)'!$C:$FB,99)</f>
        <v>2914</v>
      </c>
      <c r="I72" s="75">
        <f>VLOOKUP($A72,'Data Vlaue (Cr)'!$C:$FB,100)</f>
        <v>2885</v>
      </c>
      <c r="J72" s="75">
        <f t="shared" si="2"/>
        <v>29</v>
      </c>
      <c r="K72" s="75">
        <f t="shared" si="3"/>
        <v>0.99519560741249147</v>
      </c>
      <c r="L72" s="75">
        <f>VLOOKUP($A72,'Data Vlaue (Cr)'!$C:$FB,67)</f>
        <v>2344</v>
      </c>
      <c r="M72" s="75">
        <f>VLOOKUP($A72,'Data Vlaue (Cr)'!$C:$FB,68)</f>
        <v>3922</v>
      </c>
      <c r="N72" s="75">
        <f t="shared" si="4"/>
        <v>-1578</v>
      </c>
      <c r="O72" s="75">
        <f t="shared" si="5"/>
        <v>-67.320819112627987</v>
      </c>
      <c r="P72" s="75">
        <f>VLOOKUP($A72,'Data Vlaue (Cr)'!$C:$FB,119)</f>
        <v>0.76</v>
      </c>
      <c r="Q72" s="75">
        <f>VLOOKUP($A72,'Data Vlaue (Cr)'!$C:$FB,122)*100</f>
        <v>1.3299999999999998</v>
      </c>
      <c r="R72" s="75">
        <f>VLOOKUP($A72,'Data Vlaue (Cr)'!$C:$FB,125)</f>
        <v>0.45</v>
      </c>
      <c r="S72" s="75">
        <f>VLOOKUP($A72,'Data Vlaue (Cr)'!$C:$FB,128)*100</f>
        <v>-21.05</v>
      </c>
    </row>
    <row r="73" spans="1:19" x14ac:dyDescent="0.25">
      <c r="A73" s="96" t="str">
        <f>'Data Vlaue (Cr)'!C64</f>
        <v>FINNIFTY</v>
      </c>
      <c r="B73" s="75">
        <f>VLOOKUP($A73,'Data Vlaue (Cr)'!$C:$FB,2)</f>
        <v>60</v>
      </c>
      <c r="C73" s="75">
        <f>VLOOKUP($A73,'Data Vlaue (Cr)'!$C:$FB,8)</f>
        <v>27853.35</v>
      </c>
      <c r="D73" s="75">
        <f>VLOOKUP($A73,'Data Vlaue (Cr)'!$C:$FB,4)</f>
        <v>27955.3</v>
      </c>
      <c r="E73" s="75">
        <f>VLOOKUP($A73,'Data Vlaue (Cr)'!$C:$FB,5)</f>
        <v>28041.1</v>
      </c>
      <c r="F73" s="75">
        <f t="shared" si="0"/>
        <v>101.95000000000073</v>
      </c>
      <c r="G73" s="75">
        <f t="shared" si="1"/>
        <v>-0.30691854496284882</v>
      </c>
      <c r="H73" s="75">
        <f>VLOOKUP($A73,'Data Vlaue (Cr)'!$C:$FB,99)</f>
        <v>2542</v>
      </c>
      <c r="I73" s="75">
        <f>VLOOKUP($A73,'Data Vlaue (Cr)'!$C:$FB,100)</f>
        <v>2738</v>
      </c>
      <c r="J73" s="75">
        <f t="shared" si="2"/>
        <v>-196</v>
      </c>
      <c r="K73" s="75">
        <f t="shared" si="3"/>
        <v>-7.7104642014162073</v>
      </c>
      <c r="L73" s="75">
        <f>VLOOKUP($A73,'Data Vlaue (Cr)'!$C:$FB,67)</f>
        <v>4609</v>
      </c>
      <c r="M73" s="75">
        <f>VLOOKUP($A73,'Data Vlaue (Cr)'!$C:$FB,68)</f>
        <v>8350</v>
      </c>
      <c r="N73" s="75">
        <f t="shared" si="4"/>
        <v>-3741</v>
      </c>
      <c r="O73" s="75">
        <f t="shared" si="5"/>
        <v>-81.167281405944891</v>
      </c>
      <c r="P73" s="75">
        <f>VLOOKUP($A73,'Data Vlaue (Cr)'!$C:$FB,119)</f>
        <v>0.75</v>
      </c>
      <c r="Q73" s="75">
        <f>VLOOKUP($A73,'Data Vlaue (Cr)'!$C:$FB,122)*100</f>
        <v>0</v>
      </c>
      <c r="R73" s="75">
        <f>VLOOKUP($A73,'Data Vlaue (Cr)'!$C:$FB,125)</f>
        <v>1.04</v>
      </c>
      <c r="S73" s="75">
        <f>VLOOKUP($A73,'Data Vlaue (Cr)'!$C:$FB,128)*100</f>
        <v>36.840000000000003</v>
      </c>
    </row>
    <row r="74" spans="1:19" x14ac:dyDescent="0.25">
      <c r="A74" s="96" t="str">
        <f>'Data Vlaue (Cr)'!C65</f>
        <v>FORTIS</v>
      </c>
      <c r="B74" s="75">
        <f>VLOOKUP($A74,'Data Vlaue (Cr)'!$C:$FB,2)</f>
        <v>775</v>
      </c>
      <c r="C74" s="75">
        <f>VLOOKUP($A74,'Data Vlaue (Cr)'!$C:$FB,8)</f>
        <v>940.85</v>
      </c>
      <c r="D74" s="75">
        <f>VLOOKUP($A74,'Data Vlaue (Cr)'!$C:$FB,4)</f>
        <v>942.6</v>
      </c>
      <c r="E74" s="75">
        <f>VLOOKUP($A74,'Data Vlaue (Cr)'!$C:$FB,5)</f>
        <v>947.5</v>
      </c>
      <c r="F74" s="75">
        <f t="shared" si="0"/>
        <v>1.75</v>
      </c>
      <c r="G74" s="75">
        <f t="shared" si="1"/>
        <v>-0.51983874389984908</v>
      </c>
      <c r="H74" s="75">
        <f>VLOOKUP($A74,'Data Vlaue (Cr)'!$C:$FB,99)</f>
        <v>1581</v>
      </c>
      <c r="I74" s="75">
        <f>VLOOKUP($A74,'Data Vlaue (Cr)'!$C:$FB,100)</f>
        <v>1555</v>
      </c>
      <c r="J74" s="75">
        <f t="shared" si="2"/>
        <v>26</v>
      </c>
      <c r="K74" s="75">
        <f t="shared" si="3"/>
        <v>1.6445287792536369</v>
      </c>
      <c r="L74" s="75">
        <f>VLOOKUP($A74,'Data Vlaue (Cr)'!$C:$FB,67)</f>
        <v>867</v>
      </c>
      <c r="M74" s="75">
        <f>VLOOKUP($A74,'Data Vlaue (Cr)'!$C:$FB,68)</f>
        <v>2212</v>
      </c>
      <c r="N74" s="75">
        <f t="shared" si="4"/>
        <v>-1345</v>
      </c>
      <c r="O74" s="75">
        <f t="shared" si="5"/>
        <v>-155.13264129181084</v>
      </c>
      <c r="P74" s="75">
        <f>VLOOKUP($A74,'Data Vlaue (Cr)'!$C:$FB,119)</f>
        <v>0.65</v>
      </c>
      <c r="Q74" s="75">
        <f>VLOOKUP($A74,'Data Vlaue (Cr)'!$C:$FB,122)*100</f>
        <v>1.5599999999999998</v>
      </c>
      <c r="R74" s="75">
        <f>VLOOKUP($A74,'Data Vlaue (Cr)'!$C:$FB,125)</f>
        <v>0.31</v>
      </c>
      <c r="S74" s="75">
        <f>VLOOKUP($A74,'Data Vlaue (Cr)'!$C:$FB,128)*100</f>
        <v>63.160000000000004</v>
      </c>
    </row>
    <row r="75" spans="1:19" x14ac:dyDescent="0.25">
      <c r="A75" s="96" t="str">
        <f>'Data Vlaue (Cr)'!C66</f>
        <v>GAIL</v>
      </c>
      <c r="B75" s="75">
        <f>VLOOKUP($A75,'Data Vlaue (Cr)'!$C:$FB,2)</f>
        <v>3150</v>
      </c>
      <c r="C75" s="75">
        <f>VLOOKUP($A75,'Data Vlaue (Cr)'!$C:$FB,8)</f>
        <v>168.48</v>
      </c>
      <c r="D75" s="75">
        <f>VLOOKUP($A75,'Data Vlaue (Cr)'!$C:$FB,4)</f>
        <v>169.05</v>
      </c>
      <c r="E75" s="75">
        <f>VLOOKUP($A75,'Data Vlaue (Cr)'!$C:$FB,5)</f>
        <v>170.07</v>
      </c>
      <c r="F75" s="75">
        <f t="shared" si="0"/>
        <v>0.5700000000000216</v>
      </c>
      <c r="G75" s="75">
        <f>(D75-E75)/D75*100</f>
        <v>-0.60337178349599629</v>
      </c>
      <c r="H75" s="75">
        <f>VLOOKUP($A75,'Data Vlaue (Cr)'!$C:$FB,99)</f>
        <v>2702</v>
      </c>
      <c r="I75" s="75">
        <f>VLOOKUP($A75,'Data Vlaue (Cr)'!$C:$FB,100)</f>
        <v>2565</v>
      </c>
      <c r="J75" s="75">
        <f t="shared" si="2"/>
        <v>137</v>
      </c>
      <c r="K75" s="75">
        <f t="shared" si="3"/>
        <v>5.070318282753516</v>
      </c>
      <c r="L75" s="75">
        <f>VLOOKUP($A75,'Data Vlaue (Cr)'!$C:$FB,67)</f>
        <v>895</v>
      </c>
      <c r="M75" s="75">
        <f>VLOOKUP($A75,'Data Vlaue (Cr)'!$C:$FB,68)</f>
        <v>920</v>
      </c>
      <c r="N75" s="75">
        <f t="shared" si="4"/>
        <v>-25</v>
      </c>
      <c r="O75" s="75">
        <f t="shared" si="5"/>
        <v>-2.7932960893854748</v>
      </c>
      <c r="P75" s="75">
        <f>VLOOKUP($A75,'Data Vlaue (Cr)'!$C:$FB,119)</f>
        <v>0.87</v>
      </c>
      <c r="Q75" s="75">
        <f>VLOOKUP($A75,'Data Vlaue (Cr)'!$C:$FB,122)*100</f>
        <v>-2.25</v>
      </c>
      <c r="R75" s="75">
        <f>VLOOKUP($A75,'Data Vlaue (Cr)'!$C:$FB,125)</f>
        <v>0.55000000000000004</v>
      </c>
      <c r="S75" s="75">
        <f>VLOOKUP($A75,'Data Vlaue (Cr)'!$C:$FB,128)*100</f>
        <v>-1.79</v>
      </c>
    </row>
    <row r="76" spans="1:19" x14ac:dyDescent="0.25">
      <c r="A76" s="96" t="str">
        <f>'Data Vlaue (Cr)'!C67</f>
        <v>GLENMARK</v>
      </c>
      <c r="B76" s="75">
        <f>VLOOKUP($A76,'Data Vlaue (Cr)'!$C:$FB,2)</f>
        <v>375</v>
      </c>
      <c r="C76" s="75">
        <f>VLOOKUP($A76,'Data Vlaue (Cr)'!$C:$FB,8)</f>
        <v>2113.1</v>
      </c>
      <c r="D76" s="75">
        <f>VLOOKUP($A76,'Data Vlaue (Cr)'!$C:$FB,4)</f>
        <v>2122.5</v>
      </c>
      <c r="E76" s="75">
        <f>VLOOKUP($A76,'Data Vlaue (Cr)'!$C:$FB,5)</f>
        <v>2085.5</v>
      </c>
      <c r="F76" s="75">
        <f t="shared" ref="F76:F139" si="6">D76-C76</f>
        <v>9.4000000000000909</v>
      </c>
      <c r="G76" s="75">
        <f t="shared" ref="G76:G139" si="7">(D76-E76)/D76*100</f>
        <v>1.7432273262661957</v>
      </c>
      <c r="H76" s="75">
        <f>VLOOKUP($A76,'Data Vlaue (Cr)'!$C:$FB,99)</f>
        <v>3427</v>
      </c>
      <c r="I76" s="75">
        <f>VLOOKUP($A76,'Data Vlaue (Cr)'!$C:$FB,100)</f>
        <v>3220</v>
      </c>
      <c r="J76" s="75">
        <f t="shared" ref="J76:J139" si="8">H76-I76</f>
        <v>207</v>
      </c>
      <c r="K76" s="75">
        <f t="shared" ref="K76:K139" si="9">J76/H76*100</f>
        <v>6.0402684563758395</v>
      </c>
      <c r="L76" s="75">
        <f>VLOOKUP($A76,'Data Vlaue (Cr)'!$C:$FB,67)</f>
        <v>5586</v>
      </c>
      <c r="M76" s="75">
        <f>VLOOKUP($A76,'Data Vlaue (Cr)'!$C:$FB,68)</f>
        <v>1114</v>
      </c>
      <c r="N76" s="75">
        <f t="shared" ref="N76:N139" si="10">L76-M76</f>
        <v>4472</v>
      </c>
      <c r="O76" s="75">
        <f t="shared" ref="O76:O139" si="11">N76/L76*100</f>
        <v>80.057286072323663</v>
      </c>
      <c r="P76" s="75">
        <f>VLOOKUP($A76,'Data Vlaue (Cr)'!$C:$FB,119)</f>
        <v>0.52</v>
      </c>
      <c r="Q76" s="75">
        <f>VLOOKUP($A76,'Data Vlaue (Cr)'!$C:$FB,122)*100</f>
        <v>-8.77</v>
      </c>
      <c r="R76" s="75">
        <f>VLOOKUP($A76,'Data Vlaue (Cr)'!$C:$FB,125)</f>
        <v>0.33</v>
      </c>
      <c r="S76" s="75">
        <f>VLOOKUP($A76,'Data Vlaue (Cr)'!$C:$FB,128)*100</f>
        <v>-25</v>
      </c>
    </row>
    <row r="77" spans="1:19" x14ac:dyDescent="0.25">
      <c r="A77" s="96" t="str">
        <f>'Data Vlaue (Cr)'!C68</f>
        <v>GMRAIRPORT</v>
      </c>
      <c r="B77" s="75">
        <f>VLOOKUP($A77,'Data Vlaue (Cr)'!$C:$FB,2)</f>
        <v>6975</v>
      </c>
      <c r="C77" s="75">
        <f>VLOOKUP($A77,'Data Vlaue (Cr)'!$C:$FB,8)</f>
        <v>104.51</v>
      </c>
      <c r="D77" s="75">
        <f>VLOOKUP($A77,'Data Vlaue (Cr)'!$C:$FB,4)</f>
        <v>105.03</v>
      </c>
      <c r="E77" s="75">
        <f>VLOOKUP($A77,'Data Vlaue (Cr)'!$C:$FB,5)</f>
        <v>105</v>
      </c>
      <c r="F77" s="75">
        <f t="shared" si="6"/>
        <v>0.51999999999999602</v>
      </c>
      <c r="G77" s="75">
        <f t="shared" si="7"/>
        <v>2.856326763781885E-2</v>
      </c>
      <c r="H77" s="75">
        <f>VLOOKUP($A77,'Data Vlaue (Cr)'!$C:$FB,99)</f>
        <v>3369</v>
      </c>
      <c r="I77" s="75">
        <f>VLOOKUP($A77,'Data Vlaue (Cr)'!$C:$FB,100)</f>
        <v>3267</v>
      </c>
      <c r="J77" s="75">
        <f t="shared" si="8"/>
        <v>102</v>
      </c>
      <c r="K77" s="75">
        <f t="shared" si="9"/>
        <v>3.0276046304541406</v>
      </c>
      <c r="L77" s="75">
        <f>VLOOKUP($A77,'Data Vlaue (Cr)'!$C:$FB,67)</f>
        <v>1009</v>
      </c>
      <c r="M77" s="75">
        <f>VLOOKUP($A77,'Data Vlaue (Cr)'!$C:$FB,68)</f>
        <v>996</v>
      </c>
      <c r="N77" s="75">
        <f t="shared" si="10"/>
        <v>13</v>
      </c>
      <c r="O77" s="75">
        <f t="shared" si="11"/>
        <v>1.288404360753221</v>
      </c>
      <c r="P77" s="75">
        <f>VLOOKUP($A77,'Data Vlaue (Cr)'!$C:$FB,119)</f>
        <v>0.56000000000000005</v>
      </c>
      <c r="Q77" s="75">
        <f>VLOOKUP($A77,'Data Vlaue (Cr)'!$C:$FB,122)*100</f>
        <v>-1.7500000000000002</v>
      </c>
      <c r="R77" s="75">
        <f>VLOOKUP($A77,'Data Vlaue (Cr)'!$C:$FB,125)</f>
        <v>0.28000000000000003</v>
      </c>
      <c r="S77" s="75">
        <f>VLOOKUP($A77,'Data Vlaue (Cr)'!$C:$FB,128)*100</f>
        <v>-20</v>
      </c>
    </row>
    <row r="78" spans="1:19" x14ac:dyDescent="0.25">
      <c r="A78" s="96" t="str">
        <f>'Data Vlaue (Cr)'!C69</f>
        <v>GODREJCP</v>
      </c>
      <c r="B78" s="75">
        <f>VLOOKUP($A78,'Data Vlaue (Cr)'!$C:$FB,2)</f>
        <v>500</v>
      </c>
      <c r="C78" s="75">
        <f>VLOOKUP($A78,'Data Vlaue (Cr)'!$C:$FB,8)</f>
        <v>1247.7</v>
      </c>
      <c r="D78" s="75">
        <f>VLOOKUP($A78,'Data Vlaue (Cr)'!$C:$FB,4)</f>
        <v>1250.5999999999999</v>
      </c>
      <c r="E78" s="75">
        <f>VLOOKUP($A78,'Data Vlaue (Cr)'!$C:$FB,5)</f>
        <v>1260.2</v>
      </c>
      <c r="F78" s="75">
        <f t="shared" si="6"/>
        <v>2.8999999999998636</v>
      </c>
      <c r="G78" s="75">
        <f t="shared" si="7"/>
        <v>-0.76763153686231711</v>
      </c>
      <c r="H78" s="75">
        <f>VLOOKUP($A78,'Data Vlaue (Cr)'!$C:$FB,99)</f>
        <v>1557</v>
      </c>
      <c r="I78" s="75">
        <f>VLOOKUP($A78,'Data Vlaue (Cr)'!$C:$FB,100)</f>
        <v>1495</v>
      </c>
      <c r="J78" s="75">
        <f t="shared" si="8"/>
        <v>62</v>
      </c>
      <c r="K78" s="75">
        <f t="shared" si="9"/>
        <v>3.9820166987797041</v>
      </c>
      <c r="L78" s="75">
        <f>VLOOKUP($A78,'Data Vlaue (Cr)'!$C:$FB,67)</f>
        <v>1413</v>
      </c>
      <c r="M78" s="75">
        <f>VLOOKUP($A78,'Data Vlaue (Cr)'!$C:$FB,68)</f>
        <v>431</v>
      </c>
      <c r="N78" s="75">
        <f t="shared" si="10"/>
        <v>982</v>
      </c>
      <c r="O78" s="75">
        <f t="shared" si="11"/>
        <v>69.497523000707716</v>
      </c>
      <c r="P78" s="75">
        <f>VLOOKUP($A78,'Data Vlaue (Cr)'!$C:$FB,119)</f>
        <v>0.65</v>
      </c>
      <c r="Q78" s="75">
        <f>VLOOKUP($A78,'Data Vlaue (Cr)'!$C:$FB,122)*100</f>
        <v>-20.73</v>
      </c>
      <c r="R78" s="75">
        <f>VLOOKUP($A78,'Data Vlaue (Cr)'!$C:$FB,125)</f>
        <v>0.3</v>
      </c>
      <c r="S78" s="75">
        <f>VLOOKUP($A78,'Data Vlaue (Cr)'!$C:$FB,128)*100</f>
        <v>-26.83</v>
      </c>
    </row>
    <row r="79" spans="1:19" x14ac:dyDescent="0.25">
      <c r="A79" s="96" t="str">
        <f>'Data Vlaue (Cr)'!C70</f>
        <v>GODREJPROP</v>
      </c>
      <c r="B79" s="75">
        <f>VLOOKUP($A79,'Data Vlaue (Cr)'!$C:$FB,2)</f>
        <v>275</v>
      </c>
      <c r="C79" s="75">
        <f>VLOOKUP($A79,'Data Vlaue (Cr)'!$C:$FB,8)</f>
        <v>2138.1999999999998</v>
      </c>
      <c r="D79" s="75">
        <f>VLOOKUP($A79,'Data Vlaue (Cr)'!$C:$FB,4)</f>
        <v>2148.6999999999998</v>
      </c>
      <c r="E79" s="75">
        <f>VLOOKUP($A79,'Data Vlaue (Cr)'!$C:$FB,5)</f>
        <v>2134.9</v>
      </c>
      <c r="F79" s="75">
        <f t="shared" si="6"/>
        <v>10.5</v>
      </c>
      <c r="G79" s="75">
        <f t="shared" si="7"/>
        <v>0.64224880160095532</v>
      </c>
      <c r="H79" s="75">
        <f>VLOOKUP($A79,'Data Vlaue (Cr)'!$C:$FB,99)</f>
        <v>2941</v>
      </c>
      <c r="I79" s="75">
        <f>VLOOKUP($A79,'Data Vlaue (Cr)'!$C:$FB,100)</f>
        <v>2829</v>
      </c>
      <c r="J79" s="75">
        <f t="shared" si="8"/>
        <v>112</v>
      </c>
      <c r="K79" s="75">
        <f t="shared" si="9"/>
        <v>3.8082284937096227</v>
      </c>
      <c r="L79" s="75">
        <f>VLOOKUP($A79,'Data Vlaue (Cr)'!$C:$FB,67)</f>
        <v>1217</v>
      </c>
      <c r="M79" s="75">
        <f>VLOOKUP($A79,'Data Vlaue (Cr)'!$C:$FB,68)</f>
        <v>822</v>
      </c>
      <c r="N79" s="75">
        <f t="shared" si="10"/>
        <v>395</v>
      </c>
      <c r="O79" s="75">
        <f t="shared" si="11"/>
        <v>32.456861133935909</v>
      </c>
      <c r="P79" s="75">
        <f>VLOOKUP($A79,'Data Vlaue (Cr)'!$C:$FB,119)</f>
        <v>0.99</v>
      </c>
      <c r="Q79" s="75">
        <f>VLOOKUP($A79,'Data Vlaue (Cr)'!$C:$FB,122)*100</f>
        <v>1.02</v>
      </c>
      <c r="R79" s="75">
        <f>VLOOKUP($A79,'Data Vlaue (Cr)'!$C:$FB,125)</f>
        <v>0.41</v>
      </c>
      <c r="S79" s="75">
        <f>VLOOKUP($A79,'Data Vlaue (Cr)'!$C:$FB,128)*100</f>
        <v>-4.6500000000000004</v>
      </c>
    </row>
    <row r="80" spans="1:19" x14ac:dyDescent="0.25">
      <c r="A80" s="96" t="str">
        <f>'Data Vlaue (Cr)'!C71</f>
        <v>GRASIM</v>
      </c>
      <c r="B80" s="75">
        <f>VLOOKUP($A80,'Data Vlaue (Cr)'!$C:$FB,2)</f>
        <v>250</v>
      </c>
      <c r="C80" s="75">
        <f>VLOOKUP($A80,'Data Vlaue (Cr)'!$C:$FB,8)</f>
        <v>2837.1</v>
      </c>
      <c r="D80" s="75">
        <f>VLOOKUP($A80,'Data Vlaue (Cr)'!$C:$FB,4)</f>
        <v>2848.6</v>
      </c>
      <c r="E80" s="75">
        <f>VLOOKUP($A80,'Data Vlaue (Cr)'!$C:$FB,5)</f>
        <v>2879.7</v>
      </c>
      <c r="F80" s="75">
        <f t="shared" si="6"/>
        <v>11.5</v>
      </c>
      <c r="G80" s="75">
        <f t="shared" si="7"/>
        <v>-1.09176437548269</v>
      </c>
      <c r="H80" s="75">
        <f>VLOOKUP($A80,'Data Vlaue (Cr)'!$C:$FB,99)</f>
        <v>5383</v>
      </c>
      <c r="I80" s="75">
        <f>VLOOKUP($A80,'Data Vlaue (Cr)'!$C:$FB,100)</f>
        <v>5316</v>
      </c>
      <c r="J80" s="75">
        <f t="shared" si="8"/>
        <v>67</v>
      </c>
      <c r="K80" s="75">
        <f t="shared" si="9"/>
        <v>1.24465911201932</v>
      </c>
      <c r="L80" s="75">
        <f>VLOOKUP($A80,'Data Vlaue (Cr)'!$C:$FB,67)</f>
        <v>720</v>
      </c>
      <c r="M80" s="75">
        <f>VLOOKUP($A80,'Data Vlaue (Cr)'!$C:$FB,68)</f>
        <v>1052</v>
      </c>
      <c r="N80" s="75">
        <f t="shared" si="10"/>
        <v>-332</v>
      </c>
      <c r="O80" s="75">
        <f t="shared" si="11"/>
        <v>-46.111111111111114</v>
      </c>
      <c r="P80" s="75">
        <f>VLOOKUP($A80,'Data Vlaue (Cr)'!$C:$FB,119)</f>
        <v>1.03</v>
      </c>
      <c r="Q80" s="75">
        <f>VLOOKUP($A80,'Data Vlaue (Cr)'!$C:$FB,122)*100</f>
        <v>-4.63</v>
      </c>
      <c r="R80" s="75">
        <f>VLOOKUP($A80,'Data Vlaue (Cr)'!$C:$FB,125)</f>
        <v>0.89</v>
      </c>
      <c r="S80" s="75">
        <f>VLOOKUP($A80,'Data Vlaue (Cr)'!$C:$FB,128)*100</f>
        <v>71.150000000000006</v>
      </c>
    </row>
    <row r="81" spans="1:19" x14ac:dyDescent="0.25">
      <c r="A81" s="96" t="str">
        <f>'Data Vlaue (Cr)'!C72</f>
        <v>HAL</v>
      </c>
      <c r="B81" s="75">
        <f>VLOOKUP($A81,'Data Vlaue (Cr)'!$C:$FB,2)</f>
        <v>150</v>
      </c>
      <c r="C81" s="75">
        <f>VLOOKUP($A81,'Data Vlaue (Cr)'!$C:$FB,8)</f>
        <v>4525.1000000000004</v>
      </c>
      <c r="D81" s="75">
        <f>VLOOKUP($A81,'Data Vlaue (Cr)'!$C:$FB,4)</f>
        <v>4535.1000000000004</v>
      </c>
      <c r="E81" s="75">
        <f>VLOOKUP($A81,'Data Vlaue (Cr)'!$C:$FB,5)</f>
        <v>4528.3</v>
      </c>
      <c r="F81" s="75">
        <f t="shared" si="6"/>
        <v>10</v>
      </c>
      <c r="G81" s="75">
        <f t="shared" si="7"/>
        <v>0.14994156688937801</v>
      </c>
      <c r="H81" s="75">
        <f>VLOOKUP($A81,'Data Vlaue (Cr)'!$C:$FB,99)</f>
        <v>7823</v>
      </c>
      <c r="I81" s="75">
        <f>VLOOKUP($A81,'Data Vlaue (Cr)'!$C:$FB,100)</f>
        <v>7690</v>
      </c>
      <c r="J81" s="75">
        <f t="shared" si="8"/>
        <v>133</v>
      </c>
      <c r="K81" s="75">
        <f t="shared" si="9"/>
        <v>1.7001150453790106</v>
      </c>
      <c r="L81" s="75">
        <f>VLOOKUP($A81,'Data Vlaue (Cr)'!$C:$FB,67)</f>
        <v>2644</v>
      </c>
      <c r="M81" s="75">
        <f>VLOOKUP($A81,'Data Vlaue (Cr)'!$C:$FB,68)</f>
        <v>3809</v>
      </c>
      <c r="N81" s="75">
        <f t="shared" si="10"/>
        <v>-1165</v>
      </c>
      <c r="O81" s="75">
        <f t="shared" si="11"/>
        <v>-44.062027231467468</v>
      </c>
      <c r="P81" s="75">
        <f>VLOOKUP($A81,'Data Vlaue (Cr)'!$C:$FB,119)</f>
        <v>0.7</v>
      </c>
      <c r="Q81" s="75">
        <f>VLOOKUP($A81,'Data Vlaue (Cr)'!$C:$FB,122)*100</f>
        <v>0</v>
      </c>
      <c r="R81" s="75">
        <f>VLOOKUP($A81,'Data Vlaue (Cr)'!$C:$FB,125)</f>
        <v>0.45</v>
      </c>
      <c r="S81" s="75">
        <f>VLOOKUP($A81,'Data Vlaue (Cr)'!$C:$FB,128)*100</f>
        <v>-16.669999999999998</v>
      </c>
    </row>
    <row r="82" spans="1:19" x14ac:dyDescent="0.25">
      <c r="A82" s="96" t="str">
        <f>'Data Vlaue (Cr)'!C73</f>
        <v>HAVELLS</v>
      </c>
      <c r="B82" s="75">
        <f>VLOOKUP($A82,'Data Vlaue (Cr)'!$C:$FB,2)</f>
        <v>500</v>
      </c>
      <c r="C82" s="75">
        <f>VLOOKUP($A82,'Data Vlaue (Cr)'!$C:$FB,8)</f>
        <v>1496.2</v>
      </c>
      <c r="D82" s="75">
        <f>VLOOKUP($A82,'Data Vlaue (Cr)'!$C:$FB,4)</f>
        <v>1499.6</v>
      </c>
      <c r="E82" s="75">
        <f>VLOOKUP($A82,'Data Vlaue (Cr)'!$C:$FB,5)</f>
        <v>1508.4</v>
      </c>
      <c r="F82" s="75">
        <f t="shared" si="6"/>
        <v>3.3999999999998636</v>
      </c>
      <c r="G82" s="75">
        <f t="shared" si="7"/>
        <v>-0.58682315284076969</v>
      </c>
      <c r="H82" s="75">
        <f>VLOOKUP($A82,'Data Vlaue (Cr)'!$C:$FB,99)</f>
        <v>2019</v>
      </c>
      <c r="I82" s="75">
        <f>VLOOKUP($A82,'Data Vlaue (Cr)'!$C:$FB,100)</f>
        <v>1944</v>
      </c>
      <c r="J82" s="75">
        <f t="shared" si="8"/>
        <v>75</v>
      </c>
      <c r="K82" s="75">
        <f t="shared" si="9"/>
        <v>3.7147102526002973</v>
      </c>
      <c r="L82" s="75">
        <f>VLOOKUP($A82,'Data Vlaue (Cr)'!$C:$FB,67)</f>
        <v>1051</v>
      </c>
      <c r="M82" s="75">
        <f>VLOOKUP($A82,'Data Vlaue (Cr)'!$C:$FB,68)</f>
        <v>2670</v>
      </c>
      <c r="N82" s="75">
        <f t="shared" si="10"/>
        <v>-1619</v>
      </c>
      <c r="O82" s="75">
        <f t="shared" si="11"/>
        <v>-154.04376784015224</v>
      </c>
      <c r="P82" s="75">
        <f>VLOOKUP($A82,'Data Vlaue (Cr)'!$C:$FB,119)</f>
        <v>0.9</v>
      </c>
      <c r="Q82" s="75">
        <f>VLOOKUP($A82,'Data Vlaue (Cr)'!$C:$FB,122)*100</f>
        <v>4.6500000000000004</v>
      </c>
      <c r="R82" s="75">
        <f>VLOOKUP($A82,'Data Vlaue (Cr)'!$C:$FB,125)</f>
        <v>0.69</v>
      </c>
      <c r="S82" s="75">
        <f>VLOOKUP($A82,'Data Vlaue (Cr)'!$C:$FB,128)*100</f>
        <v>130</v>
      </c>
    </row>
    <row r="83" spans="1:19" x14ac:dyDescent="0.25">
      <c r="A83" s="96" t="str">
        <f>'Data Vlaue (Cr)'!C74</f>
        <v>HCLTECH</v>
      </c>
      <c r="B83" s="75">
        <f>VLOOKUP($A83,'Data Vlaue (Cr)'!$C:$FB,2)</f>
        <v>350</v>
      </c>
      <c r="C83" s="75">
        <f>VLOOKUP($A83,'Data Vlaue (Cr)'!$C:$FB,8)</f>
        <v>1647.7</v>
      </c>
      <c r="D83" s="75">
        <f>VLOOKUP($A83,'Data Vlaue (Cr)'!$C:$FB,4)</f>
        <v>1643.4</v>
      </c>
      <c r="E83" s="75">
        <f>VLOOKUP($A83,'Data Vlaue (Cr)'!$C:$FB,5)</f>
        <v>1611</v>
      </c>
      <c r="F83" s="75">
        <f t="shared" si="6"/>
        <v>-4.2999999999999545</v>
      </c>
      <c r="G83" s="75">
        <f t="shared" si="7"/>
        <v>1.9715224534501696</v>
      </c>
      <c r="H83" s="75">
        <f>VLOOKUP($A83,'Data Vlaue (Cr)'!$C:$FB,99)</f>
        <v>4858</v>
      </c>
      <c r="I83" s="75">
        <f>VLOOKUP($A83,'Data Vlaue (Cr)'!$C:$FB,100)</f>
        <v>4236</v>
      </c>
      <c r="J83" s="75">
        <f t="shared" si="8"/>
        <v>622</v>
      </c>
      <c r="K83" s="75">
        <f t="shared" si="9"/>
        <v>12.803622890078223</v>
      </c>
      <c r="L83" s="75">
        <f>VLOOKUP($A83,'Data Vlaue (Cr)'!$C:$FB,67)</f>
        <v>5037</v>
      </c>
      <c r="M83" s="75">
        <f>VLOOKUP($A83,'Data Vlaue (Cr)'!$C:$FB,68)</f>
        <v>1781</v>
      </c>
      <c r="N83" s="75">
        <f t="shared" si="10"/>
        <v>3256</v>
      </c>
      <c r="O83" s="75">
        <f t="shared" si="11"/>
        <v>64.641651776851305</v>
      </c>
      <c r="P83" s="75">
        <f>VLOOKUP($A83,'Data Vlaue (Cr)'!$C:$FB,119)</f>
        <v>0.47</v>
      </c>
      <c r="Q83" s="75">
        <f>VLOOKUP($A83,'Data Vlaue (Cr)'!$C:$FB,122)*100</f>
        <v>-14.549999999999999</v>
      </c>
      <c r="R83" s="75">
        <f>VLOOKUP($A83,'Data Vlaue (Cr)'!$C:$FB,125)</f>
        <v>0.34</v>
      </c>
      <c r="S83" s="75">
        <f>VLOOKUP($A83,'Data Vlaue (Cr)'!$C:$FB,128)*100</f>
        <v>-17.07</v>
      </c>
    </row>
    <row r="84" spans="1:19" x14ac:dyDescent="0.25">
      <c r="A84" s="96" t="str">
        <f>'Data Vlaue (Cr)'!C75</f>
        <v>HDFCAMC</v>
      </c>
      <c r="B84" s="75">
        <f>VLOOKUP($A84,'Data Vlaue (Cr)'!$C:$FB,2)</f>
        <v>300</v>
      </c>
      <c r="C84" s="75">
        <f>VLOOKUP($A84,'Data Vlaue (Cr)'!$C:$FB,8)</f>
        <v>2624.6</v>
      </c>
      <c r="D84" s="75">
        <f>VLOOKUP($A84,'Data Vlaue (Cr)'!$C:$FB,4)</f>
        <v>2636.3</v>
      </c>
      <c r="E84" s="75">
        <f>VLOOKUP($A84,'Data Vlaue (Cr)'!$C:$FB,5)</f>
        <v>2634.6</v>
      </c>
      <c r="F84" s="75">
        <f t="shared" si="6"/>
        <v>11.700000000000273</v>
      </c>
      <c r="G84" s="75">
        <f t="shared" si="7"/>
        <v>6.4484315138651632E-2</v>
      </c>
      <c r="H84" s="75">
        <f>VLOOKUP($A84,'Data Vlaue (Cr)'!$C:$FB,99)</f>
        <v>2499</v>
      </c>
      <c r="I84" s="75">
        <f>VLOOKUP($A84,'Data Vlaue (Cr)'!$C:$FB,100)</f>
        <v>2378</v>
      </c>
      <c r="J84" s="75">
        <f t="shared" si="8"/>
        <v>121</v>
      </c>
      <c r="K84" s="75">
        <f t="shared" si="9"/>
        <v>4.8419367747098843</v>
      </c>
      <c r="L84" s="75">
        <f>VLOOKUP($A84,'Data Vlaue (Cr)'!$C:$FB,67)</f>
        <v>765</v>
      </c>
      <c r="M84" s="75">
        <f>VLOOKUP($A84,'Data Vlaue (Cr)'!$C:$FB,68)</f>
        <v>771</v>
      </c>
      <c r="N84" s="75">
        <f t="shared" si="10"/>
        <v>-6</v>
      </c>
      <c r="O84" s="75">
        <f t="shared" si="11"/>
        <v>-0.78431372549019607</v>
      </c>
      <c r="P84" s="75">
        <f>VLOOKUP($A84,'Data Vlaue (Cr)'!$C:$FB,119)</f>
        <v>0.65</v>
      </c>
      <c r="Q84" s="75">
        <f>VLOOKUP($A84,'Data Vlaue (Cr)'!$C:$FB,122)*100</f>
        <v>-7.1400000000000006</v>
      </c>
      <c r="R84" s="75">
        <f>VLOOKUP($A84,'Data Vlaue (Cr)'!$C:$FB,125)</f>
        <v>0.48</v>
      </c>
      <c r="S84" s="75">
        <f>VLOOKUP($A84,'Data Vlaue (Cr)'!$C:$FB,128)*100</f>
        <v>0</v>
      </c>
    </row>
    <row r="85" spans="1:19" x14ac:dyDescent="0.25">
      <c r="A85" s="96" t="str">
        <f>'Data Vlaue (Cr)'!C76</f>
        <v>HDFCBANK</v>
      </c>
      <c r="B85" s="75">
        <f>VLOOKUP($A85,'Data Vlaue (Cr)'!$C:$FB,2)</f>
        <v>550</v>
      </c>
      <c r="C85" s="75">
        <f>VLOOKUP($A85,'Data Vlaue (Cr)'!$C:$FB,8)</f>
        <v>949.05</v>
      </c>
      <c r="D85" s="75">
        <f>VLOOKUP($A85,'Data Vlaue (Cr)'!$C:$FB,4)</f>
        <v>952.55</v>
      </c>
      <c r="E85" s="75">
        <f>VLOOKUP($A85,'Data Vlaue (Cr)'!$C:$FB,5)</f>
        <v>966.95</v>
      </c>
      <c r="F85" s="75">
        <f t="shared" si="6"/>
        <v>3.5</v>
      </c>
      <c r="G85" s="75">
        <f t="shared" si="7"/>
        <v>-1.5117316676290053</v>
      </c>
      <c r="H85" s="75">
        <f>VLOOKUP($A85,'Data Vlaue (Cr)'!$C:$FB,99)</f>
        <v>30738</v>
      </c>
      <c r="I85" s="75">
        <f>VLOOKUP($A85,'Data Vlaue (Cr)'!$C:$FB,100)</f>
        <v>28830</v>
      </c>
      <c r="J85" s="75">
        <f t="shared" si="8"/>
        <v>1908</v>
      </c>
      <c r="K85" s="75">
        <f t="shared" si="9"/>
        <v>6.2073004099160647</v>
      </c>
      <c r="L85" s="75">
        <f>VLOOKUP($A85,'Data Vlaue (Cr)'!$C:$FB,67)</f>
        <v>15856</v>
      </c>
      <c r="M85" s="75">
        <f>VLOOKUP($A85,'Data Vlaue (Cr)'!$C:$FB,68)</f>
        <v>13842</v>
      </c>
      <c r="N85" s="75">
        <f t="shared" si="10"/>
        <v>2014</v>
      </c>
      <c r="O85" s="75">
        <f t="shared" si="11"/>
        <v>12.701816347124117</v>
      </c>
      <c r="P85" s="75">
        <f>VLOOKUP($A85,'Data Vlaue (Cr)'!$C:$FB,119)</f>
        <v>0.56999999999999995</v>
      </c>
      <c r="Q85" s="75">
        <f>VLOOKUP($A85,'Data Vlaue (Cr)'!$C:$FB,122)*100</f>
        <v>-5</v>
      </c>
      <c r="R85" s="75">
        <f>VLOOKUP($A85,'Data Vlaue (Cr)'!$C:$FB,125)</f>
        <v>0.6</v>
      </c>
      <c r="S85" s="75">
        <f>VLOOKUP($A85,'Data Vlaue (Cr)'!$C:$FB,128)*100</f>
        <v>5.26</v>
      </c>
    </row>
    <row r="86" spans="1:19" x14ac:dyDescent="0.25">
      <c r="A86" s="96" t="str">
        <f>'Data Vlaue (Cr)'!C77</f>
        <v>HDFCLIFE</v>
      </c>
      <c r="B86" s="75">
        <f>VLOOKUP($A86,'Data Vlaue (Cr)'!$C:$FB,2)</f>
        <v>1100</v>
      </c>
      <c r="C86" s="75">
        <f>VLOOKUP($A86,'Data Vlaue (Cr)'!$C:$FB,8)</f>
        <v>772.35</v>
      </c>
      <c r="D86" s="75">
        <f>VLOOKUP($A86,'Data Vlaue (Cr)'!$C:$FB,4)</f>
        <v>775.35</v>
      </c>
      <c r="E86" s="75">
        <f>VLOOKUP($A86,'Data Vlaue (Cr)'!$C:$FB,5)</f>
        <v>779.55</v>
      </c>
      <c r="F86" s="75">
        <f t="shared" si="6"/>
        <v>3</v>
      </c>
      <c r="G86" s="75">
        <f t="shared" si="7"/>
        <v>-0.54169084929385847</v>
      </c>
      <c r="H86" s="75">
        <f>VLOOKUP($A86,'Data Vlaue (Cr)'!$C:$FB,99)</f>
        <v>4092</v>
      </c>
      <c r="I86" s="75">
        <f>VLOOKUP($A86,'Data Vlaue (Cr)'!$C:$FB,100)</f>
        <v>4035</v>
      </c>
      <c r="J86" s="75">
        <f t="shared" si="8"/>
        <v>57</v>
      </c>
      <c r="K86" s="75">
        <f t="shared" si="9"/>
        <v>1.3929618768328444</v>
      </c>
      <c r="L86" s="75">
        <f>VLOOKUP($A86,'Data Vlaue (Cr)'!$C:$FB,67)</f>
        <v>962</v>
      </c>
      <c r="M86" s="75">
        <f>VLOOKUP($A86,'Data Vlaue (Cr)'!$C:$FB,68)</f>
        <v>3002</v>
      </c>
      <c r="N86" s="75">
        <f t="shared" si="10"/>
        <v>-2040</v>
      </c>
      <c r="O86" s="75">
        <f t="shared" si="11"/>
        <v>-212.05821205821204</v>
      </c>
      <c r="P86" s="75">
        <f>VLOOKUP($A86,'Data Vlaue (Cr)'!$C:$FB,119)</f>
        <v>0.65</v>
      </c>
      <c r="Q86" s="75">
        <f>VLOOKUP($A86,'Data Vlaue (Cr)'!$C:$FB,122)*100</f>
        <v>0</v>
      </c>
      <c r="R86" s="75">
        <f>VLOOKUP($A86,'Data Vlaue (Cr)'!$C:$FB,125)</f>
        <v>0.47</v>
      </c>
      <c r="S86" s="75">
        <f>VLOOKUP($A86,'Data Vlaue (Cr)'!$C:$FB,128)*100</f>
        <v>34.29</v>
      </c>
    </row>
    <row r="87" spans="1:19" x14ac:dyDescent="0.25">
      <c r="A87" s="96" t="str">
        <f>'Data Vlaue (Cr)'!C78</f>
        <v>HEROMOTOCO</v>
      </c>
      <c r="B87" s="75">
        <f>VLOOKUP($A87,'Data Vlaue (Cr)'!$C:$FB,2)</f>
        <v>150</v>
      </c>
      <c r="C87" s="75">
        <f>VLOOKUP($A87,'Data Vlaue (Cr)'!$C:$FB,8)</f>
        <v>5981</v>
      </c>
      <c r="D87" s="75">
        <f>VLOOKUP($A87,'Data Vlaue (Cr)'!$C:$FB,4)</f>
        <v>6009</v>
      </c>
      <c r="E87" s="75">
        <f>VLOOKUP($A87,'Data Vlaue (Cr)'!$C:$FB,5)</f>
        <v>6030</v>
      </c>
      <c r="F87" s="75">
        <f t="shared" si="6"/>
        <v>28</v>
      </c>
      <c r="G87" s="75">
        <f t="shared" si="7"/>
        <v>-0.34947578632051918</v>
      </c>
      <c r="H87" s="75">
        <f>VLOOKUP($A87,'Data Vlaue (Cr)'!$C:$FB,99)</f>
        <v>5766</v>
      </c>
      <c r="I87" s="75">
        <f>VLOOKUP($A87,'Data Vlaue (Cr)'!$C:$FB,100)</f>
        <v>5750</v>
      </c>
      <c r="J87" s="75">
        <f t="shared" si="8"/>
        <v>16</v>
      </c>
      <c r="K87" s="75">
        <f t="shared" si="9"/>
        <v>0.27748872702046479</v>
      </c>
      <c r="L87" s="75">
        <f>VLOOKUP($A87,'Data Vlaue (Cr)'!$C:$FB,67)</f>
        <v>4409</v>
      </c>
      <c r="M87" s="75">
        <f>VLOOKUP($A87,'Data Vlaue (Cr)'!$C:$FB,68)</f>
        <v>3295</v>
      </c>
      <c r="N87" s="75">
        <f t="shared" si="10"/>
        <v>1114</v>
      </c>
      <c r="O87" s="75">
        <f t="shared" si="11"/>
        <v>25.266500340213199</v>
      </c>
      <c r="P87" s="75">
        <f>VLOOKUP($A87,'Data Vlaue (Cr)'!$C:$FB,119)</f>
        <v>0.67</v>
      </c>
      <c r="Q87" s="75">
        <f>VLOOKUP($A87,'Data Vlaue (Cr)'!$C:$FB,122)*100</f>
        <v>0</v>
      </c>
      <c r="R87" s="75">
        <f>VLOOKUP($A87,'Data Vlaue (Cr)'!$C:$FB,125)</f>
        <v>0.68</v>
      </c>
      <c r="S87" s="75">
        <f>VLOOKUP($A87,'Data Vlaue (Cr)'!$C:$FB,128)*100</f>
        <v>38.78</v>
      </c>
    </row>
    <row r="88" spans="1:19" x14ac:dyDescent="0.25">
      <c r="A88" s="96" t="str">
        <f>'Data Vlaue (Cr)'!C79</f>
        <v>HINDALCO</v>
      </c>
      <c r="B88" s="75">
        <f>VLOOKUP($A88,'Data Vlaue (Cr)'!$C:$FB,2)</f>
        <v>700</v>
      </c>
      <c r="C88" s="75">
        <f>VLOOKUP($A88,'Data Vlaue (Cr)'!$C:$FB,8)</f>
        <v>938.45</v>
      </c>
      <c r="D88" s="75">
        <f>VLOOKUP($A88,'Data Vlaue (Cr)'!$C:$FB,4)</f>
        <v>940.2</v>
      </c>
      <c r="E88" s="75">
        <f>VLOOKUP($A88,'Data Vlaue (Cr)'!$C:$FB,5)</f>
        <v>945.8</v>
      </c>
      <c r="F88" s="75">
        <f t="shared" si="6"/>
        <v>1.75</v>
      </c>
      <c r="G88" s="75">
        <f t="shared" si="7"/>
        <v>-0.59561795362687819</v>
      </c>
      <c r="H88" s="75">
        <f>VLOOKUP($A88,'Data Vlaue (Cr)'!$C:$FB,99)</f>
        <v>8317</v>
      </c>
      <c r="I88" s="75">
        <f>VLOOKUP($A88,'Data Vlaue (Cr)'!$C:$FB,100)</f>
        <v>8579</v>
      </c>
      <c r="J88" s="75">
        <f t="shared" si="8"/>
        <v>-262</v>
      </c>
      <c r="K88" s="75">
        <f t="shared" si="9"/>
        <v>-3.150174341709751</v>
      </c>
      <c r="L88" s="75">
        <f>VLOOKUP($A88,'Data Vlaue (Cr)'!$C:$FB,67)</f>
        <v>5706</v>
      </c>
      <c r="M88" s="75">
        <f>VLOOKUP($A88,'Data Vlaue (Cr)'!$C:$FB,68)</f>
        <v>14425</v>
      </c>
      <c r="N88" s="75">
        <f t="shared" si="10"/>
        <v>-8719</v>
      </c>
      <c r="O88" s="75">
        <f t="shared" si="11"/>
        <v>-152.80406589554855</v>
      </c>
      <c r="P88" s="75">
        <f>VLOOKUP($A88,'Data Vlaue (Cr)'!$C:$FB,119)</f>
        <v>0.83</v>
      </c>
      <c r="Q88" s="75">
        <f>VLOOKUP($A88,'Data Vlaue (Cr)'!$C:$FB,122)*100</f>
        <v>-6.74</v>
      </c>
      <c r="R88" s="75">
        <f>VLOOKUP($A88,'Data Vlaue (Cr)'!$C:$FB,125)</f>
        <v>0.53</v>
      </c>
      <c r="S88" s="75">
        <f>VLOOKUP($A88,'Data Vlaue (Cr)'!$C:$FB,128)*100</f>
        <v>29.270000000000003</v>
      </c>
    </row>
    <row r="89" spans="1:19" x14ac:dyDescent="0.25">
      <c r="A89" s="96" t="str">
        <f>'Data Vlaue (Cr)'!C80</f>
        <v>HINDPETRO</v>
      </c>
      <c r="B89" s="75">
        <f>VLOOKUP($A89,'Data Vlaue (Cr)'!$C:$FB,2)</f>
        <v>2025</v>
      </c>
      <c r="C89" s="75">
        <f>VLOOKUP($A89,'Data Vlaue (Cr)'!$C:$FB,8)</f>
        <v>476.45</v>
      </c>
      <c r="D89" s="75">
        <f>VLOOKUP($A89,'Data Vlaue (Cr)'!$C:$FB,4)</f>
        <v>478.2</v>
      </c>
      <c r="E89" s="75">
        <f>VLOOKUP($A89,'Data Vlaue (Cr)'!$C:$FB,5)</f>
        <v>484.1</v>
      </c>
      <c r="F89" s="75">
        <f t="shared" si="6"/>
        <v>1.75</v>
      </c>
      <c r="G89" s="75">
        <f t="shared" si="7"/>
        <v>-1.2337933918862474</v>
      </c>
      <c r="H89" s="75">
        <f>VLOOKUP($A89,'Data Vlaue (Cr)'!$C:$FB,99)</f>
        <v>2930</v>
      </c>
      <c r="I89" s="75">
        <f>VLOOKUP($A89,'Data Vlaue (Cr)'!$C:$FB,100)</f>
        <v>2873</v>
      </c>
      <c r="J89" s="75">
        <f t="shared" si="8"/>
        <v>57</v>
      </c>
      <c r="K89" s="75">
        <f t="shared" si="9"/>
        <v>1.9453924914675766</v>
      </c>
      <c r="L89" s="75">
        <f>VLOOKUP($A89,'Data Vlaue (Cr)'!$C:$FB,67)</f>
        <v>969</v>
      </c>
      <c r="M89" s="75">
        <f>VLOOKUP($A89,'Data Vlaue (Cr)'!$C:$FB,68)</f>
        <v>2800</v>
      </c>
      <c r="N89" s="75">
        <f t="shared" si="10"/>
        <v>-1831</v>
      </c>
      <c r="O89" s="75">
        <f t="shared" si="11"/>
        <v>-188.95768833849328</v>
      </c>
      <c r="P89" s="75">
        <f>VLOOKUP($A89,'Data Vlaue (Cr)'!$C:$FB,119)</f>
        <v>0.55000000000000004</v>
      </c>
      <c r="Q89" s="75">
        <f>VLOOKUP($A89,'Data Vlaue (Cr)'!$C:$FB,122)*100</f>
        <v>0</v>
      </c>
      <c r="R89" s="75">
        <f>VLOOKUP($A89,'Data Vlaue (Cr)'!$C:$FB,125)</f>
        <v>0.47</v>
      </c>
      <c r="S89" s="75">
        <f>VLOOKUP($A89,'Data Vlaue (Cr)'!$C:$FB,128)*100</f>
        <v>-34.72</v>
      </c>
    </row>
    <row r="90" spans="1:19" x14ac:dyDescent="0.25">
      <c r="A90" s="96" t="str">
        <f>'Data Vlaue (Cr)'!C81</f>
        <v>HINDUNILVR</v>
      </c>
      <c r="B90" s="75">
        <f>VLOOKUP($A90,'Data Vlaue (Cr)'!$C:$FB,2)</f>
        <v>300</v>
      </c>
      <c r="C90" s="75">
        <f>VLOOKUP($A90,'Data Vlaue (Cr)'!$C:$FB,8)</f>
        <v>2399.4</v>
      </c>
      <c r="D90" s="75">
        <f>VLOOKUP($A90,'Data Vlaue (Cr)'!$C:$FB,4)</f>
        <v>2398.4</v>
      </c>
      <c r="E90" s="75">
        <f>VLOOKUP($A90,'Data Vlaue (Cr)'!$C:$FB,5)</f>
        <v>2428.6</v>
      </c>
      <c r="F90" s="75">
        <f t="shared" si="6"/>
        <v>-1</v>
      </c>
      <c r="G90" s="75">
        <f t="shared" si="7"/>
        <v>-1.2591727818545622</v>
      </c>
      <c r="H90" s="75">
        <f>VLOOKUP($A90,'Data Vlaue (Cr)'!$C:$FB,99)</f>
        <v>5454</v>
      </c>
      <c r="I90" s="75">
        <f>VLOOKUP($A90,'Data Vlaue (Cr)'!$C:$FB,100)</f>
        <v>5283</v>
      </c>
      <c r="J90" s="75">
        <f t="shared" si="8"/>
        <v>171</v>
      </c>
      <c r="K90" s="75">
        <f t="shared" si="9"/>
        <v>3.1353135313531353</v>
      </c>
      <c r="L90" s="75">
        <f>VLOOKUP($A90,'Data Vlaue (Cr)'!$C:$FB,67)</f>
        <v>2909</v>
      </c>
      <c r="M90" s="75">
        <f>VLOOKUP($A90,'Data Vlaue (Cr)'!$C:$FB,68)</f>
        <v>5594</v>
      </c>
      <c r="N90" s="75">
        <f t="shared" si="10"/>
        <v>-2685</v>
      </c>
      <c r="O90" s="75">
        <f t="shared" si="11"/>
        <v>-92.299759367480235</v>
      </c>
      <c r="P90" s="75">
        <f>VLOOKUP($A90,'Data Vlaue (Cr)'!$C:$FB,119)</f>
        <v>0.61</v>
      </c>
      <c r="Q90" s="75">
        <f>VLOOKUP($A90,'Data Vlaue (Cr)'!$C:$FB,122)*100</f>
        <v>-11.59</v>
      </c>
      <c r="R90" s="75">
        <f>VLOOKUP($A90,'Data Vlaue (Cr)'!$C:$FB,125)</f>
        <v>0.55000000000000004</v>
      </c>
      <c r="S90" s="75">
        <f>VLOOKUP($A90,'Data Vlaue (Cr)'!$C:$FB,128)*100</f>
        <v>27.91</v>
      </c>
    </row>
    <row r="91" spans="1:19" x14ac:dyDescent="0.25">
      <c r="A91" s="96" t="str">
        <f>'Data Vlaue (Cr)'!C82</f>
        <v>HINDZINC</v>
      </c>
      <c r="B91" s="75">
        <f>VLOOKUP($A91,'Data Vlaue (Cr)'!$C:$FB,2)</f>
        <v>1225</v>
      </c>
      <c r="C91" s="75">
        <f>VLOOKUP($A91,'Data Vlaue (Cr)'!$C:$FB,8)</f>
        <v>630</v>
      </c>
      <c r="D91" s="75">
        <f>VLOOKUP($A91,'Data Vlaue (Cr)'!$C:$FB,4)</f>
        <v>631.20000000000005</v>
      </c>
      <c r="E91" s="75">
        <f>VLOOKUP($A91,'Data Vlaue (Cr)'!$C:$FB,5)</f>
        <v>644.35</v>
      </c>
      <c r="F91" s="75">
        <f t="shared" si="6"/>
        <v>1.2000000000000455</v>
      </c>
      <c r="G91" s="75">
        <f t="shared" si="7"/>
        <v>-2.0833333333333299</v>
      </c>
      <c r="H91" s="75">
        <f>VLOOKUP($A91,'Data Vlaue (Cr)'!$C:$FB,99)</f>
        <v>6427</v>
      </c>
      <c r="I91" s="75">
        <f>VLOOKUP($A91,'Data Vlaue (Cr)'!$C:$FB,100)</f>
        <v>6048</v>
      </c>
      <c r="J91" s="75">
        <f t="shared" si="8"/>
        <v>379</v>
      </c>
      <c r="K91" s="75">
        <f t="shared" si="9"/>
        <v>5.8969970437217984</v>
      </c>
      <c r="L91" s="75">
        <f>VLOOKUP($A91,'Data Vlaue (Cr)'!$C:$FB,67)</f>
        <v>5101</v>
      </c>
      <c r="M91" s="75">
        <f>VLOOKUP($A91,'Data Vlaue (Cr)'!$C:$FB,68)</f>
        <v>6998</v>
      </c>
      <c r="N91" s="75">
        <f t="shared" si="10"/>
        <v>-1897</v>
      </c>
      <c r="O91" s="75">
        <f t="shared" si="11"/>
        <v>-37.188786512448537</v>
      </c>
      <c r="P91" s="75">
        <f>VLOOKUP($A91,'Data Vlaue (Cr)'!$C:$FB,119)</f>
        <v>0.61</v>
      </c>
      <c r="Q91" s="75">
        <f>VLOOKUP($A91,'Data Vlaue (Cr)'!$C:$FB,122)*100</f>
        <v>-8.9599999999999991</v>
      </c>
      <c r="R91" s="75">
        <f>VLOOKUP($A91,'Data Vlaue (Cr)'!$C:$FB,125)</f>
        <v>0.5</v>
      </c>
      <c r="S91" s="75">
        <f>VLOOKUP($A91,'Data Vlaue (Cr)'!$C:$FB,128)*100</f>
        <v>8.6999999999999993</v>
      </c>
    </row>
    <row r="92" spans="1:19" x14ac:dyDescent="0.25">
      <c r="A92" s="96" t="str">
        <f>'Data Vlaue (Cr)'!C83</f>
        <v>HUDCO</v>
      </c>
      <c r="B92" s="75">
        <f>VLOOKUP($A92,'Data Vlaue (Cr)'!$C:$FB,2)</f>
        <v>2775</v>
      </c>
      <c r="C92" s="75">
        <f>VLOOKUP($A92,'Data Vlaue (Cr)'!$C:$FB,8)</f>
        <v>226.82</v>
      </c>
      <c r="D92" s="75">
        <f>VLOOKUP($A92,'Data Vlaue (Cr)'!$C:$FB,4)</f>
        <v>227.86</v>
      </c>
      <c r="E92" s="75">
        <f>VLOOKUP($A92,'Data Vlaue (Cr)'!$C:$FB,5)</f>
        <v>225.97</v>
      </c>
      <c r="F92" s="75">
        <f t="shared" si="6"/>
        <v>1.0400000000000205</v>
      </c>
      <c r="G92" s="75">
        <f t="shared" si="7"/>
        <v>0.82945668392873462</v>
      </c>
      <c r="H92" s="75">
        <f>VLOOKUP($A92,'Data Vlaue (Cr)'!$C:$FB,99)</f>
        <v>1692</v>
      </c>
      <c r="I92" s="75">
        <f>VLOOKUP($A92,'Data Vlaue (Cr)'!$C:$FB,100)</f>
        <v>1657</v>
      </c>
      <c r="J92" s="75">
        <f t="shared" si="8"/>
        <v>35</v>
      </c>
      <c r="K92" s="75">
        <f t="shared" si="9"/>
        <v>2.0685579196217492</v>
      </c>
      <c r="L92" s="75">
        <f>VLOOKUP($A92,'Data Vlaue (Cr)'!$C:$FB,67)</f>
        <v>474</v>
      </c>
      <c r="M92" s="75">
        <f>VLOOKUP($A92,'Data Vlaue (Cr)'!$C:$FB,68)</f>
        <v>453</v>
      </c>
      <c r="N92" s="75">
        <f t="shared" si="10"/>
        <v>21</v>
      </c>
      <c r="O92" s="75">
        <f t="shared" si="11"/>
        <v>4.4303797468354427</v>
      </c>
      <c r="P92" s="75">
        <f>VLOOKUP($A92,'Data Vlaue (Cr)'!$C:$FB,119)</f>
        <v>0.72</v>
      </c>
      <c r="Q92" s="75">
        <f>VLOOKUP($A92,'Data Vlaue (Cr)'!$C:$FB,122)*100</f>
        <v>-5.26</v>
      </c>
      <c r="R92" s="75">
        <f>VLOOKUP($A92,'Data Vlaue (Cr)'!$C:$FB,125)</f>
        <v>0.26</v>
      </c>
      <c r="S92" s="75">
        <f>VLOOKUP($A92,'Data Vlaue (Cr)'!$C:$FB,128)*100</f>
        <v>-16.13</v>
      </c>
    </row>
    <row r="93" spans="1:19" x14ac:dyDescent="0.25">
      <c r="A93" s="96" t="str">
        <f>'Data Vlaue (Cr)'!C84</f>
        <v>ICICIBANK</v>
      </c>
      <c r="B93" s="75">
        <f>VLOOKUP($A93,'Data Vlaue (Cr)'!$C:$FB,2)</f>
        <v>700</v>
      </c>
      <c r="C93" s="75">
        <f>VLOOKUP($A93,'Data Vlaue (Cr)'!$C:$FB,8)</f>
        <v>1427.7</v>
      </c>
      <c r="D93" s="75">
        <f>VLOOKUP($A93,'Data Vlaue (Cr)'!$C:$FB,4)</f>
        <v>1430.7</v>
      </c>
      <c r="E93" s="75">
        <f>VLOOKUP($A93,'Data Vlaue (Cr)'!$C:$FB,5)</f>
        <v>1414.6</v>
      </c>
      <c r="F93" s="75">
        <f t="shared" si="6"/>
        <v>3</v>
      </c>
      <c r="G93" s="75">
        <f t="shared" si="7"/>
        <v>1.1253232683301977</v>
      </c>
      <c r="H93" s="75">
        <f>VLOOKUP($A93,'Data Vlaue (Cr)'!$C:$FB,99)</f>
        <v>24511</v>
      </c>
      <c r="I93" s="75">
        <f>VLOOKUP($A93,'Data Vlaue (Cr)'!$C:$FB,100)</f>
        <v>24903</v>
      </c>
      <c r="J93" s="75">
        <f t="shared" si="8"/>
        <v>-392</v>
      </c>
      <c r="K93" s="75">
        <f t="shared" si="9"/>
        <v>-1.5992819550405941</v>
      </c>
      <c r="L93" s="75">
        <f>VLOOKUP($A93,'Data Vlaue (Cr)'!$C:$FB,67)</f>
        <v>18671</v>
      </c>
      <c r="M93" s="75">
        <f>VLOOKUP($A93,'Data Vlaue (Cr)'!$C:$FB,68)</f>
        <v>25709</v>
      </c>
      <c r="N93" s="75">
        <f t="shared" si="10"/>
        <v>-7038</v>
      </c>
      <c r="O93" s="75">
        <f t="shared" si="11"/>
        <v>-37.69482084516094</v>
      </c>
      <c r="P93" s="75">
        <f>VLOOKUP($A93,'Data Vlaue (Cr)'!$C:$FB,119)</f>
        <v>0.71</v>
      </c>
      <c r="Q93" s="75">
        <f>VLOOKUP($A93,'Data Vlaue (Cr)'!$C:$FB,122)*100</f>
        <v>-6.58</v>
      </c>
      <c r="R93" s="75">
        <f>VLOOKUP($A93,'Data Vlaue (Cr)'!$C:$FB,125)</f>
        <v>0.68</v>
      </c>
      <c r="S93" s="75">
        <f>VLOOKUP($A93,'Data Vlaue (Cr)'!$C:$FB,128)*100</f>
        <v>17.239999999999998</v>
      </c>
    </row>
    <row r="94" spans="1:19" x14ac:dyDescent="0.25">
      <c r="A94" s="96" t="str">
        <f>'Data Vlaue (Cr)'!C85</f>
        <v>ICICIGI</v>
      </c>
      <c r="B94" s="75">
        <f>VLOOKUP($A94,'Data Vlaue (Cr)'!$C:$FB,2)</f>
        <v>325</v>
      </c>
      <c r="C94" s="75">
        <f>VLOOKUP($A94,'Data Vlaue (Cr)'!$C:$FB,8)</f>
        <v>1966.2</v>
      </c>
      <c r="D94" s="75">
        <f>VLOOKUP($A94,'Data Vlaue (Cr)'!$C:$FB,4)</f>
        <v>1974</v>
      </c>
      <c r="E94" s="75">
        <f>VLOOKUP($A94,'Data Vlaue (Cr)'!$C:$FB,5)</f>
        <v>2018.3</v>
      </c>
      <c r="F94" s="75">
        <f t="shared" si="6"/>
        <v>7.7999999999999545</v>
      </c>
      <c r="G94" s="75">
        <f t="shared" si="7"/>
        <v>-2.2441742654508592</v>
      </c>
      <c r="H94" s="75">
        <f>VLOOKUP($A94,'Data Vlaue (Cr)'!$C:$FB,99)</f>
        <v>1384</v>
      </c>
      <c r="I94" s="75">
        <f>VLOOKUP($A94,'Data Vlaue (Cr)'!$C:$FB,100)</f>
        <v>1354</v>
      </c>
      <c r="J94" s="75">
        <f t="shared" si="8"/>
        <v>30</v>
      </c>
      <c r="K94" s="75">
        <f t="shared" si="9"/>
        <v>2.1676300578034682</v>
      </c>
      <c r="L94" s="75">
        <f>VLOOKUP($A94,'Data Vlaue (Cr)'!$C:$FB,67)</f>
        <v>586</v>
      </c>
      <c r="M94" s="75">
        <f>VLOOKUP($A94,'Data Vlaue (Cr)'!$C:$FB,68)</f>
        <v>589</v>
      </c>
      <c r="N94" s="75">
        <f t="shared" si="10"/>
        <v>-3</v>
      </c>
      <c r="O94" s="75">
        <f t="shared" si="11"/>
        <v>-0.51194539249146753</v>
      </c>
      <c r="P94" s="75">
        <f>VLOOKUP($A94,'Data Vlaue (Cr)'!$C:$FB,119)</f>
        <v>0.86</v>
      </c>
      <c r="Q94" s="75">
        <f>VLOOKUP($A94,'Data Vlaue (Cr)'!$C:$FB,122)*100</f>
        <v>-8.51</v>
      </c>
      <c r="R94" s="75">
        <f>VLOOKUP($A94,'Data Vlaue (Cr)'!$C:$FB,125)</f>
        <v>0.69</v>
      </c>
      <c r="S94" s="75">
        <f>VLOOKUP($A94,'Data Vlaue (Cr)'!$C:$FB,128)*100</f>
        <v>97.14</v>
      </c>
    </row>
    <row r="95" spans="1:19" x14ac:dyDescent="0.25">
      <c r="A95" s="96" t="str">
        <f>'Data Vlaue (Cr)'!C86</f>
        <v>ICICIPRULI</v>
      </c>
      <c r="B95" s="75">
        <f>VLOOKUP($A95,'Data Vlaue (Cr)'!$C:$FB,2)</f>
        <v>925</v>
      </c>
      <c r="C95" s="75">
        <f>VLOOKUP($A95,'Data Vlaue (Cr)'!$C:$FB,8)</f>
        <v>684.6</v>
      </c>
      <c r="D95" s="75">
        <f>VLOOKUP($A95,'Data Vlaue (Cr)'!$C:$FB,4)</f>
        <v>686.15</v>
      </c>
      <c r="E95" s="75">
        <f>VLOOKUP($A95,'Data Vlaue (Cr)'!$C:$FB,5)</f>
        <v>691.25</v>
      </c>
      <c r="F95" s="75">
        <f t="shared" si="6"/>
        <v>1.5499999999999545</v>
      </c>
      <c r="G95" s="75">
        <f t="shared" si="7"/>
        <v>-0.74327770895577094</v>
      </c>
      <c r="H95" s="75">
        <f>VLOOKUP($A95,'Data Vlaue (Cr)'!$C:$FB,99)</f>
        <v>1472</v>
      </c>
      <c r="I95" s="75">
        <f>VLOOKUP($A95,'Data Vlaue (Cr)'!$C:$FB,100)</f>
        <v>1490</v>
      </c>
      <c r="J95" s="75">
        <f t="shared" si="8"/>
        <v>-18</v>
      </c>
      <c r="K95" s="75">
        <f t="shared" si="9"/>
        <v>-1.2228260869565217</v>
      </c>
      <c r="L95" s="75">
        <f>VLOOKUP($A95,'Data Vlaue (Cr)'!$C:$FB,67)</f>
        <v>510</v>
      </c>
      <c r="M95" s="75">
        <f>VLOOKUP($A95,'Data Vlaue (Cr)'!$C:$FB,68)</f>
        <v>491</v>
      </c>
      <c r="N95" s="75">
        <f t="shared" si="10"/>
        <v>19</v>
      </c>
      <c r="O95" s="75">
        <f t="shared" si="11"/>
        <v>3.7254901960784315</v>
      </c>
      <c r="P95" s="75">
        <f>VLOOKUP($A95,'Data Vlaue (Cr)'!$C:$FB,119)</f>
        <v>0.94</v>
      </c>
      <c r="Q95" s="75">
        <f>VLOOKUP($A95,'Data Vlaue (Cr)'!$C:$FB,122)*100</f>
        <v>-4.08</v>
      </c>
      <c r="R95" s="75">
        <f>VLOOKUP($A95,'Data Vlaue (Cr)'!$C:$FB,125)</f>
        <v>0.55000000000000004</v>
      </c>
      <c r="S95" s="75">
        <f>VLOOKUP($A95,'Data Vlaue (Cr)'!$C:$FB,128)*100</f>
        <v>-9.84</v>
      </c>
    </row>
    <row r="96" spans="1:19" x14ac:dyDescent="0.25">
      <c r="A96" s="96" t="str">
        <f>'Data Vlaue (Cr)'!C87</f>
        <v>IDEA</v>
      </c>
      <c r="B96" s="75">
        <f>VLOOKUP($A96,'Data Vlaue (Cr)'!$C:$FB,2)</f>
        <v>71475</v>
      </c>
      <c r="C96" s="75">
        <f>VLOOKUP($A96,'Data Vlaue (Cr)'!$C:$FB,8)</f>
        <v>11.46</v>
      </c>
      <c r="D96" s="75">
        <f>VLOOKUP($A96,'Data Vlaue (Cr)'!$C:$FB,4)</f>
        <v>11.52</v>
      </c>
      <c r="E96" s="75">
        <f>VLOOKUP($A96,'Data Vlaue (Cr)'!$C:$FB,5)</f>
        <v>11.66</v>
      </c>
      <c r="F96" s="75">
        <f t="shared" si="6"/>
        <v>5.9999999999998721E-2</v>
      </c>
      <c r="G96" s="75">
        <f t="shared" si="7"/>
        <v>-1.2152777777777828</v>
      </c>
      <c r="H96" s="75">
        <f>VLOOKUP($A96,'Data Vlaue (Cr)'!$C:$FB,99)</f>
        <v>12983</v>
      </c>
      <c r="I96" s="75">
        <f>VLOOKUP($A96,'Data Vlaue (Cr)'!$C:$FB,100)</f>
        <v>12967</v>
      </c>
      <c r="J96" s="75">
        <f t="shared" si="8"/>
        <v>16</v>
      </c>
      <c r="K96" s="75">
        <f t="shared" si="9"/>
        <v>0.12323808056689517</v>
      </c>
      <c r="L96" s="75">
        <f>VLOOKUP($A96,'Data Vlaue (Cr)'!$C:$FB,67)</f>
        <v>2015</v>
      </c>
      <c r="M96" s="75">
        <f>VLOOKUP($A96,'Data Vlaue (Cr)'!$C:$FB,68)</f>
        <v>3056</v>
      </c>
      <c r="N96" s="75">
        <f t="shared" si="10"/>
        <v>-1041</v>
      </c>
      <c r="O96" s="75">
        <f t="shared" si="11"/>
        <v>-51.66253101736973</v>
      </c>
      <c r="P96" s="75">
        <f>VLOOKUP($A96,'Data Vlaue (Cr)'!$C:$FB,119)</f>
        <v>0.61</v>
      </c>
      <c r="Q96" s="75">
        <f>VLOOKUP($A96,'Data Vlaue (Cr)'!$C:$FB,122)*100</f>
        <v>-1.6099999999999999</v>
      </c>
      <c r="R96" s="75">
        <f>VLOOKUP($A96,'Data Vlaue (Cr)'!$C:$FB,125)</f>
        <v>0.37</v>
      </c>
      <c r="S96" s="75">
        <f>VLOOKUP($A96,'Data Vlaue (Cr)'!$C:$FB,128)*100</f>
        <v>-7.5</v>
      </c>
    </row>
    <row r="97" spans="1:19" x14ac:dyDescent="0.25">
      <c r="A97" s="96" t="str">
        <f>'Data Vlaue (Cr)'!C88</f>
        <v>IDFCFIRSTB</v>
      </c>
      <c r="B97" s="75">
        <f>VLOOKUP($A97,'Data Vlaue (Cr)'!$C:$FB,2)</f>
        <v>9275</v>
      </c>
      <c r="C97" s="75">
        <f>VLOOKUP($A97,'Data Vlaue (Cr)'!$C:$FB,8)</f>
        <v>84.4</v>
      </c>
      <c r="D97" s="75">
        <f>VLOOKUP($A97,'Data Vlaue (Cr)'!$C:$FB,4)</f>
        <v>84.79</v>
      </c>
      <c r="E97" s="75">
        <f>VLOOKUP($A97,'Data Vlaue (Cr)'!$C:$FB,5)</f>
        <v>85.13</v>
      </c>
      <c r="F97" s="75">
        <f t="shared" si="6"/>
        <v>0.39000000000000057</v>
      </c>
      <c r="G97" s="75">
        <f t="shared" si="7"/>
        <v>-0.40099068286353251</v>
      </c>
      <c r="H97" s="75">
        <f>VLOOKUP($A97,'Data Vlaue (Cr)'!$C:$FB,99)</f>
        <v>4291</v>
      </c>
      <c r="I97" s="75">
        <f>VLOOKUP($A97,'Data Vlaue (Cr)'!$C:$FB,100)</f>
        <v>4165</v>
      </c>
      <c r="J97" s="75">
        <f t="shared" si="8"/>
        <v>126</v>
      </c>
      <c r="K97" s="75">
        <f t="shared" si="9"/>
        <v>2.9363784665579118</v>
      </c>
      <c r="L97" s="75">
        <f>VLOOKUP($A97,'Data Vlaue (Cr)'!$C:$FB,67)</f>
        <v>1922</v>
      </c>
      <c r="M97" s="75">
        <f>VLOOKUP($A97,'Data Vlaue (Cr)'!$C:$FB,68)</f>
        <v>1568</v>
      </c>
      <c r="N97" s="75">
        <f t="shared" si="10"/>
        <v>354</v>
      </c>
      <c r="O97" s="75">
        <f t="shared" si="11"/>
        <v>18.418314255983351</v>
      </c>
      <c r="P97" s="75">
        <f>VLOOKUP($A97,'Data Vlaue (Cr)'!$C:$FB,119)</f>
        <v>0.56000000000000005</v>
      </c>
      <c r="Q97" s="75">
        <f>VLOOKUP($A97,'Data Vlaue (Cr)'!$C:$FB,122)*100</f>
        <v>0</v>
      </c>
      <c r="R97" s="75">
        <f>VLOOKUP($A97,'Data Vlaue (Cr)'!$C:$FB,125)</f>
        <v>0.33</v>
      </c>
      <c r="S97" s="75">
        <f>VLOOKUP($A97,'Data Vlaue (Cr)'!$C:$FB,128)*100</f>
        <v>-23.26</v>
      </c>
    </row>
    <row r="98" spans="1:19" x14ac:dyDescent="0.25">
      <c r="A98" s="96" t="str">
        <f>'Data Vlaue (Cr)'!C89</f>
        <v>IEX</v>
      </c>
      <c r="B98" s="75">
        <f>VLOOKUP($A98,'Data Vlaue (Cr)'!$C:$FB,2)</f>
        <v>3750</v>
      </c>
      <c r="C98" s="75">
        <f>VLOOKUP($A98,'Data Vlaue (Cr)'!$C:$FB,8)</f>
        <v>154.78</v>
      </c>
      <c r="D98" s="75">
        <f>VLOOKUP($A98,'Data Vlaue (Cr)'!$C:$FB,4)</f>
        <v>155.34</v>
      </c>
      <c r="E98" s="75">
        <f>VLOOKUP($A98,'Data Vlaue (Cr)'!$C:$FB,5)</f>
        <v>149.07</v>
      </c>
      <c r="F98" s="75">
        <f t="shared" si="6"/>
        <v>0.56000000000000227</v>
      </c>
      <c r="G98" s="75">
        <f t="shared" si="7"/>
        <v>4.0363074546156881</v>
      </c>
      <c r="H98" s="75">
        <f>VLOOKUP($A98,'Data Vlaue (Cr)'!$C:$FB,99)</f>
        <v>3633</v>
      </c>
      <c r="I98" s="75">
        <f>VLOOKUP($A98,'Data Vlaue (Cr)'!$C:$FB,100)</f>
        <v>3453</v>
      </c>
      <c r="J98" s="75">
        <f t="shared" si="8"/>
        <v>180</v>
      </c>
      <c r="K98" s="75">
        <f t="shared" si="9"/>
        <v>4.9545829892650701</v>
      </c>
      <c r="L98" s="75">
        <f>VLOOKUP($A98,'Data Vlaue (Cr)'!$C:$FB,67)</f>
        <v>9562</v>
      </c>
      <c r="M98" s="75">
        <f>VLOOKUP($A98,'Data Vlaue (Cr)'!$C:$FB,68)</f>
        <v>12405</v>
      </c>
      <c r="N98" s="75">
        <f t="shared" si="10"/>
        <v>-2843</v>
      </c>
      <c r="O98" s="75">
        <f t="shared" si="11"/>
        <v>-29.732273582932439</v>
      </c>
      <c r="P98" s="75">
        <f>VLOOKUP($A98,'Data Vlaue (Cr)'!$C:$FB,119)</f>
        <v>0.68</v>
      </c>
      <c r="Q98" s="75">
        <f>VLOOKUP($A98,'Data Vlaue (Cr)'!$C:$FB,122)*100</f>
        <v>15.25</v>
      </c>
      <c r="R98" s="75">
        <f>VLOOKUP($A98,'Data Vlaue (Cr)'!$C:$FB,125)</f>
        <v>0.33</v>
      </c>
      <c r="S98" s="75">
        <f>VLOOKUP($A98,'Data Vlaue (Cr)'!$C:$FB,128)*100</f>
        <v>-2.94</v>
      </c>
    </row>
    <row r="99" spans="1:19" x14ac:dyDescent="0.25">
      <c r="A99" s="96" t="str">
        <f>'Data Vlaue (Cr)'!C90</f>
        <v>IIFL</v>
      </c>
      <c r="B99" s="75">
        <f>VLOOKUP($A99,'Data Vlaue (Cr)'!$C:$FB,2)</f>
        <v>1650</v>
      </c>
      <c r="C99" s="75">
        <f>VLOOKUP($A99,'Data Vlaue (Cr)'!$C:$FB,8)</f>
        <v>656.95</v>
      </c>
      <c r="D99" s="75">
        <f>VLOOKUP($A99,'Data Vlaue (Cr)'!$C:$FB,4)</f>
        <v>660.45</v>
      </c>
      <c r="E99" s="75">
        <f>VLOOKUP($A99,'Data Vlaue (Cr)'!$C:$FB,5)</f>
        <v>668.75</v>
      </c>
      <c r="F99" s="75">
        <f t="shared" si="6"/>
        <v>3.5</v>
      </c>
      <c r="G99" s="75">
        <f t="shared" si="7"/>
        <v>-1.2567189037777202</v>
      </c>
      <c r="H99" s="75">
        <f>VLOOKUP($A99,'Data Vlaue (Cr)'!$C:$FB,99)</f>
        <v>1415</v>
      </c>
      <c r="I99" s="75">
        <f>VLOOKUP($A99,'Data Vlaue (Cr)'!$C:$FB,100)</f>
        <v>1379</v>
      </c>
      <c r="J99" s="75">
        <f t="shared" si="8"/>
        <v>36</v>
      </c>
      <c r="K99" s="75">
        <f t="shared" si="9"/>
        <v>2.5441696113074208</v>
      </c>
      <c r="L99" s="75">
        <f>VLOOKUP($A99,'Data Vlaue (Cr)'!$C:$FB,67)</f>
        <v>1037</v>
      </c>
      <c r="M99" s="75">
        <f>VLOOKUP($A99,'Data Vlaue (Cr)'!$C:$FB,68)</f>
        <v>2823</v>
      </c>
      <c r="N99" s="75">
        <f t="shared" si="10"/>
        <v>-1786</v>
      </c>
      <c r="O99" s="75">
        <f t="shared" si="11"/>
        <v>-172.22757955641273</v>
      </c>
      <c r="P99" s="75">
        <f>VLOOKUP($A99,'Data Vlaue (Cr)'!$C:$FB,119)</f>
        <v>0.79</v>
      </c>
      <c r="Q99" s="75">
        <f>VLOOKUP($A99,'Data Vlaue (Cr)'!$C:$FB,122)*100</f>
        <v>-20.200000000000003</v>
      </c>
      <c r="R99" s="75">
        <f>VLOOKUP($A99,'Data Vlaue (Cr)'!$C:$FB,125)</f>
        <v>0.74</v>
      </c>
      <c r="S99" s="75">
        <f>VLOOKUP($A99,'Data Vlaue (Cr)'!$C:$FB,128)*100</f>
        <v>89.74</v>
      </c>
    </row>
    <row r="100" spans="1:19" x14ac:dyDescent="0.25">
      <c r="A100" s="96" t="str">
        <f>'Data Vlaue (Cr)'!C91</f>
        <v>INDHOTEL</v>
      </c>
      <c r="B100" s="75">
        <f>VLOOKUP($A100,'Data Vlaue (Cr)'!$C:$FB,2)</f>
        <v>1000</v>
      </c>
      <c r="C100" s="75">
        <f>VLOOKUP($A100,'Data Vlaue (Cr)'!$C:$FB,8)</f>
        <v>715.35</v>
      </c>
      <c r="D100" s="75">
        <f>VLOOKUP($A100,'Data Vlaue (Cr)'!$C:$FB,4)</f>
        <v>717.15</v>
      </c>
      <c r="E100" s="75">
        <f>VLOOKUP($A100,'Data Vlaue (Cr)'!$C:$FB,5)</f>
        <v>729.2</v>
      </c>
      <c r="F100" s="75">
        <f t="shared" si="6"/>
        <v>1.7999999999999545</v>
      </c>
      <c r="G100" s="75">
        <f t="shared" si="7"/>
        <v>-1.6802621487833882</v>
      </c>
      <c r="H100" s="75">
        <f>VLOOKUP($A100,'Data Vlaue (Cr)'!$C:$FB,99)</f>
        <v>3253</v>
      </c>
      <c r="I100" s="75">
        <f>VLOOKUP($A100,'Data Vlaue (Cr)'!$C:$FB,100)</f>
        <v>2910</v>
      </c>
      <c r="J100" s="75">
        <f t="shared" si="8"/>
        <v>343</v>
      </c>
      <c r="K100" s="75">
        <f t="shared" si="9"/>
        <v>10.544113126344911</v>
      </c>
      <c r="L100" s="75">
        <f>VLOOKUP($A100,'Data Vlaue (Cr)'!$C:$FB,67)</f>
        <v>3045</v>
      </c>
      <c r="M100" s="75">
        <f>VLOOKUP($A100,'Data Vlaue (Cr)'!$C:$FB,68)</f>
        <v>1587</v>
      </c>
      <c r="N100" s="75">
        <f t="shared" si="10"/>
        <v>1458</v>
      </c>
      <c r="O100" s="75">
        <f t="shared" si="11"/>
        <v>47.881773399014776</v>
      </c>
      <c r="P100" s="75">
        <f>VLOOKUP($A100,'Data Vlaue (Cr)'!$C:$FB,119)</f>
        <v>0.62</v>
      </c>
      <c r="Q100" s="75">
        <f>VLOOKUP($A100,'Data Vlaue (Cr)'!$C:$FB,122)*100</f>
        <v>1.6400000000000001</v>
      </c>
      <c r="R100" s="75">
        <f>VLOOKUP($A100,'Data Vlaue (Cr)'!$C:$FB,125)</f>
        <v>0.67</v>
      </c>
      <c r="S100" s="75">
        <f>VLOOKUP($A100,'Data Vlaue (Cr)'!$C:$FB,128)*100</f>
        <v>34</v>
      </c>
    </row>
    <row r="101" spans="1:19" x14ac:dyDescent="0.25">
      <c r="A101" s="96" t="str">
        <f>'Data Vlaue (Cr)'!C92</f>
        <v>INDIANB</v>
      </c>
      <c r="B101" s="75">
        <f>VLOOKUP($A101,'Data Vlaue (Cr)'!$C:$FB,2)</f>
        <v>1000</v>
      </c>
      <c r="C101" s="75">
        <f>VLOOKUP($A101,'Data Vlaue (Cr)'!$C:$FB,8)</f>
        <v>864.6</v>
      </c>
      <c r="D101" s="75">
        <f>VLOOKUP($A101,'Data Vlaue (Cr)'!$C:$FB,4)</f>
        <v>865.9</v>
      </c>
      <c r="E101" s="75">
        <f>VLOOKUP($A101,'Data Vlaue (Cr)'!$C:$FB,5)</f>
        <v>865.65</v>
      </c>
      <c r="F101" s="75">
        <f t="shared" si="6"/>
        <v>1.2999999999999545</v>
      </c>
      <c r="G101" s="75">
        <f t="shared" si="7"/>
        <v>2.8871694191015127E-2</v>
      </c>
      <c r="H101" s="75">
        <f>VLOOKUP($A101,'Data Vlaue (Cr)'!$C:$FB,99)</f>
        <v>1504</v>
      </c>
      <c r="I101" s="75">
        <f>VLOOKUP($A101,'Data Vlaue (Cr)'!$C:$FB,100)</f>
        <v>1506</v>
      </c>
      <c r="J101" s="75">
        <f t="shared" si="8"/>
        <v>-2</v>
      </c>
      <c r="K101" s="75">
        <f t="shared" si="9"/>
        <v>-0.13297872340425532</v>
      </c>
      <c r="L101" s="75">
        <f>VLOOKUP($A101,'Data Vlaue (Cr)'!$C:$FB,67)</f>
        <v>555</v>
      </c>
      <c r="M101" s="75">
        <f>VLOOKUP($A101,'Data Vlaue (Cr)'!$C:$FB,68)</f>
        <v>877</v>
      </c>
      <c r="N101" s="75">
        <f t="shared" si="10"/>
        <v>-322</v>
      </c>
      <c r="O101" s="75">
        <f t="shared" si="11"/>
        <v>-58.018018018018012</v>
      </c>
      <c r="P101" s="75">
        <f>VLOOKUP($A101,'Data Vlaue (Cr)'!$C:$FB,119)</f>
        <v>0.71</v>
      </c>
      <c r="Q101" s="75">
        <f>VLOOKUP($A101,'Data Vlaue (Cr)'!$C:$FB,122)*100</f>
        <v>1.43</v>
      </c>
      <c r="R101" s="75">
        <f>VLOOKUP($A101,'Data Vlaue (Cr)'!$C:$FB,125)</f>
        <v>0.4</v>
      </c>
      <c r="S101" s="75">
        <f>VLOOKUP($A101,'Data Vlaue (Cr)'!$C:$FB,128)*100</f>
        <v>11.110000000000001</v>
      </c>
    </row>
    <row r="102" spans="1:19" x14ac:dyDescent="0.25">
      <c r="A102" s="96" t="str">
        <f>'Data Vlaue (Cr)'!C93</f>
        <v>INDIAVIX</v>
      </c>
      <c r="B102" s="75">
        <f>VLOOKUP($A102,'Data Vlaue (Cr)'!$C:$FB,2)</f>
        <v>1</v>
      </c>
      <c r="C102" s="75">
        <f>VLOOKUP($A102,'Data Vlaue (Cr)'!$C:$FB,8)</f>
        <v>9.9499999999999993</v>
      </c>
      <c r="D102" s="75">
        <f>VLOOKUP($A102,'Data Vlaue (Cr)'!$C:$FB,4)</f>
        <v>9.9499999999999993</v>
      </c>
      <c r="E102" s="75">
        <f>VLOOKUP($A102,'Data Vlaue (Cr)'!$C:$FB,5)</f>
        <v>10.02</v>
      </c>
      <c r="F102" s="75">
        <f t="shared" si="6"/>
        <v>0</v>
      </c>
      <c r="G102" s="75">
        <f t="shared" si="7"/>
        <v>-0.70351758793970143</v>
      </c>
      <c r="H102" s="75">
        <f>VLOOKUP($A102,'Data Vlaue (Cr)'!$C:$FB,99)</f>
        <v>0</v>
      </c>
      <c r="I102" s="75">
        <f>VLOOKUP($A102,'Data Vlaue (Cr)'!$C:$FB,100)</f>
        <v>0</v>
      </c>
      <c r="J102" s="75">
        <f t="shared" si="8"/>
        <v>0</v>
      </c>
      <c r="K102" s="75" t="e">
        <f t="shared" si="9"/>
        <v>#DIV/0!</v>
      </c>
      <c r="L102" s="75">
        <f>VLOOKUP($A102,'Data Vlaue (Cr)'!$C:$FB,67)</f>
        <v>0</v>
      </c>
      <c r="M102" s="75">
        <f>VLOOKUP($A102,'Data Vlaue (Cr)'!$C:$FB,68)</f>
        <v>0</v>
      </c>
      <c r="N102" s="75">
        <f t="shared" si="10"/>
        <v>0</v>
      </c>
      <c r="O102" s="75" t="e">
        <f t="shared" si="11"/>
        <v>#DIV/0!</v>
      </c>
      <c r="P102" s="75">
        <f>VLOOKUP($A102,'Data Vlaue (Cr)'!$C:$FB,119)</f>
        <v>0</v>
      </c>
      <c r="Q102" s="75">
        <f>VLOOKUP($A102,'Data Vlaue (Cr)'!$C:$FB,122)*100</f>
        <v>0</v>
      </c>
      <c r="R102" s="75">
        <f>VLOOKUP($A102,'Data Vlaue (Cr)'!$C:$FB,125)</f>
        <v>0</v>
      </c>
      <c r="S102" s="75">
        <f>VLOOKUP($A102,'Data Vlaue (Cr)'!$C:$FB,128)*100</f>
        <v>0</v>
      </c>
    </row>
    <row r="103" spans="1:19" x14ac:dyDescent="0.25">
      <c r="A103" s="96" t="str">
        <f>'Data Vlaue (Cr)'!C94</f>
        <v>INDIGO</v>
      </c>
      <c r="B103" s="75">
        <f>VLOOKUP($A103,'Data Vlaue (Cr)'!$C:$FB,2)</f>
        <v>150</v>
      </c>
      <c r="C103" s="75">
        <f>VLOOKUP($A103,'Data Vlaue (Cr)'!$C:$FB,8)</f>
        <v>4951</v>
      </c>
      <c r="D103" s="75">
        <f>VLOOKUP($A103,'Data Vlaue (Cr)'!$C:$FB,4)</f>
        <v>4975.5</v>
      </c>
      <c r="E103" s="75">
        <f>VLOOKUP($A103,'Data Vlaue (Cr)'!$C:$FB,5)</f>
        <v>5029.5</v>
      </c>
      <c r="F103" s="75">
        <f t="shared" si="6"/>
        <v>24.5</v>
      </c>
      <c r="G103" s="75">
        <f t="shared" si="7"/>
        <v>-1.0853180584865842</v>
      </c>
      <c r="H103" s="75">
        <f>VLOOKUP($A103,'Data Vlaue (Cr)'!$C:$FB,99)</f>
        <v>8439</v>
      </c>
      <c r="I103" s="75">
        <f>VLOOKUP($A103,'Data Vlaue (Cr)'!$C:$FB,100)</f>
        <v>8174</v>
      </c>
      <c r="J103" s="75">
        <f t="shared" si="8"/>
        <v>265</v>
      </c>
      <c r="K103" s="75">
        <f t="shared" si="9"/>
        <v>3.1401824860765495</v>
      </c>
      <c r="L103" s="75">
        <f>VLOOKUP($A103,'Data Vlaue (Cr)'!$C:$FB,67)</f>
        <v>6278</v>
      </c>
      <c r="M103" s="75">
        <f>VLOOKUP($A103,'Data Vlaue (Cr)'!$C:$FB,68)</f>
        <v>4656</v>
      </c>
      <c r="N103" s="75">
        <f t="shared" si="10"/>
        <v>1622</v>
      </c>
      <c r="O103" s="75">
        <f t="shared" si="11"/>
        <v>25.836253583943929</v>
      </c>
      <c r="P103" s="75">
        <f>VLOOKUP($A103,'Data Vlaue (Cr)'!$C:$FB,119)</f>
        <v>0.68</v>
      </c>
      <c r="Q103" s="75">
        <f>VLOOKUP($A103,'Data Vlaue (Cr)'!$C:$FB,122)*100</f>
        <v>-10.530000000000001</v>
      </c>
      <c r="R103" s="75">
        <f>VLOOKUP($A103,'Data Vlaue (Cr)'!$C:$FB,125)</f>
        <v>0.85</v>
      </c>
      <c r="S103" s="75">
        <f>VLOOKUP($A103,'Data Vlaue (Cr)'!$C:$FB,128)*100</f>
        <v>26.87</v>
      </c>
    </row>
    <row r="104" spans="1:19" x14ac:dyDescent="0.25">
      <c r="A104" s="96" t="str">
        <f>'Data Vlaue (Cr)'!C95</f>
        <v>INDUSINDBK</v>
      </c>
      <c r="B104" s="75">
        <f>VLOOKUP($A104,'Data Vlaue (Cr)'!$C:$FB,2)</f>
        <v>700</v>
      </c>
      <c r="C104" s="75">
        <f>VLOOKUP($A104,'Data Vlaue (Cr)'!$C:$FB,8)</f>
        <v>897.85</v>
      </c>
      <c r="D104" s="75">
        <f>VLOOKUP($A104,'Data Vlaue (Cr)'!$C:$FB,4)</f>
        <v>900.3</v>
      </c>
      <c r="E104" s="75">
        <f>VLOOKUP($A104,'Data Vlaue (Cr)'!$C:$FB,5)</f>
        <v>916.4</v>
      </c>
      <c r="F104" s="75">
        <f t="shared" si="6"/>
        <v>2.4499999999999318</v>
      </c>
      <c r="G104" s="75">
        <f t="shared" si="7"/>
        <v>-1.7882927912917943</v>
      </c>
      <c r="H104" s="75">
        <f>VLOOKUP($A104,'Data Vlaue (Cr)'!$C:$FB,99)</f>
        <v>6186</v>
      </c>
      <c r="I104" s="75">
        <f>VLOOKUP($A104,'Data Vlaue (Cr)'!$C:$FB,100)</f>
        <v>5985</v>
      </c>
      <c r="J104" s="75">
        <f t="shared" si="8"/>
        <v>201</v>
      </c>
      <c r="K104" s="75">
        <f t="shared" si="9"/>
        <v>3.249272550921436</v>
      </c>
      <c r="L104" s="75">
        <f>VLOOKUP($A104,'Data Vlaue (Cr)'!$C:$FB,67)</f>
        <v>3216</v>
      </c>
      <c r="M104" s="75">
        <f>VLOOKUP($A104,'Data Vlaue (Cr)'!$C:$FB,68)</f>
        <v>6304</v>
      </c>
      <c r="N104" s="75">
        <f t="shared" si="10"/>
        <v>-3088</v>
      </c>
      <c r="O104" s="75">
        <f t="shared" si="11"/>
        <v>-96.019900497512438</v>
      </c>
      <c r="P104" s="75">
        <f>VLOOKUP($A104,'Data Vlaue (Cr)'!$C:$FB,119)</f>
        <v>0.83</v>
      </c>
      <c r="Q104" s="75">
        <f>VLOOKUP($A104,'Data Vlaue (Cr)'!$C:$FB,122)*100</f>
        <v>-8.7900000000000009</v>
      </c>
      <c r="R104" s="75">
        <f>VLOOKUP($A104,'Data Vlaue (Cr)'!$C:$FB,125)</f>
        <v>0.68</v>
      </c>
      <c r="S104" s="75">
        <f>VLOOKUP($A104,'Data Vlaue (Cr)'!$C:$FB,128)*100</f>
        <v>3.0300000000000002</v>
      </c>
    </row>
    <row r="105" spans="1:19" x14ac:dyDescent="0.25">
      <c r="A105" s="96" t="str">
        <f>'Data Vlaue (Cr)'!C96</f>
        <v>INDUSTOWER</v>
      </c>
      <c r="B105" s="75">
        <f>VLOOKUP($A105,'Data Vlaue (Cr)'!$C:$FB,2)</f>
        <v>1700</v>
      </c>
      <c r="C105" s="75">
        <f>VLOOKUP($A105,'Data Vlaue (Cr)'!$C:$FB,8)</f>
        <v>429</v>
      </c>
      <c r="D105" s="75">
        <f>VLOOKUP($A105,'Data Vlaue (Cr)'!$C:$FB,4)</f>
        <v>430.3</v>
      </c>
      <c r="E105" s="75">
        <f>VLOOKUP($A105,'Data Vlaue (Cr)'!$C:$FB,5)</f>
        <v>434.35</v>
      </c>
      <c r="F105" s="75">
        <f t="shared" si="6"/>
        <v>1.3000000000000114</v>
      </c>
      <c r="G105" s="75">
        <f t="shared" si="7"/>
        <v>-0.9412038112944483</v>
      </c>
      <c r="H105" s="75">
        <f>VLOOKUP($A105,'Data Vlaue (Cr)'!$C:$FB,99)</f>
        <v>5797</v>
      </c>
      <c r="I105" s="75">
        <f>VLOOKUP($A105,'Data Vlaue (Cr)'!$C:$FB,100)</f>
        <v>5784</v>
      </c>
      <c r="J105" s="75">
        <f t="shared" si="8"/>
        <v>13</v>
      </c>
      <c r="K105" s="75">
        <f t="shared" si="9"/>
        <v>0.22425392444367775</v>
      </c>
      <c r="L105" s="75">
        <f>VLOOKUP($A105,'Data Vlaue (Cr)'!$C:$FB,67)</f>
        <v>1239</v>
      </c>
      <c r="M105" s="75">
        <f>VLOOKUP($A105,'Data Vlaue (Cr)'!$C:$FB,68)</f>
        <v>1173</v>
      </c>
      <c r="N105" s="75">
        <f t="shared" si="10"/>
        <v>66</v>
      </c>
      <c r="O105" s="75">
        <f t="shared" si="11"/>
        <v>5.3268765133171918</v>
      </c>
      <c r="P105" s="75">
        <f>VLOOKUP($A105,'Data Vlaue (Cr)'!$C:$FB,119)</f>
        <v>0.67</v>
      </c>
      <c r="Q105" s="75">
        <f>VLOOKUP($A105,'Data Vlaue (Cr)'!$C:$FB,122)*100</f>
        <v>0</v>
      </c>
      <c r="R105" s="75">
        <f>VLOOKUP($A105,'Data Vlaue (Cr)'!$C:$FB,125)</f>
        <v>0.37</v>
      </c>
      <c r="S105" s="75">
        <f>VLOOKUP($A105,'Data Vlaue (Cr)'!$C:$FB,128)*100</f>
        <v>-22.919999999999998</v>
      </c>
    </row>
    <row r="106" spans="1:19" x14ac:dyDescent="0.25">
      <c r="A106" s="96" t="str">
        <f>'Data Vlaue (Cr)'!C97</f>
        <v>INFY</v>
      </c>
      <c r="B106" s="75">
        <f>VLOOKUP($A106,'Data Vlaue (Cr)'!$C:$FB,2)</f>
        <v>400</v>
      </c>
      <c r="C106" s="75">
        <f>VLOOKUP($A106,'Data Vlaue (Cr)'!$C:$FB,8)</f>
        <v>1639</v>
      </c>
      <c r="D106" s="75">
        <f>VLOOKUP($A106,'Data Vlaue (Cr)'!$C:$FB,4)</f>
        <v>1644.6</v>
      </c>
      <c r="E106" s="75">
        <f>VLOOKUP($A106,'Data Vlaue (Cr)'!$C:$FB,5)</f>
        <v>1616.8</v>
      </c>
      <c r="F106" s="75">
        <f t="shared" si="6"/>
        <v>5.5999999999999091</v>
      </c>
      <c r="G106" s="75">
        <f t="shared" si="7"/>
        <v>1.690380639669218</v>
      </c>
      <c r="H106" s="75">
        <f>VLOOKUP($A106,'Data Vlaue (Cr)'!$C:$FB,99)</f>
        <v>17743</v>
      </c>
      <c r="I106" s="75">
        <f>VLOOKUP($A106,'Data Vlaue (Cr)'!$C:$FB,100)</f>
        <v>16801</v>
      </c>
      <c r="J106" s="75">
        <f t="shared" si="8"/>
        <v>942</v>
      </c>
      <c r="K106" s="75">
        <f t="shared" si="9"/>
        <v>5.3091359972947076</v>
      </c>
      <c r="L106" s="75">
        <f>VLOOKUP($A106,'Data Vlaue (Cr)'!$C:$FB,67)</f>
        <v>8580</v>
      </c>
      <c r="M106" s="75">
        <f>VLOOKUP($A106,'Data Vlaue (Cr)'!$C:$FB,68)</f>
        <v>4396</v>
      </c>
      <c r="N106" s="75">
        <f t="shared" si="10"/>
        <v>4184</v>
      </c>
      <c r="O106" s="75">
        <f t="shared" si="11"/>
        <v>48.764568764568764</v>
      </c>
      <c r="P106" s="75">
        <f>VLOOKUP($A106,'Data Vlaue (Cr)'!$C:$FB,119)</f>
        <v>0.51</v>
      </c>
      <c r="Q106" s="75">
        <f>VLOOKUP($A106,'Data Vlaue (Cr)'!$C:$FB,122)*100</f>
        <v>-15</v>
      </c>
      <c r="R106" s="75">
        <f>VLOOKUP($A106,'Data Vlaue (Cr)'!$C:$FB,125)</f>
        <v>0.34</v>
      </c>
      <c r="S106" s="75">
        <f>VLOOKUP($A106,'Data Vlaue (Cr)'!$C:$FB,128)*100</f>
        <v>-37.04</v>
      </c>
    </row>
    <row r="107" spans="1:19" x14ac:dyDescent="0.25">
      <c r="A107" s="96" t="str">
        <f>'Data Vlaue (Cr)'!C98</f>
        <v>INOXWIND</v>
      </c>
      <c r="B107" s="75">
        <f>VLOOKUP($A107,'Data Vlaue (Cr)'!$C:$FB,2)</f>
        <v>3575</v>
      </c>
      <c r="C107" s="75">
        <f>VLOOKUP($A107,'Data Vlaue (Cr)'!$C:$FB,8)</f>
        <v>122.94</v>
      </c>
      <c r="D107" s="75">
        <f>VLOOKUP($A107,'Data Vlaue (Cr)'!$C:$FB,4)</f>
        <v>123.23</v>
      </c>
      <c r="E107" s="75">
        <f>VLOOKUP($A107,'Data Vlaue (Cr)'!$C:$FB,5)</f>
        <v>123.33</v>
      </c>
      <c r="F107" s="75">
        <f t="shared" si="6"/>
        <v>0.29000000000000625</v>
      </c>
      <c r="G107" s="75">
        <f t="shared" si="7"/>
        <v>-8.1149070843134233E-2</v>
      </c>
      <c r="H107" s="75">
        <f>VLOOKUP($A107,'Data Vlaue (Cr)'!$C:$FB,99)</f>
        <v>1728</v>
      </c>
      <c r="I107" s="75">
        <f>VLOOKUP($A107,'Data Vlaue (Cr)'!$C:$FB,100)</f>
        <v>1675</v>
      </c>
      <c r="J107" s="75">
        <f t="shared" si="8"/>
        <v>53</v>
      </c>
      <c r="K107" s="75">
        <f t="shared" si="9"/>
        <v>3.0671296296296298</v>
      </c>
      <c r="L107" s="75">
        <f>VLOOKUP($A107,'Data Vlaue (Cr)'!$C:$FB,67)</f>
        <v>460</v>
      </c>
      <c r="M107" s="75">
        <f>VLOOKUP($A107,'Data Vlaue (Cr)'!$C:$FB,68)</f>
        <v>542</v>
      </c>
      <c r="N107" s="75">
        <f t="shared" si="10"/>
        <v>-82</v>
      </c>
      <c r="O107" s="75">
        <f t="shared" si="11"/>
        <v>-17.826086956521738</v>
      </c>
      <c r="P107" s="75">
        <f>VLOOKUP($A107,'Data Vlaue (Cr)'!$C:$FB,119)</f>
        <v>0.64</v>
      </c>
      <c r="Q107" s="75">
        <f>VLOOKUP($A107,'Data Vlaue (Cr)'!$C:$FB,122)*100</f>
        <v>-5.88</v>
      </c>
      <c r="R107" s="75">
        <f>VLOOKUP($A107,'Data Vlaue (Cr)'!$C:$FB,125)</f>
        <v>0.5</v>
      </c>
      <c r="S107" s="75">
        <f>VLOOKUP($A107,'Data Vlaue (Cr)'!$C:$FB,128)*100</f>
        <v>11.110000000000001</v>
      </c>
    </row>
    <row r="108" spans="1:19" x14ac:dyDescent="0.25">
      <c r="A108" s="96" t="str">
        <f>'Data Vlaue (Cr)'!C99</f>
        <v>IOC</v>
      </c>
      <c r="B108" s="75">
        <f>VLOOKUP($A108,'Data Vlaue (Cr)'!$C:$FB,2)</f>
        <v>4875</v>
      </c>
      <c r="C108" s="75">
        <f>VLOOKUP($A108,'Data Vlaue (Cr)'!$C:$FB,8)</f>
        <v>162.66999999999999</v>
      </c>
      <c r="D108" s="75">
        <f>VLOOKUP($A108,'Data Vlaue (Cr)'!$C:$FB,4)</f>
        <v>163.31</v>
      </c>
      <c r="E108" s="75">
        <f>VLOOKUP($A108,'Data Vlaue (Cr)'!$C:$FB,5)</f>
        <v>164.39</v>
      </c>
      <c r="F108" s="75">
        <f t="shared" si="6"/>
        <v>0.64000000000001478</v>
      </c>
      <c r="G108" s="75">
        <f t="shared" si="7"/>
        <v>-0.66131896393361334</v>
      </c>
      <c r="H108" s="75">
        <f>VLOOKUP($A108,'Data Vlaue (Cr)'!$C:$FB,99)</f>
        <v>3095</v>
      </c>
      <c r="I108" s="75">
        <f>VLOOKUP($A108,'Data Vlaue (Cr)'!$C:$FB,100)</f>
        <v>3006</v>
      </c>
      <c r="J108" s="75">
        <f t="shared" si="8"/>
        <v>89</v>
      </c>
      <c r="K108" s="75">
        <f t="shared" si="9"/>
        <v>2.875605815831987</v>
      </c>
      <c r="L108" s="75">
        <f>VLOOKUP($A108,'Data Vlaue (Cr)'!$C:$FB,67)</f>
        <v>878</v>
      </c>
      <c r="M108" s="75">
        <f>VLOOKUP($A108,'Data Vlaue (Cr)'!$C:$FB,68)</f>
        <v>1819</v>
      </c>
      <c r="N108" s="75">
        <f t="shared" si="10"/>
        <v>-941</v>
      </c>
      <c r="O108" s="75">
        <f t="shared" si="11"/>
        <v>-107.1753986332574</v>
      </c>
      <c r="P108" s="75">
        <f>VLOOKUP($A108,'Data Vlaue (Cr)'!$C:$FB,119)</f>
        <v>0.6</v>
      </c>
      <c r="Q108" s="75">
        <f>VLOOKUP($A108,'Data Vlaue (Cr)'!$C:$FB,122)*100</f>
        <v>-1.6400000000000001</v>
      </c>
      <c r="R108" s="75">
        <f>VLOOKUP($A108,'Data Vlaue (Cr)'!$C:$FB,125)</f>
        <v>0.51</v>
      </c>
      <c r="S108" s="75">
        <f>VLOOKUP($A108,'Data Vlaue (Cr)'!$C:$FB,128)*100</f>
        <v>-17.740000000000002</v>
      </c>
    </row>
    <row r="109" spans="1:19" x14ac:dyDescent="0.25">
      <c r="A109" s="96" t="str">
        <f>'Data Vlaue (Cr)'!C100</f>
        <v>IRCTC</v>
      </c>
      <c r="B109" s="75">
        <f>VLOOKUP($A109,'Data Vlaue (Cr)'!$C:$FB,2)</f>
        <v>875</v>
      </c>
      <c r="C109" s="75">
        <f>VLOOKUP($A109,'Data Vlaue (Cr)'!$C:$FB,8)</f>
        <v>672.8</v>
      </c>
      <c r="D109" s="75">
        <f>VLOOKUP($A109,'Data Vlaue (Cr)'!$C:$FB,4)</f>
        <v>674.6</v>
      </c>
      <c r="E109" s="75">
        <f>VLOOKUP($A109,'Data Vlaue (Cr)'!$C:$FB,5)</f>
        <v>672.5</v>
      </c>
      <c r="F109" s="75">
        <f t="shared" si="6"/>
        <v>1.8000000000000682</v>
      </c>
      <c r="G109" s="75">
        <f t="shared" si="7"/>
        <v>0.31129558256745071</v>
      </c>
      <c r="H109" s="75">
        <f>VLOOKUP($A109,'Data Vlaue (Cr)'!$C:$FB,99)</f>
        <v>3847</v>
      </c>
      <c r="I109" s="75">
        <f>VLOOKUP($A109,'Data Vlaue (Cr)'!$C:$FB,100)</f>
        <v>3615</v>
      </c>
      <c r="J109" s="75">
        <f t="shared" si="8"/>
        <v>232</v>
      </c>
      <c r="K109" s="75">
        <f t="shared" si="9"/>
        <v>6.0306732518845854</v>
      </c>
      <c r="L109" s="75">
        <f>VLOOKUP($A109,'Data Vlaue (Cr)'!$C:$FB,67)</f>
        <v>1401</v>
      </c>
      <c r="M109" s="75">
        <f>VLOOKUP($A109,'Data Vlaue (Cr)'!$C:$FB,68)</f>
        <v>1332</v>
      </c>
      <c r="N109" s="75">
        <f t="shared" si="10"/>
        <v>69</v>
      </c>
      <c r="O109" s="75">
        <f t="shared" si="11"/>
        <v>4.925053533190578</v>
      </c>
      <c r="P109" s="75">
        <f>VLOOKUP($A109,'Data Vlaue (Cr)'!$C:$FB,119)</f>
        <v>0.44</v>
      </c>
      <c r="Q109" s="75">
        <f>VLOOKUP($A109,'Data Vlaue (Cr)'!$C:$FB,122)*100</f>
        <v>-6.38</v>
      </c>
      <c r="R109" s="75">
        <f>VLOOKUP($A109,'Data Vlaue (Cr)'!$C:$FB,125)</f>
        <v>0.19</v>
      </c>
      <c r="S109" s="75">
        <f>VLOOKUP($A109,'Data Vlaue (Cr)'!$C:$FB,128)*100</f>
        <v>-40.630000000000003</v>
      </c>
    </row>
    <row r="110" spans="1:19" x14ac:dyDescent="0.25">
      <c r="A110" s="96" t="str">
        <f>'Data Vlaue (Cr)'!C101</f>
        <v>IREDA</v>
      </c>
      <c r="B110" s="75">
        <f>VLOOKUP($A110,'Data Vlaue (Cr)'!$C:$FB,2)</f>
        <v>3450</v>
      </c>
      <c r="C110" s="75">
        <f>VLOOKUP($A110,'Data Vlaue (Cr)'!$C:$FB,8)</f>
        <v>146.03</v>
      </c>
      <c r="D110" s="75">
        <f>VLOOKUP($A110,'Data Vlaue (Cr)'!$C:$FB,4)</f>
        <v>145.9</v>
      </c>
      <c r="E110" s="75">
        <f>VLOOKUP($A110,'Data Vlaue (Cr)'!$C:$FB,5)</f>
        <v>143.82</v>
      </c>
      <c r="F110" s="75">
        <f t="shared" si="6"/>
        <v>-0.12999999999999545</v>
      </c>
      <c r="G110" s="75">
        <f t="shared" si="7"/>
        <v>1.4256339958876028</v>
      </c>
      <c r="H110" s="75">
        <f>VLOOKUP($A110,'Data Vlaue (Cr)'!$C:$FB,99)</f>
        <v>1647</v>
      </c>
      <c r="I110" s="75">
        <f>VLOOKUP($A110,'Data Vlaue (Cr)'!$C:$FB,100)</f>
        <v>1558</v>
      </c>
      <c r="J110" s="75">
        <f t="shared" si="8"/>
        <v>89</v>
      </c>
      <c r="K110" s="75">
        <f t="shared" si="9"/>
        <v>5.4037644201578621</v>
      </c>
      <c r="L110" s="75">
        <f>VLOOKUP($A110,'Data Vlaue (Cr)'!$C:$FB,67)</f>
        <v>779</v>
      </c>
      <c r="M110" s="75">
        <f>VLOOKUP($A110,'Data Vlaue (Cr)'!$C:$FB,68)</f>
        <v>628</v>
      </c>
      <c r="N110" s="75">
        <f t="shared" si="10"/>
        <v>151</v>
      </c>
      <c r="O110" s="75">
        <f t="shared" si="11"/>
        <v>19.383825417201543</v>
      </c>
      <c r="P110" s="75">
        <f>VLOOKUP($A110,'Data Vlaue (Cr)'!$C:$FB,119)</f>
        <v>0.56999999999999995</v>
      </c>
      <c r="Q110" s="75">
        <f>VLOOKUP($A110,'Data Vlaue (Cr)'!$C:$FB,122)*100</f>
        <v>0</v>
      </c>
      <c r="R110" s="75">
        <f>VLOOKUP($A110,'Data Vlaue (Cr)'!$C:$FB,125)</f>
        <v>0.22</v>
      </c>
      <c r="S110" s="75">
        <f>VLOOKUP($A110,'Data Vlaue (Cr)'!$C:$FB,128)*100</f>
        <v>-35.29</v>
      </c>
    </row>
    <row r="111" spans="1:19" x14ac:dyDescent="0.25">
      <c r="A111" s="96" t="str">
        <f>'Data Vlaue (Cr)'!C102</f>
        <v>IRFC</v>
      </c>
      <c r="B111" s="75">
        <f>VLOOKUP($A111,'Data Vlaue (Cr)'!$C:$FB,2)</f>
        <v>4250</v>
      </c>
      <c r="C111" s="75">
        <f>VLOOKUP($A111,'Data Vlaue (Cr)'!$C:$FB,8)</f>
        <v>128.04</v>
      </c>
      <c r="D111" s="75">
        <f>VLOOKUP($A111,'Data Vlaue (Cr)'!$C:$FB,4)</f>
        <v>128.65</v>
      </c>
      <c r="E111" s="75">
        <f>VLOOKUP($A111,'Data Vlaue (Cr)'!$C:$FB,5)</f>
        <v>127.83</v>
      </c>
      <c r="F111" s="75">
        <f t="shared" si="6"/>
        <v>0.61000000000001364</v>
      </c>
      <c r="G111" s="75">
        <f t="shared" si="7"/>
        <v>0.63738826272833837</v>
      </c>
      <c r="H111" s="75">
        <f>VLOOKUP($A111,'Data Vlaue (Cr)'!$C:$FB,99)</f>
        <v>2335</v>
      </c>
      <c r="I111" s="75">
        <f>VLOOKUP($A111,'Data Vlaue (Cr)'!$C:$FB,100)</f>
        <v>2318</v>
      </c>
      <c r="J111" s="75">
        <f t="shared" si="8"/>
        <v>17</v>
      </c>
      <c r="K111" s="75">
        <f t="shared" si="9"/>
        <v>0.72805139186295509</v>
      </c>
      <c r="L111" s="75">
        <f>VLOOKUP($A111,'Data Vlaue (Cr)'!$C:$FB,67)</f>
        <v>608</v>
      </c>
      <c r="M111" s="75">
        <f>VLOOKUP($A111,'Data Vlaue (Cr)'!$C:$FB,68)</f>
        <v>881</v>
      </c>
      <c r="N111" s="75">
        <f t="shared" si="10"/>
        <v>-273</v>
      </c>
      <c r="O111" s="75">
        <f t="shared" si="11"/>
        <v>-44.901315789473685</v>
      </c>
      <c r="P111" s="75">
        <f>VLOOKUP($A111,'Data Vlaue (Cr)'!$C:$FB,119)</f>
        <v>0.46</v>
      </c>
      <c r="Q111" s="75">
        <f>VLOOKUP($A111,'Data Vlaue (Cr)'!$C:$FB,122)*100</f>
        <v>2.2200000000000002</v>
      </c>
      <c r="R111" s="75">
        <f>VLOOKUP($A111,'Data Vlaue (Cr)'!$C:$FB,125)</f>
        <v>0.33</v>
      </c>
      <c r="S111" s="75">
        <f>VLOOKUP($A111,'Data Vlaue (Cr)'!$C:$FB,128)*100</f>
        <v>17.86</v>
      </c>
    </row>
    <row r="112" spans="1:19" x14ac:dyDescent="0.25">
      <c r="A112" s="96" t="str">
        <f>'Data Vlaue (Cr)'!C103</f>
        <v>ITC</v>
      </c>
      <c r="B112" s="75">
        <f>VLOOKUP($A112,'Data Vlaue (Cr)'!$C:$FB,2)</f>
        <v>1600</v>
      </c>
      <c r="C112" s="75">
        <f>VLOOKUP($A112,'Data Vlaue (Cr)'!$C:$FB,8)</f>
        <v>341.25</v>
      </c>
      <c r="D112" s="75">
        <f>VLOOKUP($A112,'Data Vlaue (Cr)'!$C:$FB,4)</f>
        <v>342.9</v>
      </c>
      <c r="E112" s="75">
        <f>VLOOKUP($A112,'Data Vlaue (Cr)'!$C:$FB,5)</f>
        <v>344.2</v>
      </c>
      <c r="F112" s="75">
        <f t="shared" si="6"/>
        <v>1.6499999999999773</v>
      </c>
      <c r="G112" s="75">
        <f t="shared" si="7"/>
        <v>-0.37911927675707535</v>
      </c>
      <c r="H112" s="75">
        <f>VLOOKUP($A112,'Data Vlaue (Cr)'!$C:$FB,99)</f>
        <v>25843</v>
      </c>
      <c r="I112" s="75">
        <f>VLOOKUP($A112,'Data Vlaue (Cr)'!$C:$FB,100)</f>
        <v>25120</v>
      </c>
      <c r="J112" s="75">
        <f t="shared" si="8"/>
        <v>723</v>
      </c>
      <c r="K112" s="75">
        <f t="shared" si="9"/>
        <v>2.7976628100452734</v>
      </c>
      <c r="L112" s="75">
        <f>VLOOKUP($A112,'Data Vlaue (Cr)'!$C:$FB,67)</f>
        <v>12862</v>
      </c>
      <c r="M112" s="75">
        <f>VLOOKUP($A112,'Data Vlaue (Cr)'!$C:$FB,68)</f>
        <v>30035</v>
      </c>
      <c r="N112" s="75">
        <f t="shared" si="10"/>
        <v>-17173</v>
      </c>
      <c r="O112" s="75">
        <f t="shared" si="11"/>
        <v>-133.51733789457316</v>
      </c>
      <c r="P112" s="75">
        <f>VLOOKUP($A112,'Data Vlaue (Cr)'!$C:$FB,119)</f>
        <v>0.37</v>
      </c>
      <c r="Q112" s="75">
        <f>VLOOKUP($A112,'Data Vlaue (Cr)'!$C:$FB,122)*100</f>
        <v>0</v>
      </c>
      <c r="R112" s="75">
        <f>VLOOKUP($A112,'Data Vlaue (Cr)'!$C:$FB,125)</f>
        <v>0.39</v>
      </c>
      <c r="S112" s="75">
        <f>VLOOKUP($A112,'Data Vlaue (Cr)'!$C:$FB,128)*100</f>
        <v>-4.88</v>
      </c>
    </row>
    <row r="113" spans="1:19" x14ac:dyDescent="0.25">
      <c r="A113" s="96" t="str">
        <f>'Data Vlaue (Cr)'!C104</f>
        <v>JINDALSTEL</v>
      </c>
      <c r="B113" s="75">
        <f>VLOOKUP($A113,'Data Vlaue (Cr)'!$C:$FB,2)</f>
        <v>625</v>
      </c>
      <c r="C113" s="75">
        <f>VLOOKUP($A113,'Data Vlaue (Cr)'!$C:$FB,8)</f>
        <v>1074.7</v>
      </c>
      <c r="D113" s="75">
        <f>VLOOKUP($A113,'Data Vlaue (Cr)'!$C:$FB,4)</f>
        <v>1077.3</v>
      </c>
      <c r="E113" s="75">
        <f>VLOOKUP($A113,'Data Vlaue (Cr)'!$C:$FB,5)</f>
        <v>1083.5999999999999</v>
      </c>
      <c r="F113" s="75">
        <f t="shared" si="6"/>
        <v>2.5999999999999091</v>
      </c>
      <c r="G113" s="75">
        <f t="shared" si="7"/>
        <v>-0.58479532163742265</v>
      </c>
      <c r="H113" s="75">
        <f>VLOOKUP($A113,'Data Vlaue (Cr)'!$C:$FB,99)</f>
        <v>2317</v>
      </c>
      <c r="I113" s="75">
        <f>VLOOKUP($A113,'Data Vlaue (Cr)'!$C:$FB,100)</f>
        <v>2206</v>
      </c>
      <c r="J113" s="75">
        <f t="shared" si="8"/>
        <v>111</v>
      </c>
      <c r="K113" s="75">
        <f t="shared" si="9"/>
        <v>4.7906776003452745</v>
      </c>
      <c r="L113" s="75">
        <f>VLOOKUP($A113,'Data Vlaue (Cr)'!$C:$FB,67)</f>
        <v>1063</v>
      </c>
      <c r="M113" s="75">
        <f>VLOOKUP($A113,'Data Vlaue (Cr)'!$C:$FB,68)</f>
        <v>1041</v>
      </c>
      <c r="N113" s="75">
        <f t="shared" si="10"/>
        <v>22</v>
      </c>
      <c r="O113" s="75">
        <f t="shared" si="11"/>
        <v>2.0696142991533399</v>
      </c>
      <c r="P113" s="75">
        <f>VLOOKUP($A113,'Data Vlaue (Cr)'!$C:$FB,119)</f>
        <v>1.02</v>
      </c>
      <c r="Q113" s="75">
        <f>VLOOKUP($A113,'Data Vlaue (Cr)'!$C:$FB,122)*100</f>
        <v>8.51</v>
      </c>
      <c r="R113" s="75">
        <f>VLOOKUP($A113,'Data Vlaue (Cr)'!$C:$FB,125)</f>
        <v>1.1200000000000001</v>
      </c>
      <c r="S113" s="75">
        <f>VLOOKUP($A113,'Data Vlaue (Cr)'!$C:$FB,128)*100</f>
        <v>115.38</v>
      </c>
    </row>
    <row r="114" spans="1:19" x14ac:dyDescent="0.25">
      <c r="A114" s="96" t="str">
        <f>'Data Vlaue (Cr)'!C105</f>
        <v>JIOFIN</v>
      </c>
      <c r="B114" s="75">
        <f>VLOOKUP($A114,'Data Vlaue (Cr)'!$C:$FB,2)</f>
        <v>2350</v>
      </c>
      <c r="C114" s="75">
        <f>VLOOKUP($A114,'Data Vlaue (Cr)'!$C:$FB,8)</f>
        <v>303.5</v>
      </c>
      <c r="D114" s="75">
        <f>VLOOKUP($A114,'Data Vlaue (Cr)'!$C:$FB,4)</f>
        <v>305.10000000000002</v>
      </c>
      <c r="E114" s="75">
        <f>VLOOKUP($A114,'Data Vlaue (Cr)'!$C:$FB,5)</f>
        <v>299.2</v>
      </c>
      <c r="F114" s="75">
        <f t="shared" si="6"/>
        <v>1.6000000000000227</v>
      </c>
      <c r="G114" s="75">
        <f t="shared" si="7"/>
        <v>1.933792199278936</v>
      </c>
      <c r="H114" s="75">
        <f>VLOOKUP($A114,'Data Vlaue (Cr)'!$C:$FB,99)</f>
        <v>7817</v>
      </c>
      <c r="I114" s="75">
        <f>VLOOKUP($A114,'Data Vlaue (Cr)'!$C:$FB,100)</f>
        <v>7625</v>
      </c>
      <c r="J114" s="75">
        <f t="shared" si="8"/>
        <v>192</v>
      </c>
      <c r="K114" s="75">
        <f t="shared" si="9"/>
        <v>2.4561852373033135</v>
      </c>
      <c r="L114" s="75">
        <f>VLOOKUP($A114,'Data Vlaue (Cr)'!$C:$FB,67)</f>
        <v>6523</v>
      </c>
      <c r="M114" s="75">
        <f>VLOOKUP($A114,'Data Vlaue (Cr)'!$C:$FB,68)</f>
        <v>3550</v>
      </c>
      <c r="N114" s="75">
        <f t="shared" si="10"/>
        <v>2973</v>
      </c>
      <c r="O114" s="75">
        <f t="shared" si="11"/>
        <v>45.577188410240687</v>
      </c>
      <c r="P114" s="75">
        <f>VLOOKUP($A114,'Data Vlaue (Cr)'!$C:$FB,119)</f>
        <v>0.77</v>
      </c>
      <c r="Q114" s="75">
        <f>VLOOKUP($A114,'Data Vlaue (Cr)'!$C:$FB,122)*100</f>
        <v>1.32</v>
      </c>
      <c r="R114" s="75">
        <f>VLOOKUP($A114,'Data Vlaue (Cr)'!$C:$FB,125)</f>
        <v>0.31</v>
      </c>
      <c r="S114" s="75">
        <f>VLOOKUP($A114,'Data Vlaue (Cr)'!$C:$FB,128)*100</f>
        <v>-32.61</v>
      </c>
    </row>
    <row r="115" spans="1:19" x14ac:dyDescent="0.25">
      <c r="A115" s="96" t="str">
        <f>'Data Vlaue (Cr)'!C106</f>
        <v>JSWENERGY</v>
      </c>
      <c r="B115" s="75">
        <f>VLOOKUP($A115,'Data Vlaue (Cr)'!$C:$FB,2)</f>
        <v>1000</v>
      </c>
      <c r="C115" s="75">
        <f>VLOOKUP($A115,'Data Vlaue (Cr)'!$C:$FB,8)</f>
        <v>512.6</v>
      </c>
      <c r="D115" s="75">
        <f>VLOOKUP($A115,'Data Vlaue (Cr)'!$C:$FB,4)</f>
        <v>513.6</v>
      </c>
      <c r="E115" s="75">
        <f>VLOOKUP($A115,'Data Vlaue (Cr)'!$C:$FB,5)</f>
        <v>516.70000000000005</v>
      </c>
      <c r="F115" s="75">
        <f t="shared" si="6"/>
        <v>1</v>
      </c>
      <c r="G115" s="75">
        <f t="shared" si="7"/>
        <v>-0.60358255451713838</v>
      </c>
      <c r="H115" s="75">
        <f>VLOOKUP($A115,'Data Vlaue (Cr)'!$C:$FB,99)</f>
        <v>2673</v>
      </c>
      <c r="I115" s="75">
        <f>VLOOKUP($A115,'Data Vlaue (Cr)'!$C:$FB,100)</f>
        <v>2674</v>
      </c>
      <c r="J115" s="75">
        <f t="shared" si="8"/>
        <v>-1</v>
      </c>
      <c r="K115" s="75">
        <f t="shared" si="9"/>
        <v>-3.741114852225963E-2</v>
      </c>
      <c r="L115" s="75">
        <f>VLOOKUP($A115,'Data Vlaue (Cr)'!$C:$FB,67)</f>
        <v>438</v>
      </c>
      <c r="M115" s="75">
        <f>VLOOKUP($A115,'Data Vlaue (Cr)'!$C:$FB,68)</f>
        <v>509</v>
      </c>
      <c r="N115" s="75">
        <f t="shared" si="10"/>
        <v>-71</v>
      </c>
      <c r="O115" s="75">
        <f t="shared" si="11"/>
        <v>-16.210045662100455</v>
      </c>
      <c r="P115" s="75">
        <f>VLOOKUP($A115,'Data Vlaue (Cr)'!$C:$FB,119)</f>
        <v>1.03</v>
      </c>
      <c r="Q115" s="75">
        <f>VLOOKUP($A115,'Data Vlaue (Cr)'!$C:$FB,122)*100</f>
        <v>-2.83</v>
      </c>
      <c r="R115" s="75">
        <f>VLOOKUP($A115,'Data Vlaue (Cr)'!$C:$FB,125)</f>
        <v>0.74</v>
      </c>
      <c r="S115" s="75">
        <f>VLOOKUP($A115,'Data Vlaue (Cr)'!$C:$FB,128)*100</f>
        <v>21.310000000000002</v>
      </c>
    </row>
    <row r="116" spans="1:19" x14ac:dyDescent="0.25">
      <c r="A116" s="96" t="str">
        <f>'Data Vlaue (Cr)'!C107</f>
        <v>JSWSTEEL</v>
      </c>
      <c r="B116" s="75">
        <f>VLOOKUP($A116,'Data Vlaue (Cr)'!$C:$FB,2)</f>
        <v>675</v>
      </c>
      <c r="C116" s="75">
        <f>VLOOKUP($A116,'Data Vlaue (Cr)'!$C:$FB,8)</f>
        <v>1189.8</v>
      </c>
      <c r="D116" s="75">
        <f>VLOOKUP($A116,'Data Vlaue (Cr)'!$C:$FB,4)</f>
        <v>1192.4000000000001</v>
      </c>
      <c r="E116" s="75">
        <f>VLOOKUP($A116,'Data Vlaue (Cr)'!$C:$FB,5)</f>
        <v>1181.7</v>
      </c>
      <c r="F116" s="75">
        <f t="shared" si="6"/>
        <v>2.6000000000001364</v>
      </c>
      <c r="G116" s="75">
        <f t="shared" si="7"/>
        <v>0.89734988258973869</v>
      </c>
      <c r="H116" s="75">
        <f>VLOOKUP($A116,'Data Vlaue (Cr)'!$C:$FB,99)</f>
        <v>8061</v>
      </c>
      <c r="I116" s="75">
        <f>VLOOKUP($A116,'Data Vlaue (Cr)'!$C:$FB,100)</f>
        <v>7989</v>
      </c>
      <c r="J116" s="75">
        <f t="shared" si="8"/>
        <v>72</v>
      </c>
      <c r="K116" s="75">
        <f t="shared" si="9"/>
        <v>0.89318943059173794</v>
      </c>
      <c r="L116" s="75">
        <f>VLOOKUP($A116,'Data Vlaue (Cr)'!$C:$FB,67)</f>
        <v>1709</v>
      </c>
      <c r="M116" s="75">
        <f>VLOOKUP($A116,'Data Vlaue (Cr)'!$C:$FB,68)</f>
        <v>3035</v>
      </c>
      <c r="N116" s="75">
        <f t="shared" si="10"/>
        <v>-1326</v>
      </c>
      <c r="O116" s="75">
        <f t="shared" si="11"/>
        <v>-77.58923346986542</v>
      </c>
      <c r="P116" s="75">
        <f>VLOOKUP($A116,'Data Vlaue (Cr)'!$C:$FB,119)</f>
        <v>0.97</v>
      </c>
      <c r="Q116" s="75">
        <f>VLOOKUP($A116,'Data Vlaue (Cr)'!$C:$FB,122)*100</f>
        <v>4.3</v>
      </c>
      <c r="R116" s="75">
        <f>VLOOKUP($A116,'Data Vlaue (Cr)'!$C:$FB,125)</f>
        <v>0.81</v>
      </c>
      <c r="S116" s="75">
        <f>VLOOKUP($A116,'Data Vlaue (Cr)'!$C:$FB,128)*100</f>
        <v>-22.12</v>
      </c>
    </row>
    <row r="117" spans="1:19" x14ac:dyDescent="0.25">
      <c r="A117" s="96" t="str">
        <f>'Data Vlaue (Cr)'!C108</f>
        <v>JUBLFOOD</v>
      </c>
      <c r="B117" s="75">
        <f>VLOOKUP($A117,'Data Vlaue (Cr)'!$C:$FB,2)</f>
        <v>1250</v>
      </c>
      <c r="C117" s="75">
        <f>VLOOKUP($A117,'Data Vlaue (Cr)'!$C:$FB,8)</f>
        <v>537.4</v>
      </c>
      <c r="D117" s="75">
        <f>VLOOKUP($A117,'Data Vlaue (Cr)'!$C:$FB,4)</f>
        <v>539.45000000000005</v>
      </c>
      <c r="E117" s="75">
        <f>VLOOKUP($A117,'Data Vlaue (Cr)'!$C:$FB,5)</f>
        <v>545.54999999999995</v>
      </c>
      <c r="F117" s="75">
        <f t="shared" si="6"/>
        <v>2.0500000000000682</v>
      </c>
      <c r="G117" s="75">
        <f t="shared" si="7"/>
        <v>-1.1307813513763849</v>
      </c>
      <c r="H117" s="75">
        <f>VLOOKUP($A117,'Data Vlaue (Cr)'!$C:$FB,99)</f>
        <v>2526</v>
      </c>
      <c r="I117" s="75">
        <f>VLOOKUP($A117,'Data Vlaue (Cr)'!$C:$FB,100)</f>
        <v>2442</v>
      </c>
      <c r="J117" s="75">
        <f t="shared" si="8"/>
        <v>84</v>
      </c>
      <c r="K117" s="75">
        <f t="shared" si="9"/>
        <v>3.3254156769596199</v>
      </c>
      <c r="L117" s="75">
        <f>VLOOKUP($A117,'Data Vlaue (Cr)'!$C:$FB,67)</f>
        <v>1879</v>
      </c>
      <c r="M117" s="75">
        <f>VLOOKUP($A117,'Data Vlaue (Cr)'!$C:$FB,68)</f>
        <v>1533</v>
      </c>
      <c r="N117" s="75">
        <f t="shared" si="10"/>
        <v>346</v>
      </c>
      <c r="O117" s="75">
        <f t="shared" si="11"/>
        <v>18.4140500266099</v>
      </c>
      <c r="P117" s="75">
        <f>VLOOKUP($A117,'Data Vlaue (Cr)'!$C:$FB,119)</f>
        <v>0.63</v>
      </c>
      <c r="Q117" s="75">
        <f>VLOOKUP($A117,'Data Vlaue (Cr)'!$C:$FB,122)*100</f>
        <v>-3.08</v>
      </c>
      <c r="R117" s="75">
        <f>VLOOKUP($A117,'Data Vlaue (Cr)'!$C:$FB,125)</f>
        <v>0.52</v>
      </c>
      <c r="S117" s="75">
        <f>VLOOKUP($A117,'Data Vlaue (Cr)'!$C:$FB,128)*100</f>
        <v>8.33</v>
      </c>
    </row>
    <row r="118" spans="1:19" x14ac:dyDescent="0.25">
      <c r="A118" s="96" t="str">
        <f>'Data Vlaue (Cr)'!C109</f>
        <v>KALYANKJIL</v>
      </c>
      <c r="B118" s="75">
        <f>VLOOKUP($A118,'Data Vlaue (Cr)'!$C:$FB,2)</f>
        <v>1175</v>
      </c>
      <c r="C118" s="75">
        <f>VLOOKUP($A118,'Data Vlaue (Cr)'!$C:$FB,8)</f>
        <v>520.75</v>
      </c>
      <c r="D118" s="75">
        <f>VLOOKUP($A118,'Data Vlaue (Cr)'!$C:$FB,4)</f>
        <v>523.29999999999995</v>
      </c>
      <c r="E118" s="75">
        <f>VLOOKUP($A118,'Data Vlaue (Cr)'!$C:$FB,5)</f>
        <v>502.45</v>
      </c>
      <c r="F118" s="75">
        <f t="shared" si="6"/>
        <v>2.5499999999999545</v>
      </c>
      <c r="G118" s="75">
        <f t="shared" si="7"/>
        <v>3.9843302121154154</v>
      </c>
      <c r="H118" s="75">
        <f>VLOOKUP($A118,'Data Vlaue (Cr)'!$C:$FB,99)</f>
        <v>2801</v>
      </c>
      <c r="I118" s="75">
        <f>VLOOKUP($A118,'Data Vlaue (Cr)'!$C:$FB,100)</f>
        <v>2366</v>
      </c>
      <c r="J118" s="75">
        <f t="shared" si="8"/>
        <v>435</v>
      </c>
      <c r="K118" s="75">
        <f t="shared" si="9"/>
        <v>15.530167797215281</v>
      </c>
      <c r="L118" s="75">
        <f>VLOOKUP($A118,'Data Vlaue (Cr)'!$C:$FB,67)</f>
        <v>6522</v>
      </c>
      <c r="M118" s="75">
        <f>VLOOKUP($A118,'Data Vlaue (Cr)'!$C:$FB,68)</f>
        <v>698</v>
      </c>
      <c r="N118" s="75">
        <f t="shared" si="10"/>
        <v>5824</v>
      </c>
      <c r="O118" s="75">
        <f t="shared" si="11"/>
        <v>89.29776142287642</v>
      </c>
      <c r="P118" s="75">
        <f>VLOOKUP($A118,'Data Vlaue (Cr)'!$C:$FB,119)</f>
        <v>0.56000000000000005</v>
      </c>
      <c r="Q118" s="75">
        <f>VLOOKUP($A118,'Data Vlaue (Cr)'!$C:$FB,122)*100</f>
        <v>-18.84</v>
      </c>
      <c r="R118" s="75">
        <f>VLOOKUP($A118,'Data Vlaue (Cr)'!$C:$FB,125)</f>
        <v>0.28999999999999998</v>
      </c>
      <c r="S118" s="75">
        <f>VLOOKUP($A118,'Data Vlaue (Cr)'!$C:$FB,128)*100</f>
        <v>-27.500000000000004</v>
      </c>
    </row>
    <row r="119" spans="1:19" x14ac:dyDescent="0.25">
      <c r="A119" s="96" t="str">
        <f>'Data Vlaue (Cr)'!C110</f>
        <v>KAYNES</v>
      </c>
      <c r="B119" s="75">
        <f>VLOOKUP($A119,'Data Vlaue (Cr)'!$C:$FB,2)</f>
        <v>100</v>
      </c>
      <c r="C119" s="75">
        <f>VLOOKUP($A119,'Data Vlaue (Cr)'!$C:$FB,8)</f>
        <v>3831.3</v>
      </c>
      <c r="D119" s="75">
        <f>VLOOKUP($A119,'Data Vlaue (Cr)'!$C:$FB,4)</f>
        <v>3850.8</v>
      </c>
      <c r="E119" s="75">
        <f>VLOOKUP($A119,'Data Vlaue (Cr)'!$C:$FB,5)</f>
        <v>3794.5</v>
      </c>
      <c r="F119" s="75">
        <f t="shared" si="6"/>
        <v>19.5</v>
      </c>
      <c r="G119" s="75">
        <f t="shared" si="7"/>
        <v>1.4620338630933878</v>
      </c>
      <c r="H119" s="75">
        <f>VLOOKUP($A119,'Data Vlaue (Cr)'!$C:$FB,99)</f>
        <v>3482</v>
      </c>
      <c r="I119" s="75">
        <f>VLOOKUP($A119,'Data Vlaue (Cr)'!$C:$FB,100)</f>
        <v>3265</v>
      </c>
      <c r="J119" s="75">
        <f t="shared" si="8"/>
        <v>217</v>
      </c>
      <c r="K119" s="75">
        <f t="shared" si="9"/>
        <v>6.2320505456634114</v>
      </c>
      <c r="L119" s="75">
        <f>VLOOKUP($A119,'Data Vlaue (Cr)'!$C:$FB,67)</f>
        <v>4985</v>
      </c>
      <c r="M119" s="75">
        <f>VLOOKUP($A119,'Data Vlaue (Cr)'!$C:$FB,68)</f>
        <v>6540</v>
      </c>
      <c r="N119" s="75">
        <f t="shared" si="10"/>
        <v>-1555</v>
      </c>
      <c r="O119" s="75">
        <f t="shared" si="11"/>
        <v>-31.193580742226679</v>
      </c>
      <c r="P119" s="75">
        <f>VLOOKUP($A119,'Data Vlaue (Cr)'!$C:$FB,119)</f>
        <v>0.52</v>
      </c>
      <c r="Q119" s="75">
        <f>VLOOKUP($A119,'Data Vlaue (Cr)'!$C:$FB,122)*100</f>
        <v>4</v>
      </c>
      <c r="R119" s="75">
        <f>VLOOKUP($A119,'Data Vlaue (Cr)'!$C:$FB,125)</f>
        <v>0.66</v>
      </c>
      <c r="S119" s="75">
        <f>VLOOKUP($A119,'Data Vlaue (Cr)'!$C:$FB,128)*100</f>
        <v>-15.379999999999999</v>
      </c>
    </row>
    <row r="120" spans="1:19" x14ac:dyDescent="0.25">
      <c r="A120" s="96" t="str">
        <f>'Data Vlaue (Cr)'!C111</f>
        <v>KEI</v>
      </c>
      <c r="B120" s="75">
        <f>VLOOKUP($A120,'Data Vlaue (Cr)'!$C:$FB,2)</f>
        <v>175</v>
      </c>
      <c r="C120" s="75">
        <f>VLOOKUP($A120,'Data Vlaue (Cr)'!$C:$FB,8)</f>
        <v>4538.2</v>
      </c>
      <c r="D120" s="75">
        <f>VLOOKUP($A120,'Data Vlaue (Cr)'!$C:$FB,4)</f>
        <v>4559.6000000000004</v>
      </c>
      <c r="E120" s="75">
        <f>VLOOKUP($A120,'Data Vlaue (Cr)'!$C:$FB,5)</f>
        <v>4545.1000000000004</v>
      </c>
      <c r="F120" s="75">
        <f t="shared" si="6"/>
        <v>21.400000000000546</v>
      </c>
      <c r="G120" s="75">
        <f t="shared" si="7"/>
        <v>0.31801035178524428</v>
      </c>
      <c r="H120" s="75">
        <f>VLOOKUP($A120,'Data Vlaue (Cr)'!$C:$FB,99)</f>
        <v>787</v>
      </c>
      <c r="I120" s="75">
        <f>VLOOKUP($A120,'Data Vlaue (Cr)'!$C:$FB,100)</f>
        <v>725</v>
      </c>
      <c r="J120" s="75">
        <f t="shared" si="8"/>
        <v>62</v>
      </c>
      <c r="K120" s="75">
        <f t="shared" si="9"/>
        <v>7.8780177890724268</v>
      </c>
      <c r="L120" s="75">
        <f>VLOOKUP($A120,'Data Vlaue (Cr)'!$C:$FB,67)</f>
        <v>550</v>
      </c>
      <c r="M120" s="75">
        <f>VLOOKUP($A120,'Data Vlaue (Cr)'!$C:$FB,68)</f>
        <v>315</v>
      </c>
      <c r="N120" s="75">
        <f t="shared" si="10"/>
        <v>235</v>
      </c>
      <c r="O120" s="75">
        <f t="shared" si="11"/>
        <v>42.727272727272727</v>
      </c>
      <c r="P120" s="75">
        <f>VLOOKUP($A120,'Data Vlaue (Cr)'!$C:$FB,119)</f>
        <v>0.68</v>
      </c>
      <c r="Q120" s="75">
        <f>VLOOKUP($A120,'Data Vlaue (Cr)'!$C:$FB,122)*100</f>
        <v>-6.8500000000000005</v>
      </c>
      <c r="R120" s="75">
        <f>VLOOKUP($A120,'Data Vlaue (Cr)'!$C:$FB,125)</f>
        <v>0.27</v>
      </c>
      <c r="S120" s="75">
        <f>VLOOKUP($A120,'Data Vlaue (Cr)'!$C:$FB,128)*100</f>
        <v>-25</v>
      </c>
    </row>
    <row r="121" spans="1:19" x14ac:dyDescent="0.25">
      <c r="A121" s="96" t="str">
        <f>'Data Vlaue (Cr)'!C112</f>
        <v>KFINTECH</v>
      </c>
      <c r="B121" s="75">
        <f>VLOOKUP($A121,'Data Vlaue (Cr)'!$C:$FB,2)</f>
        <v>500</v>
      </c>
      <c r="C121" s="75">
        <f>VLOOKUP($A121,'Data Vlaue (Cr)'!$C:$FB,8)</f>
        <v>1074.4000000000001</v>
      </c>
      <c r="D121" s="75">
        <f>VLOOKUP($A121,'Data Vlaue (Cr)'!$C:$FB,4)</f>
        <v>1068.8</v>
      </c>
      <c r="E121" s="75">
        <f>VLOOKUP($A121,'Data Vlaue (Cr)'!$C:$FB,5)</f>
        <v>1062.2</v>
      </c>
      <c r="F121" s="75">
        <f t="shared" si="6"/>
        <v>-5.6000000000001364</v>
      </c>
      <c r="G121" s="75">
        <f t="shared" si="7"/>
        <v>0.61751497005987177</v>
      </c>
      <c r="H121" s="75">
        <f>VLOOKUP($A121,'Data Vlaue (Cr)'!$C:$FB,99)</f>
        <v>706</v>
      </c>
      <c r="I121" s="75">
        <f>VLOOKUP($A121,'Data Vlaue (Cr)'!$C:$FB,100)</f>
        <v>678</v>
      </c>
      <c r="J121" s="75">
        <f t="shared" si="8"/>
        <v>28</v>
      </c>
      <c r="K121" s="75">
        <f t="shared" si="9"/>
        <v>3.9660056657223794</v>
      </c>
      <c r="L121" s="75">
        <f>VLOOKUP($A121,'Data Vlaue (Cr)'!$C:$FB,67)</f>
        <v>337</v>
      </c>
      <c r="M121" s="75">
        <f>VLOOKUP($A121,'Data Vlaue (Cr)'!$C:$FB,68)</f>
        <v>304</v>
      </c>
      <c r="N121" s="75">
        <f t="shared" si="10"/>
        <v>33</v>
      </c>
      <c r="O121" s="75">
        <f t="shared" si="11"/>
        <v>9.792284866468842</v>
      </c>
      <c r="P121" s="75">
        <f>VLOOKUP($A121,'Data Vlaue (Cr)'!$C:$FB,119)</f>
        <v>0.68</v>
      </c>
      <c r="Q121" s="75">
        <f>VLOOKUP($A121,'Data Vlaue (Cr)'!$C:$FB,122)*100</f>
        <v>-6.8500000000000005</v>
      </c>
      <c r="R121" s="75">
        <f>VLOOKUP($A121,'Data Vlaue (Cr)'!$C:$FB,125)</f>
        <v>0.25</v>
      </c>
      <c r="S121" s="75">
        <f>VLOOKUP($A121,'Data Vlaue (Cr)'!$C:$FB,128)*100</f>
        <v>-47.92</v>
      </c>
    </row>
    <row r="122" spans="1:19" x14ac:dyDescent="0.25">
      <c r="A122" s="96" t="str">
        <f>'Data Vlaue (Cr)'!C113</f>
        <v>KOTAKBANK</v>
      </c>
      <c r="B122" s="75">
        <f>VLOOKUP($A122,'Data Vlaue (Cr)'!$C:$FB,2)</f>
        <v>400</v>
      </c>
      <c r="C122" s="75">
        <f>VLOOKUP($A122,'Data Vlaue (Cr)'!$C:$FB,8)</f>
        <v>2144</v>
      </c>
      <c r="D122" s="75">
        <f>VLOOKUP($A122,'Data Vlaue (Cr)'!$C:$FB,4)</f>
        <v>2149.8000000000002</v>
      </c>
      <c r="E122" s="75">
        <f>VLOOKUP($A122,'Data Vlaue (Cr)'!$C:$FB,5)</f>
        <v>2151.6</v>
      </c>
      <c r="F122" s="75">
        <f t="shared" si="6"/>
        <v>5.8000000000001819</v>
      </c>
      <c r="G122" s="75">
        <f t="shared" si="7"/>
        <v>-8.3728718950587366E-2</v>
      </c>
      <c r="H122" s="75">
        <f>VLOOKUP($A122,'Data Vlaue (Cr)'!$C:$FB,99)</f>
        <v>11261</v>
      </c>
      <c r="I122" s="75">
        <f>VLOOKUP($A122,'Data Vlaue (Cr)'!$C:$FB,100)</f>
        <v>11027</v>
      </c>
      <c r="J122" s="75">
        <f t="shared" si="8"/>
        <v>234</v>
      </c>
      <c r="K122" s="75">
        <f t="shared" si="9"/>
        <v>2.0779682088624454</v>
      </c>
      <c r="L122" s="75">
        <f>VLOOKUP($A122,'Data Vlaue (Cr)'!$C:$FB,67)</f>
        <v>4962</v>
      </c>
      <c r="M122" s="75">
        <f>VLOOKUP($A122,'Data Vlaue (Cr)'!$C:$FB,68)</f>
        <v>8869</v>
      </c>
      <c r="N122" s="75">
        <f t="shared" si="10"/>
        <v>-3907</v>
      </c>
      <c r="O122" s="75">
        <f t="shared" si="11"/>
        <v>-78.738411930673109</v>
      </c>
      <c r="P122" s="75">
        <f>VLOOKUP($A122,'Data Vlaue (Cr)'!$C:$FB,119)</f>
        <v>0.63</v>
      </c>
      <c r="Q122" s="75">
        <f>VLOOKUP($A122,'Data Vlaue (Cr)'!$C:$FB,122)*100</f>
        <v>3.2800000000000002</v>
      </c>
      <c r="R122" s="75">
        <f>VLOOKUP($A122,'Data Vlaue (Cr)'!$C:$FB,125)</f>
        <v>0.62</v>
      </c>
      <c r="S122" s="75">
        <f>VLOOKUP($A122,'Data Vlaue (Cr)'!$C:$FB,128)*100</f>
        <v>-3.1300000000000003</v>
      </c>
    </row>
    <row r="123" spans="1:19" x14ac:dyDescent="0.25">
      <c r="A123" s="96" t="str">
        <f>'Data Vlaue (Cr)'!C114</f>
        <v>KPITTECH</v>
      </c>
      <c r="B123" s="75">
        <f>VLOOKUP($A123,'Data Vlaue (Cr)'!$C:$FB,2)</f>
        <v>425</v>
      </c>
      <c r="C123" s="75">
        <f>VLOOKUP($A123,'Data Vlaue (Cr)'!$C:$FB,8)</f>
        <v>1208.5</v>
      </c>
      <c r="D123" s="75">
        <f>VLOOKUP($A123,'Data Vlaue (Cr)'!$C:$FB,4)</f>
        <v>1212.5999999999999</v>
      </c>
      <c r="E123" s="75">
        <f>VLOOKUP($A123,'Data Vlaue (Cr)'!$C:$FB,5)</f>
        <v>1141.0999999999999</v>
      </c>
      <c r="F123" s="75">
        <f t="shared" si="6"/>
        <v>4.0999999999999091</v>
      </c>
      <c r="G123" s="75">
        <f t="shared" si="7"/>
        <v>5.8964209137390737</v>
      </c>
      <c r="H123" s="75">
        <f>VLOOKUP($A123,'Data Vlaue (Cr)'!$C:$FB,99)</f>
        <v>803</v>
      </c>
      <c r="I123" s="75">
        <f>VLOOKUP($A123,'Data Vlaue (Cr)'!$C:$FB,100)</f>
        <v>788</v>
      </c>
      <c r="J123" s="75">
        <f t="shared" si="8"/>
        <v>15</v>
      </c>
      <c r="K123" s="75">
        <f t="shared" si="9"/>
        <v>1.8679950186799501</v>
      </c>
      <c r="L123" s="75">
        <f>VLOOKUP($A123,'Data Vlaue (Cr)'!$C:$FB,67)</f>
        <v>2546</v>
      </c>
      <c r="M123" s="75">
        <f>VLOOKUP($A123,'Data Vlaue (Cr)'!$C:$FB,68)</f>
        <v>361</v>
      </c>
      <c r="N123" s="75">
        <f t="shared" si="10"/>
        <v>2185</v>
      </c>
      <c r="O123" s="75">
        <f t="shared" si="11"/>
        <v>85.820895522388057</v>
      </c>
      <c r="P123" s="75">
        <f>VLOOKUP($A123,'Data Vlaue (Cr)'!$C:$FB,119)</f>
        <v>0.95</v>
      </c>
      <c r="Q123" s="75">
        <f>VLOOKUP($A123,'Data Vlaue (Cr)'!$C:$FB,122)*100</f>
        <v>31.94</v>
      </c>
      <c r="R123" s="75">
        <f>VLOOKUP($A123,'Data Vlaue (Cr)'!$C:$FB,125)</f>
        <v>0.24</v>
      </c>
      <c r="S123" s="75">
        <f>VLOOKUP($A123,'Data Vlaue (Cr)'!$C:$FB,128)*100</f>
        <v>-20</v>
      </c>
    </row>
    <row r="124" spans="1:19" x14ac:dyDescent="0.25">
      <c r="A124" s="96" t="str">
        <f>'Data Vlaue (Cr)'!C115</f>
        <v>LAURUSLABS</v>
      </c>
      <c r="B124" s="75">
        <f>VLOOKUP($A124,'Data Vlaue (Cr)'!$C:$FB,2)</f>
        <v>850</v>
      </c>
      <c r="C124" s="75">
        <f>VLOOKUP($A124,'Data Vlaue (Cr)'!$C:$FB,8)</f>
        <v>1128.5</v>
      </c>
      <c r="D124" s="75">
        <f>VLOOKUP($A124,'Data Vlaue (Cr)'!$C:$FB,4)</f>
        <v>1134.4000000000001</v>
      </c>
      <c r="E124" s="75">
        <f>VLOOKUP($A124,'Data Vlaue (Cr)'!$C:$FB,5)</f>
        <v>1121.5999999999999</v>
      </c>
      <c r="F124" s="75">
        <f t="shared" si="6"/>
        <v>5.9000000000000909</v>
      </c>
      <c r="G124" s="75">
        <f t="shared" si="7"/>
        <v>1.1283497884344307</v>
      </c>
      <c r="H124" s="75">
        <f>VLOOKUP($A124,'Data Vlaue (Cr)'!$C:$FB,99)</f>
        <v>3166</v>
      </c>
      <c r="I124" s="75">
        <f>VLOOKUP($A124,'Data Vlaue (Cr)'!$C:$FB,100)</f>
        <v>2972</v>
      </c>
      <c r="J124" s="75">
        <f t="shared" si="8"/>
        <v>194</v>
      </c>
      <c r="K124" s="75">
        <f t="shared" si="9"/>
        <v>6.1276058117498424</v>
      </c>
      <c r="L124" s="75">
        <f>VLOOKUP($A124,'Data Vlaue (Cr)'!$C:$FB,67)</f>
        <v>2555</v>
      </c>
      <c r="M124" s="75">
        <f>VLOOKUP($A124,'Data Vlaue (Cr)'!$C:$FB,68)</f>
        <v>1796</v>
      </c>
      <c r="N124" s="75">
        <f t="shared" si="10"/>
        <v>759</v>
      </c>
      <c r="O124" s="75">
        <f t="shared" si="11"/>
        <v>29.706457925636009</v>
      </c>
      <c r="P124" s="75">
        <f>VLOOKUP($A124,'Data Vlaue (Cr)'!$C:$FB,119)</f>
        <v>0.8</v>
      </c>
      <c r="Q124" s="75">
        <f>VLOOKUP($A124,'Data Vlaue (Cr)'!$C:$FB,122)*100</f>
        <v>8.1100000000000012</v>
      </c>
      <c r="R124" s="75">
        <f>VLOOKUP($A124,'Data Vlaue (Cr)'!$C:$FB,125)</f>
        <v>0.54</v>
      </c>
      <c r="S124" s="75">
        <f>VLOOKUP($A124,'Data Vlaue (Cr)'!$C:$FB,128)*100</f>
        <v>8</v>
      </c>
    </row>
    <row r="125" spans="1:19" x14ac:dyDescent="0.25">
      <c r="A125" s="96" t="str">
        <f>'Data Vlaue (Cr)'!C116</f>
        <v>LICHSGFIN</v>
      </c>
      <c r="B125" s="75">
        <f>VLOOKUP($A125,'Data Vlaue (Cr)'!$C:$FB,2)</f>
        <v>1000</v>
      </c>
      <c r="C125" s="75">
        <f>VLOOKUP($A125,'Data Vlaue (Cr)'!$C:$FB,8)</f>
        <v>538.20000000000005</v>
      </c>
      <c r="D125" s="75">
        <f>VLOOKUP($A125,'Data Vlaue (Cr)'!$C:$FB,4)</f>
        <v>539.6</v>
      </c>
      <c r="E125" s="75">
        <f>VLOOKUP($A125,'Data Vlaue (Cr)'!$C:$FB,5)</f>
        <v>542.04999999999995</v>
      </c>
      <c r="F125" s="75">
        <f t="shared" si="6"/>
        <v>1.3999999999999773</v>
      </c>
      <c r="G125" s="75">
        <f t="shared" si="7"/>
        <v>-0.45404002965158108</v>
      </c>
      <c r="H125" s="75">
        <f>VLOOKUP($A125,'Data Vlaue (Cr)'!$C:$FB,99)</f>
        <v>2628</v>
      </c>
      <c r="I125" s="75">
        <f>VLOOKUP($A125,'Data Vlaue (Cr)'!$C:$FB,100)</f>
        <v>2529</v>
      </c>
      <c r="J125" s="75">
        <f t="shared" si="8"/>
        <v>99</v>
      </c>
      <c r="K125" s="75">
        <f t="shared" si="9"/>
        <v>3.7671232876712328</v>
      </c>
      <c r="L125" s="75">
        <f>VLOOKUP($A125,'Data Vlaue (Cr)'!$C:$FB,67)</f>
        <v>537</v>
      </c>
      <c r="M125" s="75">
        <f>VLOOKUP($A125,'Data Vlaue (Cr)'!$C:$FB,68)</f>
        <v>344</v>
      </c>
      <c r="N125" s="75">
        <f t="shared" si="10"/>
        <v>193</v>
      </c>
      <c r="O125" s="75">
        <f t="shared" si="11"/>
        <v>35.940409683426445</v>
      </c>
      <c r="P125" s="75">
        <f>VLOOKUP($A125,'Data Vlaue (Cr)'!$C:$FB,119)</f>
        <v>1.1200000000000001</v>
      </c>
      <c r="Q125" s="75">
        <f>VLOOKUP($A125,'Data Vlaue (Cr)'!$C:$FB,122)*100</f>
        <v>5.66</v>
      </c>
      <c r="R125" s="75">
        <f>VLOOKUP($A125,'Data Vlaue (Cr)'!$C:$FB,125)</f>
        <v>0.9</v>
      </c>
      <c r="S125" s="75">
        <f>VLOOKUP($A125,'Data Vlaue (Cr)'!$C:$FB,128)*100</f>
        <v>69.81</v>
      </c>
    </row>
    <row r="126" spans="1:19" x14ac:dyDescent="0.25">
      <c r="A126" s="96" t="str">
        <f>'Data Vlaue (Cr)'!C117</f>
        <v>LICI</v>
      </c>
      <c r="B126" s="75">
        <f>VLOOKUP($A126,'Data Vlaue (Cr)'!$C:$FB,2)</f>
        <v>700</v>
      </c>
      <c r="C126" s="75">
        <f>VLOOKUP($A126,'Data Vlaue (Cr)'!$C:$FB,8)</f>
        <v>851.95</v>
      </c>
      <c r="D126" s="75">
        <f>VLOOKUP($A126,'Data Vlaue (Cr)'!$C:$FB,4)</f>
        <v>853.7</v>
      </c>
      <c r="E126" s="75">
        <f>VLOOKUP($A126,'Data Vlaue (Cr)'!$C:$FB,5)</f>
        <v>854.35</v>
      </c>
      <c r="F126" s="75">
        <f t="shared" si="6"/>
        <v>1.75</v>
      </c>
      <c r="G126" s="75">
        <f t="shared" si="7"/>
        <v>-7.6139158955133804E-2</v>
      </c>
      <c r="H126" s="75">
        <f>VLOOKUP($A126,'Data Vlaue (Cr)'!$C:$FB,99)</f>
        <v>1749</v>
      </c>
      <c r="I126" s="75">
        <f>VLOOKUP($A126,'Data Vlaue (Cr)'!$C:$FB,100)</f>
        <v>1689</v>
      </c>
      <c r="J126" s="75">
        <f t="shared" si="8"/>
        <v>60</v>
      </c>
      <c r="K126" s="75">
        <f t="shared" si="9"/>
        <v>3.4305317324185252</v>
      </c>
      <c r="L126" s="75">
        <f>VLOOKUP($A126,'Data Vlaue (Cr)'!$C:$FB,67)</f>
        <v>421</v>
      </c>
      <c r="M126" s="75">
        <f>VLOOKUP($A126,'Data Vlaue (Cr)'!$C:$FB,68)</f>
        <v>510</v>
      </c>
      <c r="N126" s="75">
        <f t="shared" si="10"/>
        <v>-89</v>
      </c>
      <c r="O126" s="75">
        <f t="shared" si="11"/>
        <v>-21.140142517814727</v>
      </c>
      <c r="P126" s="75">
        <f>VLOOKUP($A126,'Data Vlaue (Cr)'!$C:$FB,119)</f>
        <v>0.7</v>
      </c>
      <c r="Q126" s="75">
        <f>VLOOKUP($A126,'Data Vlaue (Cr)'!$C:$FB,122)*100</f>
        <v>0</v>
      </c>
      <c r="R126" s="75">
        <f>VLOOKUP($A126,'Data Vlaue (Cr)'!$C:$FB,125)</f>
        <v>0.45</v>
      </c>
      <c r="S126" s="75">
        <f>VLOOKUP($A126,'Data Vlaue (Cr)'!$C:$FB,128)*100</f>
        <v>32.35</v>
      </c>
    </row>
    <row r="127" spans="1:19" x14ac:dyDescent="0.25">
      <c r="A127" s="96" t="str">
        <f>'Data Vlaue (Cr)'!C118</f>
        <v>LODHA</v>
      </c>
      <c r="B127" s="75">
        <f>VLOOKUP($A127,'Data Vlaue (Cr)'!$C:$FB,2)</f>
        <v>450</v>
      </c>
      <c r="C127" s="75">
        <f>VLOOKUP($A127,'Data Vlaue (Cr)'!$C:$FB,8)</f>
        <v>1110.9000000000001</v>
      </c>
      <c r="D127" s="75">
        <f>VLOOKUP($A127,'Data Vlaue (Cr)'!$C:$FB,4)</f>
        <v>1114.7</v>
      </c>
      <c r="E127" s="75">
        <f>VLOOKUP($A127,'Data Vlaue (Cr)'!$C:$FB,5)</f>
        <v>1114.5</v>
      </c>
      <c r="F127" s="75">
        <f t="shared" si="6"/>
        <v>3.7999999999999545</v>
      </c>
      <c r="G127" s="75">
        <f t="shared" si="7"/>
        <v>1.7942047187588184E-2</v>
      </c>
      <c r="H127" s="75">
        <f>VLOOKUP($A127,'Data Vlaue (Cr)'!$C:$FB,99)</f>
        <v>1901</v>
      </c>
      <c r="I127" s="75">
        <f>VLOOKUP($A127,'Data Vlaue (Cr)'!$C:$FB,100)</f>
        <v>1852</v>
      </c>
      <c r="J127" s="75">
        <f t="shared" si="8"/>
        <v>49</v>
      </c>
      <c r="K127" s="75">
        <f t="shared" si="9"/>
        <v>2.5775907417148867</v>
      </c>
      <c r="L127" s="75">
        <f>VLOOKUP($A127,'Data Vlaue (Cr)'!$C:$FB,67)</f>
        <v>1154</v>
      </c>
      <c r="M127" s="75">
        <f>VLOOKUP($A127,'Data Vlaue (Cr)'!$C:$FB,68)</f>
        <v>550</v>
      </c>
      <c r="N127" s="75">
        <f t="shared" si="10"/>
        <v>604</v>
      </c>
      <c r="O127" s="75">
        <f t="shared" si="11"/>
        <v>52.339688041594457</v>
      </c>
      <c r="P127" s="75">
        <f>VLOOKUP($A127,'Data Vlaue (Cr)'!$C:$FB,119)</f>
        <v>0.68</v>
      </c>
      <c r="Q127" s="75">
        <f>VLOOKUP($A127,'Data Vlaue (Cr)'!$C:$FB,122)*100</f>
        <v>-12.82</v>
      </c>
      <c r="R127" s="75">
        <f>VLOOKUP($A127,'Data Vlaue (Cr)'!$C:$FB,125)</f>
        <v>0.39</v>
      </c>
      <c r="S127" s="75">
        <f>VLOOKUP($A127,'Data Vlaue (Cr)'!$C:$FB,128)*100</f>
        <v>-15.22</v>
      </c>
    </row>
    <row r="128" spans="1:19" x14ac:dyDescent="0.25">
      <c r="A128" s="96" t="str">
        <f>'Data Vlaue (Cr)'!C119</f>
        <v>LT</v>
      </c>
      <c r="B128" s="75">
        <f>VLOOKUP($A128,'Data Vlaue (Cr)'!$C:$FB,2)</f>
        <v>175</v>
      </c>
      <c r="C128" s="75">
        <f>VLOOKUP($A128,'Data Vlaue (Cr)'!$C:$FB,8)</f>
        <v>4157</v>
      </c>
      <c r="D128" s="75">
        <f>VLOOKUP($A128,'Data Vlaue (Cr)'!$C:$FB,4)</f>
        <v>4164.3</v>
      </c>
      <c r="E128" s="75">
        <f>VLOOKUP($A128,'Data Vlaue (Cr)'!$C:$FB,5)</f>
        <v>4160.1000000000004</v>
      </c>
      <c r="F128" s="75">
        <f t="shared" si="6"/>
        <v>7.3000000000001819</v>
      </c>
      <c r="G128" s="75">
        <f t="shared" si="7"/>
        <v>0.10085728693897697</v>
      </c>
      <c r="H128" s="75">
        <f>VLOOKUP($A128,'Data Vlaue (Cr)'!$C:$FB,99)</f>
        <v>8043</v>
      </c>
      <c r="I128" s="75">
        <f>VLOOKUP($A128,'Data Vlaue (Cr)'!$C:$FB,100)</f>
        <v>7872</v>
      </c>
      <c r="J128" s="75">
        <f t="shared" si="8"/>
        <v>171</v>
      </c>
      <c r="K128" s="75">
        <f t="shared" si="9"/>
        <v>2.1260723610593062</v>
      </c>
      <c r="L128" s="75">
        <f>VLOOKUP($A128,'Data Vlaue (Cr)'!$C:$FB,67)</f>
        <v>3521</v>
      </c>
      <c r="M128" s="75">
        <f>VLOOKUP($A128,'Data Vlaue (Cr)'!$C:$FB,68)</f>
        <v>2857</v>
      </c>
      <c r="N128" s="75">
        <f t="shared" si="10"/>
        <v>664</v>
      </c>
      <c r="O128" s="75">
        <f t="shared" si="11"/>
        <v>18.858278898040329</v>
      </c>
      <c r="P128" s="75">
        <f>VLOOKUP($A128,'Data Vlaue (Cr)'!$C:$FB,119)</f>
        <v>0.67</v>
      </c>
      <c r="Q128" s="75">
        <f>VLOOKUP($A128,'Data Vlaue (Cr)'!$C:$FB,122)*100</f>
        <v>-8.2199999999999989</v>
      </c>
      <c r="R128" s="75">
        <f>VLOOKUP($A128,'Data Vlaue (Cr)'!$C:$FB,125)</f>
        <v>0.64</v>
      </c>
      <c r="S128" s="75">
        <f>VLOOKUP($A128,'Data Vlaue (Cr)'!$C:$FB,128)*100</f>
        <v>30.61</v>
      </c>
    </row>
    <row r="129" spans="1:19" x14ac:dyDescent="0.25">
      <c r="A129" s="96" t="str">
        <f>'Data Vlaue (Cr)'!C120</f>
        <v>LTF</v>
      </c>
      <c r="B129" s="75">
        <f>VLOOKUP($A129,'Data Vlaue (Cr)'!$C:$FB,2)</f>
        <v>2250</v>
      </c>
      <c r="C129" s="75">
        <f>VLOOKUP($A129,'Data Vlaue (Cr)'!$C:$FB,8)</f>
        <v>313.95</v>
      </c>
      <c r="D129" s="75">
        <f>VLOOKUP($A129,'Data Vlaue (Cr)'!$C:$FB,4)</f>
        <v>314.2</v>
      </c>
      <c r="E129" s="75">
        <f>VLOOKUP($A129,'Data Vlaue (Cr)'!$C:$FB,5)</f>
        <v>319.75</v>
      </c>
      <c r="F129" s="75">
        <f t="shared" si="6"/>
        <v>0.25</v>
      </c>
      <c r="G129" s="75">
        <f t="shared" si="7"/>
        <v>-1.7663908338637846</v>
      </c>
      <c r="H129" s="75">
        <f>VLOOKUP($A129,'Data Vlaue (Cr)'!$C:$FB,99)</f>
        <v>2510</v>
      </c>
      <c r="I129" s="75">
        <f>VLOOKUP($A129,'Data Vlaue (Cr)'!$C:$FB,100)</f>
        <v>2443</v>
      </c>
      <c r="J129" s="75">
        <f t="shared" si="8"/>
        <v>67</v>
      </c>
      <c r="K129" s="75">
        <f t="shared" si="9"/>
        <v>2.6693227091633465</v>
      </c>
      <c r="L129" s="75">
        <f>VLOOKUP($A129,'Data Vlaue (Cr)'!$C:$FB,67)</f>
        <v>1726</v>
      </c>
      <c r="M129" s="75">
        <f>VLOOKUP($A129,'Data Vlaue (Cr)'!$C:$FB,68)</f>
        <v>2710</v>
      </c>
      <c r="N129" s="75">
        <f t="shared" si="10"/>
        <v>-984</v>
      </c>
      <c r="O129" s="75">
        <f t="shared" si="11"/>
        <v>-57.01042873696408</v>
      </c>
      <c r="P129" s="75">
        <f>VLOOKUP($A129,'Data Vlaue (Cr)'!$C:$FB,119)</f>
        <v>0.65</v>
      </c>
      <c r="Q129" s="75">
        <f>VLOOKUP($A129,'Data Vlaue (Cr)'!$C:$FB,122)*100</f>
        <v>-8.4500000000000011</v>
      </c>
      <c r="R129" s="75">
        <f>VLOOKUP($A129,'Data Vlaue (Cr)'!$C:$FB,125)</f>
        <v>0.6</v>
      </c>
      <c r="S129" s="75">
        <f>VLOOKUP($A129,'Data Vlaue (Cr)'!$C:$FB,128)*100</f>
        <v>39.53</v>
      </c>
    </row>
    <row r="130" spans="1:19" x14ac:dyDescent="0.25">
      <c r="A130" s="96" t="str">
        <f>'Data Vlaue (Cr)'!C121</f>
        <v>LTIM</v>
      </c>
      <c r="B130" s="75">
        <f>VLOOKUP($A130,'Data Vlaue (Cr)'!$C:$FB,2)</f>
        <v>150</v>
      </c>
      <c r="C130" s="75">
        <f>VLOOKUP($A130,'Data Vlaue (Cr)'!$C:$FB,8)</f>
        <v>6102</v>
      </c>
      <c r="D130" s="75">
        <f>VLOOKUP($A130,'Data Vlaue (Cr)'!$C:$FB,4)</f>
        <v>6133</v>
      </c>
      <c r="E130" s="75">
        <f>VLOOKUP($A130,'Data Vlaue (Cr)'!$C:$FB,5)</f>
        <v>6013.5</v>
      </c>
      <c r="F130" s="75">
        <f t="shared" si="6"/>
        <v>31</v>
      </c>
      <c r="G130" s="75">
        <f t="shared" si="7"/>
        <v>1.9484754606228598</v>
      </c>
      <c r="H130" s="75">
        <f>VLOOKUP($A130,'Data Vlaue (Cr)'!$C:$FB,99)</f>
        <v>2374</v>
      </c>
      <c r="I130" s="75">
        <f>VLOOKUP($A130,'Data Vlaue (Cr)'!$C:$FB,100)</f>
        <v>2317</v>
      </c>
      <c r="J130" s="75">
        <f t="shared" si="8"/>
        <v>57</v>
      </c>
      <c r="K130" s="75">
        <f t="shared" si="9"/>
        <v>2.4010109519797811</v>
      </c>
      <c r="L130" s="75">
        <f>VLOOKUP($A130,'Data Vlaue (Cr)'!$C:$FB,67)</f>
        <v>1746</v>
      </c>
      <c r="M130" s="75">
        <f>VLOOKUP($A130,'Data Vlaue (Cr)'!$C:$FB,68)</f>
        <v>1640</v>
      </c>
      <c r="N130" s="75">
        <f t="shared" si="10"/>
        <v>106</v>
      </c>
      <c r="O130" s="75">
        <f t="shared" si="11"/>
        <v>6.0710194730813285</v>
      </c>
      <c r="P130" s="75">
        <f>VLOOKUP($A130,'Data Vlaue (Cr)'!$C:$FB,119)</f>
        <v>0.8</v>
      </c>
      <c r="Q130" s="75">
        <f>VLOOKUP($A130,'Data Vlaue (Cr)'!$C:$FB,122)*100</f>
        <v>-5.88</v>
      </c>
      <c r="R130" s="75">
        <f>VLOOKUP($A130,'Data Vlaue (Cr)'!$C:$FB,125)</f>
        <v>0.45</v>
      </c>
      <c r="S130" s="75">
        <f>VLOOKUP($A130,'Data Vlaue (Cr)'!$C:$FB,128)*100</f>
        <v>-51.61</v>
      </c>
    </row>
    <row r="131" spans="1:19" x14ac:dyDescent="0.25">
      <c r="A131" s="96" t="str">
        <f>'Data Vlaue (Cr)'!C122</f>
        <v>LUPIN</v>
      </c>
      <c r="B131" s="75">
        <f>VLOOKUP($A131,'Data Vlaue (Cr)'!$C:$FB,2)</f>
        <v>425</v>
      </c>
      <c r="C131" s="75">
        <f>VLOOKUP($A131,'Data Vlaue (Cr)'!$C:$FB,8)</f>
        <v>2214.3000000000002</v>
      </c>
      <c r="D131" s="75">
        <f>VLOOKUP($A131,'Data Vlaue (Cr)'!$C:$FB,4)</f>
        <v>2223.9</v>
      </c>
      <c r="E131" s="75">
        <f>VLOOKUP($A131,'Data Vlaue (Cr)'!$C:$FB,5)</f>
        <v>2161.9</v>
      </c>
      <c r="F131" s="75">
        <f t="shared" si="6"/>
        <v>9.5999999999999091</v>
      </c>
      <c r="G131" s="75">
        <f t="shared" si="7"/>
        <v>2.7878951391699265</v>
      </c>
      <c r="H131" s="75">
        <f>VLOOKUP($A131,'Data Vlaue (Cr)'!$C:$FB,99)</f>
        <v>2572</v>
      </c>
      <c r="I131" s="75">
        <f>VLOOKUP($A131,'Data Vlaue (Cr)'!$C:$FB,100)</f>
        <v>2336</v>
      </c>
      <c r="J131" s="75">
        <f t="shared" si="8"/>
        <v>236</v>
      </c>
      <c r="K131" s="75">
        <f t="shared" si="9"/>
        <v>9.1757387247278395</v>
      </c>
      <c r="L131" s="75">
        <f>VLOOKUP($A131,'Data Vlaue (Cr)'!$C:$FB,67)</f>
        <v>5330</v>
      </c>
      <c r="M131" s="75">
        <f>VLOOKUP($A131,'Data Vlaue (Cr)'!$C:$FB,68)</f>
        <v>3179</v>
      </c>
      <c r="N131" s="75">
        <f t="shared" si="10"/>
        <v>2151</v>
      </c>
      <c r="O131" s="75">
        <f t="shared" si="11"/>
        <v>40.356472795497183</v>
      </c>
      <c r="P131" s="75">
        <f>VLOOKUP($A131,'Data Vlaue (Cr)'!$C:$FB,119)</f>
        <v>0.79</v>
      </c>
      <c r="Q131" s="75">
        <f>VLOOKUP($A131,'Data Vlaue (Cr)'!$C:$FB,122)*100</f>
        <v>12.86</v>
      </c>
      <c r="R131" s="75">
        <f>VLOOKUP($A131,'Data Vlaue (Cr)'!$C:$FB,125)</f>
        <v>0.35</v>
      </c>
      <c r="S131" s="75">
        <f>VLOOKUP($A131,'Data Vlaue (Cr)'!$C:$FB,128)*100</f>
        <v>29.630000000000003</v>
      </c>
    </row>
    <row r="132" spans="1:19" x14ac:dyDescent="0.25">
      <c r="A132" s="96" t="str">
        <f>'Data Vlaue (Cr)'!C123</f>
        <v>M&amp;M</v>
      </c>
      <c r="B132" s="75">
        <f>VLOOKUP($A132,'Data Vlaue (Cr)'!$C:$FB,2)</f>
        <v>200</v>
      </c>
      <c r="C132" s="75">
        <f>VLOOKUP($A132,'Data Vlaue (Cr)'!$C:$FB,8)</f>
        <v>3748.8</v>
      </c>
      <c r="D132" s="75">
        <f>VLOOKUP($A132,'Data Vlaue (Cr)'!$C:$FB,4)</f>
        <v>3758.5</v>
      </c>
      <c r="E132" s="75">
        <f>VLOOKUP($A132,'Data Vlaue (Cr)'!$C:$FB,5)</f>
        <v>3802.9</v>
      </c>
      <c r="F132" s="75">
        <f t="shared" si="6"/>
        <v>9.6999999999998181</v>
      </c>
      <c r="G132" s="75">
        <f t="shared" si="7"/>
        <v>-1.1813223360383156</v>
      </c>
      <c r="H132" s="75">
        <f>VLOOKUP($A132,'Data Vlaue (Cr)'!$C:$FB,99)</f>
        <v>8832</v>
      </c>
      <c r="I132" s="75">
        <f>VLOOKUP($A132,'Data Vlaue (Cr)'!$C:$FB,100)</f>
        <v>8715</v>
      </c>
      <c r="J132" s="75">
        <f t="shared" si="8"/>
        <v>117</v>
      </c>
      <c r="K132" s="75">
        <f t="shared" si="9"/>
        <v>1.3247282608695652</v>
      </c>
      <c r="L132" s="75">
        <f>VLOOKUP($A132,'Data Vlaue (Cr)'!$C:$FB,67)</f>
        <v>3515</v>
      </c>
      <c r="M132" s="75">
        <f>VLOOKUP($A132,'Data Vlaue (Cr)'!$C:$FB,68)</f>
        <v>2957</v>
      </c>
      <c r="N132" s="75">
        <f t="shared" si="10"/>
        <v>558</v>
      </c>
      <c r="O132" s="75">
        <f t="shared" si="11"/>
        <v>15.874822190611665</v>
      </c>
      <c r="P132" s="75">
        <f>VLOOKUP($A132,'Data Vlaue (Cr)'!$C:$FB,119)</f>
        <v>0.62</v>
      </c>
      <c r="Q132" s="75">
        <f>VLOOKUP($A132,'Data Vlaue (Cr)'!$C:$FB,122)*100</f>
        <v>-15.07</v>
      </c>
      <c r="R132" s="75">
        <f>VLOOKUP($A132,'Data Vlaue (Cr)'!$C:$FB,125)</f>
        <v>0.63</v>
      </c>
      <c r="S132" s="75">
        <f>VLOOKUP($A132,'Data Vlaue (Cr)'!$C:$FB,128)*100</f>
        <v>-19.23</v>
      </c>
    </row>
    <row r="133" spans="1:19" x14ac:dyDescent="0.25">
      <c r="A133" s="96" t="str">
        <f>'Data Vlaue (Cr)'!C124</f>
        <v>MANAPPURAM</v>
      </c>
      <c r="B133" s="75">
        <f>VLOOKUP($A133,'Data Vlaue (Cr)'!$C:$FB,2)</f>
        <v>3000</v>
      </c>
      <c r="C133" s="75">
        <f>VLOOKUP($A133,'Data Vlaue (Cr)'!$C:$FB,8)</f>
        <v>319.89999999999998</v>
      </c>
      <c r="D133" s="75">
        <f>VLOOKUP($A133,'Data Vlaue (Cr)'!$C:$FB,4)</f>
        <v>320.55</v>
      </c>
      <c r="E133" s="75">
        <f>VLOOKUP($A133,'Data Vlaue (Cr)'!$C:$FB,5)</f>
        <v>308.85000000000002</v>
      </c>
      <c r="F133" s="75">
        <f t="shared" si="6"/>
        <v>0.65000000000003411</v>
      </c>
      <c r="G133" s="75">
        <f t="shared" si="7"/>
        <v>3.6499766027140814</v>
      </c>
      <c r="H133" s="75">
        <f>VLOOKUP($A133,'Data Vlaue (Cr)'!$C:$FB,99)</f>
        <v>2352</v>
      </c>
      <c r="I133" s="75">
        <f>VLOOKUP($A133,'Data Vlaue (Cr)'!$C:$FB,100)</f>
        <v>2163</v>
      </c>
      <c r="J133" s="75">
        <f t="shared" si="8"/>
        <v>189</v>
      </c>
      <c r="K133" s="75">
        <f t="shared" si="9"/>
        <v>8.0357142857142865</v>
      </c>
      <c r="L133" s="75">
        <f>VLOOKUP($A133,'Data Vlaue (Cr)'!$C:$FB,67)</f>
        <v>3273</v>
      </c>
      <c r="M133" s="75">
        <f>VLOOKUP($A133,'Data Vlaue (Cr)'!$C:$FB,68)</f>
        <v>715</v>
      </c>
      <c r="N133" s="75">
        <f t="shared" si="10"/>
        <v>2558</v>
      </c>
      <c r="O133" s="75">
        <f t="shared" si="11"/>
        <v>78.154598227925447</v>
      </c>
      <c r="P133" s="75">
        <f>VLOOKUP($A133,'Data Vlaue (Cr)'!$C:$FB,119)</f>
        <v>0.56999999999999995</v>
      </c>
      <c r="Q133" s="75">
        <f>VLOOKUP($A133,'Data Vlaue (Cr)'!$C:$FB,122)*100</f>
        <v>1.79</v>
      </c>
      <c r="R133" s="75">
        <f>VLOOKUP($A133,'Data Vlaue (Cr)'!$C:$FB,125)</f>
        <v>0.21</v>
      </c>
      <c r="S133" s="75">
        <f>VLOOKUP($A133,'Data Vlaue (Cr)'!$C:$FB,128)*100</f>
        <v>-38.24</v>
      </c>
    </row>
    <row r="134" spans="1:19" x14ac:dyDescent="0.25">
      <c r="A134" s="96" t="str">
        <f>'Data Vlaue (Cr)'!C125</f>
        <v>MANKIND</v>
      </c>
      <c r="B134" s="75">
        <f>VLOOKUP($A134,'Data Vlaue (Cr)'!$C:$FB,2)</f>
        <v>225</v>
      </c>
      <c r="C134" s="75">
        <f>VLOOKUP($A134,'Data Vlaue (Cr)'!$C:$FB,8)</f>
        <v>2311.8000000000002</v>
      </c>
      <c r="D134" s="75">
        <f>VLOOKUP($A134,'Data Vlaue (Cr)'!$C:$FB,4)</f>
        <v>2312.4</v>
      </c>
      <c r="E134" s="75">
        <f>VLOOKUP($A134,'Data Vlaue (Cr)'!$C:$FB,5)</f>
        <v>2245.1999999999998</v>
      </c>
      <c r="F134" s="75">
        <f t="shared" si="6"/>
        <v>0.59999999999990905</v>
      </c>
      <c r="G134" s="75">
        <f t="shared" si="7"/>
        <v>2.9060716139076401</v>
      </c>
      <c r="H134" s="75">
        <f>VLOOKUP($A134,'Data Vlaue (Cr)'!$C:$FB,99)</f>
        <v>748</v>
      </c>
      <c r="I134" s="75">
        <f>VLOOKUP($A134,'Data Vlaue (Cr)'!$C:$FB,100)</f>
        <v>679</v>
      </c>
      <c r="J134" s="75">
        <f t="shared" si="8"/>
        <v>69</v>
      </c>
      <c r="K134" s="75">
        <f t="shared" si="9"/>
        <v>9.2245989304812834</v>
      </c>
      <c r="L134" s="75">
        <f>VLOOKUP($A134,'Data Vlaue (Cr)'!$C:$FB,67)</f>
        <v>1446</v>
      </c>
      <c r="M134" s="75">
        <f>VLOOKUP($A134,'Data Vlaue (Cr)'!$C:$FB,68)</f>
        <v>355</v>
      </c>
      <c r="N134" s="75">
        <f t="shared" si="10"/>
        <v>1091</v>
      </c>
      <c r="O134" s="75">
        <f t="shared" si="11"/>
        <v>75.449515905947436</v>
      </c>
      <c r="P134" s="75">
        <f>VLOOKUP($A134,'Data Vlaue (Cr)'!$C:$FB,119)</f>
        <v>0.65</v>
      </c>
      <c r="Q134" s="75">
        <f>VLOOKUP($A134,'Data Vlaue (Cr)'!$C:$FB,122)*100</f>
        <v>-14.469999999999999</v>
      </c>
      <c r="R134" s="75">
        <f>VLOOKUP($A134,'Data Vlaue (Cr)'!$C:$FB,125)</f>
        <v>0.21</v>
      </c>
      <c r="S134" s="75">
        <f>VLOOKUP($A134,'Data Vlaue (Cr)'!$C:$FB,128)*100</f>
        <v>133.32999999999998</v>
      </c>
    </row>
    <row r="135" spans="1:19" x14ac:dyDescent="0.25">
      <c r="A135" s="96" t="str">
        <f>'Data Vlaue (Cr)'!C126</f>
        <v>MARICO</v>
      </c>
      <c r="B135" s="75">
        <f>VLOOKUP($A135,'Data Vlaue (Cr)'!$C:$FB,2)</f>
        <v>1200</v>
      </c>
      <c r="C135" s="75">
        <f>VLOOKUP($A135,'Data Vlaue (Cr)'!$C:$FB,8)</f>
        <v>773.8</v>
      </c>
      <c r="D135" s="75">
        <f>VLOOKUP($A135,'Data Vlaue (Cr)'!$C:$FB,4)</f>
        <v>775.15</v>
      </c>
      <c r="E135" s="75">
        <f>VLOOKUP($A135,'Data Vlaue (Cr)'!$C:$FB,5)</f>
        <v>781.05</v>
      </c>
      <c r="F135" s="75">
        <f t="shared" si="6"/>
        <v>1.3500000000000227</v>
      </c>
      <c r="G135" s="75">
        <f t="shared" si="7"/>
        <v>-0.76114300457975581</v>
      </c>
      <c r="H135" s="75">
        <f>VLOOKUP($A135,'Data Vlaue (Cr)'!$C:$FB,99)</f>
        <v>3235</v>
      </c>
      <c r="I135" s="75">
        <f>VLOOKUP($A135,'Data Vlaue (Cr)'!$C:$FB,100)</f>
        <v>3146</v>
      </c>
      <c r="J135" s="75">
        <f t="shared" si="8"/>
        <v>89</v>
      </c>
      <c r="K135" s="75">
        <f t="shared" si="9"/>
        <v>2.7511591962905717</v>
      </c>
      <c r="L135" s="75">
        <f>VLOOKUP($A135,'Data Vlaue (Cr)'!$C:$FB,67)</f>
        <v>939</v>
      </c>
      <c r="M135" s="75">
        <f>VLOOKUP($A135,'Data Vlaue (Cr)'!$C:$FB,68)</f>
        <v>1514</v>
      </c>
      <c r="N135" s="75">
        <f t="shared" si="10"/>
        <v>-575</v>
      </c>
      <c r="O135" s="75">
        <f t="shared" si="11"/>
        <v>-61.235356762513312</v>
      </c>
      <c r="P135" s="75">
        <f>VLOOKUP($A135,'Data Vlaue (Cr)'!$C:$FB,119)</f>
        <v>0.6</v>
      </c>
      <c r="Q135" s="75">
        <f>VLOOKUP($A135,'Data Vlaue (Cr)'!$C:$FB,122)*100</f>
        <v>-6.25</v>
      </c>
      <c r="R135" s="75">
        <f>VLOOKUP($A135,'Data Vlaue (Cr)'!$C:$FB,125)</f>
        <v>0.35</v>
      </c>
      <c r="S135" s="75">
        <f>VLOOKUP($A135,'Data Vlaue (Cr)'!$C:$FB,128)*100</f>
        <v>16.669999999999998</v>
      </c>
    </row>
    <row r="136" spans="1:19" x14ac:dyDescent="0.25">
      <c r="A136" s="96" t="str">
        <f>'Data Vlaue (Cr)'!C127</f>
        <v>MARUTI</v>
      </c>
      <c r="B136" s="75">
        <f>VLOOKUP($A136,'Data Vlaue (Cr)'!$C:$FB,2)</f>
        <v>50</v>
      </c>
      <c r="C136" s="75">
        <f>VLOOKUP($A136,'Data Vlaue (Cr)'!$C:$FB,8)</f>
        <v>16809</v>
      </c>
      <c r="D136" s="75">
        <f>VLOOKUP($A136,'Data Vlaue (Cr)'!$C:$FB,4)</f>
        <v>16875</v>
      </c>
      <c r="E136" s="75">
        <f>VLOOKUP($A136,'Data Vlaue (Cr)'!$C:$FB,5)</f>
        <v>17330</v>
      </c>
      <c r="F136" s="75">
        <f t="shared" si="6"/>
        <v>66</v>
      </c>
      <c r="G136" s="75">
        <f t="shared" si="7"/>
        <v>-2.6962962962962962</v>
      </c>
      <c r="H136" s="75">
        <f>VLOOKUP($A136,'Data Vlaue (Cr)'!$C:$FB,99)</f>
        <v>9635</v>
      </c>
      <c r="I136" s="75">
        <f>VLOOKUP($A136,'Data Vlaue (Cr)'!$C:$FB,100)</f>
        <v>9152</v>
      </c>
      <c r="J136" s="75">
        <f t="shared" si="8"/>
        <v>483</v>
      </c>
      <c r="K136" s="75">
        <f t="shared" si="9"/>
        <v>5.0129735339906594</v>
      </c>
      <c r="L136" s="75">
        <f>VLOOKUP($A136,'Data Vlaue (Cr)'!$C:$FB,67)</f>
        <v>31521</v>
      </c>
      <c r="M136" s="75">
        <f>VLOOKUP($A136,'Data Vlaue (Cr)'!$C:$FB,68)</f>
        <v>6269</v>
      </c>
      <c r="N136" s="75">
        <f t="shared" si="10"/>
        <v>25252</v>
      </c>
      <c r="O136" s="75">
        <f t="shared" si="11"/>
        <v>80.111671584023341</v>
      </c>
      <c r="P136" s="75">
        <f>VLOOKUP($A136,'Data Vlaue (Cr)'!$C:$FB,119)</f>
        <v>0.69</v>
      </c>
      <c r="Q136" s="75">
        <f>VLOOKUP($A136,'Data Vlaue (Cr)'!$C:$FB,122)*100</f>
        <v>-35.510000000000005</v>
      </c>
      <c r="R136" s="75">
        <f>VLOOKUP($A136,'Data Vlaue (Cr)'!$C:$FB,125)</f>
        <v>1.1100000000000001</v>
      </c>
      <c r="S136" s="75">
        <f>VLOOKUP($A136,'Data Vlaue (Cr)'!$C:$FB,128)*100</f>
        <v>60.870000000000005</v>
      </c>
    </row>
    <row r="137" spans="1:19" x14ac:dyDescent="0.25">
      <c r="A137" s="96" t="str">
        <f>'Data Vlaue (Cr)'!C128</f>
        <v>MAXHEALTH</v>
      </c>
      <c r="B137" s="75">
        <f>VLOOKUP($A137,'Data Vlaue (Cr)'!$C:$FB,2)</f>
        <v>525</v>
      </c>
      <c r="C137" s="75">
        <f>VLOOKUP($A137,'Data Vlaue (Cr)'!$C:$FB,8)</f>
        <v>1034.7</v>
      </c>
      <c r="D137" s="75">
        <f>VLOOKUP($A137,'Data Vlaue (Cr)'!$C:$FB,4)</f>
        <v>1038.2</v>
      </c>
      <c r="E137" s="75">
        <f>VLOOKUP($A137,'Data Vlaue (Cr)'!$C:$FB,5)</f>
        <v>1056.5999999999999</v>
      </c>
      <c r="F137" s="75">
        <f t="shared" si="6"/>
        <v>3.5</v>
      </c>
      <c r="G137" s="75">
        <f t="shared" si="7"/>
        <v>-1.7722982084376675</v>
      </c>
      <c r="H137" s="75">
        <f>VLOOKUP($A137,'Data Vlaue (Cr)'!$C:$FB,99)</f>
        <v>2891</v>
      </c>
      <c r="I137" s="75">
        <f>VLOOKUP($A137,'Data Vlaue (Cr)'!$C:$FB,100)</f>
        <v>2751</v>
      </c>
      <c r="J137" s="75">
        <f t="shared" si="8"/>
        <v>140</v>
      </c>
      <c r="K137" s="75">
        <f t="shared" si="9"/>
        <v>4.8426150121065374</v>
      </c>
      <c r="L137" s="75">
        <f>VLOOKUP($A137,'Data Vlaue (Cr)'!$C:$FB,67)</f>
        <v>1319</v>
      </c>
      <c r="M137" s="75">
        <f>VLOOKUP($A137,'Data Vlaue (Cr)'!$C:$FB,68)</f>
        <v>718</v>
      </c>
      <c r="N137" s="75">
        <f t="shared" si="10"/>
        <v>601</v>
      </c>
      <c r="O137" s="75">
        <f t="shared" si="11"/>
        <v>45.564821834723276</v>
      </c>
      <c r="P137" s="75">
        <f>VLOOKUP($A137,'Data Vlaue (Cr)'!$C:$FB,119)</f>
        <v>0.64</v>
      </c>
      <c r="Q137" s="75">
        <f>VLOOKUP($A137,'Data Vlaue (Cr)'!$C:$FB,122)*100</f>
        <v>-18.990000000000002</v>
      </c>
      <c r="R137" s="75">
        <f>VLOOKUP($A137,'Data Vlaue (Cr)'!$C:$FB,125)</f>
        <v>0.51</v>
      </c>
      <c r="S137" s="75">
        <f>VLOOKUP($A137,'Data Vlaue (Cr)'!$C:$FB,128)*100</f>
        <v>70</v>
      </c>
    </row>
    <row r="138" spans="1:19" x14ac:dyDescent="0.25">
      <c r="A138" s="96" t="str">
        <f>'Data Vlaue (Cr)'!C129</f>
        <v>MAZDOCK</v>
      </c>
      <c r="B138" s="75">
        <f>VLOOKUP($A138,'Data Vlaue (Cr)'!$C:$FB,2)</f>
        <v>200</v>
      </c>
      <c r="C138" s="75">
        <f>VLOOKUP($A138,'Data Vlaue (Cr)'!$C:$FB,8)</f>
        <v>2511.4</v>
      </c>
      <c r="D138" s="75">
        <f>VLOOKUP($A138,'Data Vlaue (Cr)'!$C:$FB,4)</f>
        <v>2523</v>
      </c>
      <c r="E138" s="75">
        <f>VLOOKUP($A138,'Data Vlaue (Cr)'!$C:$FB,5)</f>
        <v>2505</v>
      </c>
      <c r="F138" s="75">
        <f t="shared" si="6"/>
        <v>11.599999999999909</v>
      </c>
      <c r="G138" s="75">
        <f t="shared" si="7"/>
        <v>0.71343638525564801</v>
      </c>
      <c r="H138" s="75">
        <f>VLOOKUP($A138,'Data Vlaue (Cr)'!$C:$FB,99)</f>
        <v>2885</v>
      </c>
      <c r="I138" s="75">
        <f>VLOOKUP($A138,'Data Vlaue (Cr)'!$C:$FB,100)</f>
        <v>2903</v>
      </c>
      <c r="J138" s="75">
        <f t="shared" si="8"/>
        <v>-18</v>
      </c>
      <c r="K138" s="75">
        <f t="shared" si="9"/>
        <v>-0.62391681109185437</v>
      </c>
      <c r="L138" s="75">
        <f>VLOOKUP($A138,'Data Vlaue (Cr)'!$C:$FB,67)</f>
        <v>1380</v>
      </c>
      <c r="M138" s="75">
        <f>VLOOKUP($A138,'Data Vlaue (Cr)'!$C:$FB,68)</f>
        <v>1012</v>
      </c>
      <c r="N138" s="75">
        <f t="shared" si="10"/>
        <v>368</v>
      </c>
      <c r="O138" s="75">
        <f t="shared" si="11"/>
        <v>26.666666666666668</v>
      </c>
      <c r="P138" s="75">
        <f>VLOOKUP($A138,'Data Vlaue (Cr)'!$C:$FB,119)</f>
        <v>0.52</v>
      </c>
      <c r="Q138" s="75">
        <f>VLOOKUP($A138,'Data Vlaue (Cr)'!$C:$FB,122)*100</f>
        <v>0</v>
      </c>
      <c r="R138" s="75">
        <f>VLOOKUP($A138,'Data Vlaue (Cr)'!$C:$FB,125)</f>
        <v>0.33</v>
      </c>
      <c r="S138" s="75">
        <f>VLOOKUP($A138,'Data Vlaue (Cr)'!$C:$FB,128)*100</f>
        <v>-19.509999999999998</v>
      </c>
    </row>
    <row r="139" spans="1:19" x14ac:dyDescent="0.25">
      <c r="A139" s="96" t="str">
        <f>'Data Vlaue (Cr)'!C130</f>
        <v>MCX</v>
      </c>
      <c r="B139" s="75">
        <f>VLOOKUP($A139,'Data Vlaue (Cr)'!$C:$FB,2)</f>
        <v>625</v>
      </c>
      <c r="C139" s="75">
        <f>VLOOKUP($A139,'Data Vlaue (Cr)'!$C:$FB,8)</f>
        <v>2305</v>
      </c>
      <c r="D139" s="75">
        <f>VLOOKUP($A139,'Data Vlaue (Cr)'!$C:$FB,4)</f>
        <v>2310</v>
      </c>
      <c r="E139" s="75">
        <f>VLOOKUP($A139,'Data Vlaue (Cr)'!$C:$FB,5)</f>
        <v>2260</v>
      </c>
      <c r="F139" s="75">
        <f t="shared" si="6"/>
        <v>5</v>
      </c>
      <c r="G139" s="75">
        <f t="shared" si="7"/>
        <v>2.1645021645021645</v>
      </c>
      <c r="H139" s="75">
        <f>VLOOKUP($A139,'Data Vlaue (Cr)'!$C:$FB,99)</f>
        <v>7068</v>
      </c>
      <c r="I139" s="75">
        <f>VLOOKUP($A139,'Data Vlaue (Cr)'!$C:$FB,100)</f>
        <v>6850</v>
      </c>
      <c r="J139" s="75">
        <f t="shared" si="8"/>
        <v>218</v>
      </c>
      <c r="K139" s="75">
        <f t="shared" si="9"/>
        <v>3.0843237125070742</v>
      </c>
      <c r="L139" s="75">
        <f>VLOOKUP($A139,'Data Vlaue (Cr)'!$C:$FB,67)</f>
        <v>10760</v>
      </c>
      <c r="M139" s="75">
        <f>VLOOKUP($A139,'Data Vlaue (Cr)'!$C:$FB,68)</f>
        <v>7704</v>
      </c>
      <c r="N139" s="75">
        <f t="shared" si="10"/>
        <v>3056</v>
      </c>
      <c r="O139" s="75">
        <f t="shared" si="11"/>
        <v>28.401486988847584</v>
      </c>
      <c r="P139" s="75">
        <f>VLOOKUP($A139,'Data Vlaue (Cr)'!$C:$FB,119)</f>
        <v>0.75</v>
      </c>
      <c r="Q139" s="75">
        <f>VLOOKUP($A139,'Data Vlaue (Cr)'!$C:$FB,122)*100</f>
        <v>11.940000000000001</v>
      </c>
      <c r="R139" s="75">
        <f>VLOOKUP($A139,'Data Vlaue (Cr)'!$C:$FB,125)</f>
        <v>0.46</v>
      </c>
      <c r="S139" s="75">
        <f>VLOOKUP($A139,'Data Vlaue (Cr)'!$C:$FB,128)*100</f>
        <v>12.2</v>
      </c>
    </row>
    <row r="140" spans="1:19" x14ac:dyDescent="0.25">
      <c r="A140" s="96" t="str">
        <f>'Data Vlaue (Cr)'!C131</f>
        <v>MFSL</v>
      </c>
      <c r="B140" s="75">
        <f>VLOOKUP($A140,'Data Vlaue (Cr)'!$C:$FB,2)</f>
        <v>400</v>
      </c>
      <c r="C140" s="75">
        <f>VLOOKUP($A140,'Data Vlaue (Cr)'!$C:$FB,8)</f>
        <v>1727.1</v>
      </c>
      <c r="D140" s="75">
        <f>VLOOKUP($A140,'Data Vlaue (Cr)'!$C:$FB,4)</f>
        <v>1735.2</v>
      </c>
      <c r="E140" s="75">
        <f>VLOOKUP($A140,'Data Vlaue (Cr)'!$C:$FB,5)</f>
        <v>1740.6</v>
      </c>
      <c r="F140" s="75">
        <f t="shared" ref="F140:F176" si="12">D140-C140</f>
        <v>8.1000000000001364</v>
      </c>
      <c r="G140" s="75">
        <f t="shared" ref="G140:G176" si="13">(D140-E140)/D140*100</f>
        <v>-0.31120331950206681</v>
      </c>
      <c r="H140" s="75">
        <f>VLOOKUP($A140,'Data Vlaue (Cr)'!$C:$FB,99)</f>
        <v>1984</v>
      </c>
      <c r="I140" s="75">
        <f>VLOOKUP($A140,'Data Vlaue (Cr)'!$C:$FB,100)</f>
        <v>1886</v>
      </c>
      <c r="J140" s="75">
        <f t="shared" ref="J140:J176" si="14">H140-I140</f>
        <v>98</v>
      </c>
      <c r="K140" s="75">
        <f t="shared" ref="K140:K176" si="15">J140/H140*100</f>
        <v>4.939516129032258</v>
      </c>
      <c r="L140" s="75">
        <f>VLOOKUP($A140,'Data Vlaue (Cr)'!$C:$FB,67)</f>
        <v>800</v>
      </c>
      <c r="M140" s="75">
        <f>VLOOKUP($A140,'Data Vlaue (Cr)'!$C:$FB,68)</f>
        <v>1531</v>
      </c>
      <c r="N140" s="75">
        <f t="shared" ref="N140:N176" si="16">L140-M140</f>
        <v>-731</v>
      </c>
      <c r="O140" s="75">
        <f t="shared" ref="O140:O176" si="17">N140/L140*100</f>
        <v>-91.375</v>
      </c>
      <c r="P140" s="75">
        <f>VLOOKUP($A140,'Data Vlaue (Cr)'!$C:$FB,119)</f>
        <v>0.68</v>
      </c>
      <c r="Q140" s="75">
        <f>VLOOKUP($A140,'Data Vlaue (Cr)'!$C:$FB,122)*100</f>
        <v>-9.33</v>
      </c>
      <c r="R140" s="75">
        <f>VLOOKUP($A140,'Data Vlaue (Cr)'!$C:$FB,125)</f>
        <v>0.24</v>
      </c>
      <c r="S140" s="75">
        <f>VLOOKUP($A140,'Data Vlaue (Cr)'!$C:$FB,128)*100</f>
        <v>4.3499999999999996</v>
      </c>
    </row>
    <row r="141" spans="1:19" x14ac:dyDescent="0.25">
      <c r="A141" s="96" t="str">
        <f>'Data Vlaue (Cr)'!C132</f>
        <v>MIDCPNIFTY</v>
      </c>
      <c r="B141" s="75">
        <f>VLOOKUP($A141,'Data Vlaue (Cr)'!$C:$FB,2)</f>
        <v>120</v>
      </c>
      <c r="C141" s="75">
        <f>VLOOKUP($A141,'Data Vlaue (Cr)'!$C:$FB,8)</f>
        <v>14053.4</v>
      </c>
      <c r="D141" s="75">
        <f>VLOOKUP($A141,'Data Vlaue (Cr)'!$C:$FB,4)</f>
        <v>14113.4</v>
      </c>
      <c r="E141" s="75">
        <f>VLOOKUP($A141,'Data Vlaue (Cr)'!$C:$FB,5)</f>
        <v>14007.65</v>
      </c>
      <c r="F141" s="75">
        <f t="shared" si="12"/>
        <v>60</v>
      </c>
      <c r="G141" s="75">
        <f t="shared" si="13"/>
        <v>0.74928791077982626</v>
      </c>
      <c r="H141" s="75">
        <f>VLOOKUP($A141,'Data Vlaue (Cr)'!$C:$FB,99)</f>
        <v>24127</v>
      </c>
      <c r="I141" s="75">
        <f>VLOOKUP($A141,'Data Vlaue (Cr)'!$C:$FB,100)</f>
        <v>20972</v>
      </c>
      <c r="J141" s="75">
        <f t="shared" si="14"/>
        <v>3155</v>
      </c>
      <c r="K141" s="75">
        <f t="shared" si="15"/>
        <v>13.076636133792016</v>
      </c>
      <c r="L141" s="75">
        <f>VLOOKUP($A141,'Data Vlaue (Cr)'!$C:$FB,67)</f>
        <v>53756</v>
      </c>
      <c r="M141" s="75">
        <f>VLOOKUP($A141,'Data Vlaue (Cr)'!$C:$FB,68)</f>
        <v>33247</v>
      </c>
      <c r="N141" s="75">
        <f t="shared" si="16"/>
        <v>20509</v>
      </c>
      <c r="O141" s="75">
        <f t="shared" si="17"/>
        <v>38.152020239601157</v>
      </c>
      <c r="P141" s="75">
        <f>VLOOKUP($A141,'Data Vlaue (Cr)'!$C:$FB,119)</f>
        <v>1.19</v>
      </c>
      <c r="Q141" s="75">
        <f>VLOOKUP($A141,'Data Vlaue (Cr)'!$C:$FB,122)*100</f>
        <v>6.25</v>
      </c>
      <c r="R141" s="75">
        <f>VLOOKUP($A141,'Data Vlaue (Cr)'!$C:$FB,125)</f>
        <v>1.08</v>
      </c>
      <c r="S141" s="75">
        <f>VLOOKUP($A141,'Data Vlaue (Cr)'!$C:$FB,128)*100</f>
        <v>-1.82</v>
      </c>
    </row>
    <row r="142" spans="1:19" x14ac:dyDescent="0.25">
      <c r="A142" s="96" t="str">
        <f>'Data Vlaue (Cr)'!C133</f>
        <v>MOTHERSON</v>
      </c>
      <c r="B142" s="75">
        <f>VLOOKUP($A142,'Data Vlaue (Cr)'!$C:$FB,2)</f>
        <v>6150</v>
      </c>
      <c r="C142" s="75">
        <f>VLOOKUP($A142,'Data Vlaue (Cr)'!$C:$FB,8)</f>
        <v>119.35</v>
      </c>
      <c r="D142" s="75">
        <f>VLOOKUP($A142,'Data Vlaue (Cr)'!$C:$FB,4)</f>
        <v>119.82</v>
      </c>
      <c r="E142" s="75">
        <f>VLOOKUP($A142,'Data Vlaue (Cr)'!$C:$FB,5)</f>
        <v>121.41</v>
      </c>
      <c r="F142" s="75">
        <f t="shared" si="12"/>
        <v>0.46999999999999886</v>
      </c>
      <c r="G142" s="75">
        <f t="shared" si="13"/>
        <v>-1.3269904857285959</v>
      </c>
      <c r="H142" s="75">
        <f>VLOOKUP($A142,'Data Vlaue (Cr)'!$C:$FB,99)</f>
        <v>3146</v>
      </c>
      <c r="I142" s="75">
        <f>VLOOKUP($A142,'Data Vlaue (Cr)'!$C:$FB,100)</f>
        <v>3020</v>
      </c>
      <c r="J142" s="75">
        <f t="shared" si="14"/>
        <v>126</v>
      </c>
      <c r="K142" s="75">
        <f t="shared" si="15"/>
        <v>4.0050858232676418</v>
      </c>
      <c r="L142" s="75">
        <f>VLOOKUP($A142,'Data Vlaue (Cr)'!$C:$FB,67)</f>
        <v>689</v>
      </c>
      <c r="M142" s="75">
        <f>VLOOKUP($A142,'Data Vlaue (Cr)'!$C:$FB,68)</f>
        <v>789</v>
      </c>
      <c r="N142" s="75">
        <f t="shared" si="16"/>
        <v>-100</v>
      </c>
      <c r="O142" s="75">
        <f t="shared" si="17"/>
        <v>-14.513788098693759</v>
      </c>
      <c r="P142" s="75">
        <f>VLOOKUP($A142,'Data Vlaue (Cr)'!$C:$FB,119)</f>
        <v>0.64</v>
      </c>
      <c r="Q142" s="75">
        <f>VLOOKUP($A142,'Data Vlaue (Cr)'!$C:$FB,122)*100</f>
        <v>-7.2499999999999991</v>
      </c>
      <c r="R142" s="75">
        <f>VLOOKUP($A142,'Data Vlaue (Cr)'!$C:$FB,125)</f>
        <v>0.36</v>
      </c>
      <c r="S142" s="75">
        <f>VLOOKUP($A142,'Data Vlaue (Cr)'!$C:$FB,128)*100</f>
        <v>-26.529999999999998</v>
      </c>
    </row>
    <row r="143" spans="1:19" x14ac:dyDescent="0.25">
      <c r="A143" s="96" t="str">
        <f>'Data Vlaue (Cr)'!C134</f>
        <v>MPHASIS</v>
      </c>
      <c r="B143" s="75">
        <f>VLOOKUP($A143,'Data Vlaue (Cr)'!$C:$FB,2)</f>
        <v>275</v>
      </c>
      <c r="C143" s="75">
        <f>VLOOKUP($A143,'Data Vlaue (Cr)'!$C:$FB,8)</f>
        <v>2874.8</v>
      </c>
      <c r="D143" s="75">
        <f>VLOOKUP($A143,'Data Vlaue (Cr)'!$C:$FB,4)</f>
        <v>2886.6</v>
      </c>
      <c r="E143" s="75">
        <f>VLOOKUP($A143,'Data Vlaue (Cr)'!$C:$FB,5)</f>
        <v>2828.8</v>
      </c>
      <c r="F143" s="75">
        <f t="shared" si="12"/>
        <v>11.799999999999727</v>
      </c>
      <c r="G143" s="75">
        <f t="shared" si="13"/>
        <v>2.0023557126030531</v>
      </c>
      <c r="H143" s="75">
        <f>VLOOKUP($A143,'Data Vlaue (Cr)'!$C:$FB,99)</f>
        <v>1944</v>
      </c>
      <c r="I143" s="75">
        <f>VLOOKUP($A143,'Data Vlaue (Cr)'!$C:$FB,100)</f>
        <v>1969</v>
      </c>
      <c r="J143" s="75">
        <f t="shared" si="14"/>
        <v>-25</v>
      </c>
      <c r="K143" s="75"/>
      <c r="L143" s="75">
        <f>VLOOKUP($A143,'Data Vlaue (Cr)'!$C:$FB,67)</f>
        <v>1397</v>
      </c>
      <c r="M143" s="75">
        <f>VLOOKUP($A143,'Data Vlaue (Cr)'!$C:$FB,68)</f>
        <v>518</v>
      </c>
      <c r="N143" s="75">
        <f t="shared" si="16"/>
        <v>879</v>
      </c>
      <c r="O143" s="75">
        <f t="shared" si="17"/>
        <v>62.920544022906235</v>
      </c>
      <c r="P143" s="75">
        <f>VLOOKUP($A143,'Data Vlaue (Cr)'!$C:$FB,119)</f>
        <v>0.7</v>
      </c>
      <c r="Q143" s="75">
        <f>VLOOKUP($A143,'Data Vlaue (Cr)'!$C:$FB,122)*100</f>
        <v>9.370000000000001</v>
      </c>
      <c r="R143" s="75">
        <f>VLOOKUP($A143,'Data Vlaue (Cr)'!$C:$FB,125)</f>
        <v>0.16</v>
      </c>
      <c r="S143" s="75">
        <f>VLOOKUP($A143,'Data Vlaue (Cr)'!$C:$FB,128)*100</f>
        <v>-58.97</v>
      </c>
    </row>
    <row r="144" spans="1:19" x14ac:dyDescent="0.25">
      <c r="A144" s="96" t="str">
        <f>'Data Vlaue (Cr)'!C135</f>
        <v>MUTHOOTFIN</v>
      </c>
      <c r="B144" s="75">
        <f>VLOOKUP($A144,'Data Vlaue (Cr)'!$C:$FB,2)</f>
        <v>275</v>
      </c>
      <c r="C144" s="75">
        <f>VLOOKUP($A144,'Data Vlaue (Cr)'!$C:$FB,8)</f>
        <v>3960.1</v>
      </c>
      <c r="D144" s="75">
        <f>VLOOKUP($A144,'Data Vlaue (Cr)'!$C:$FB,4)</f>
        <v>3973.1</v>
      </c>
      <c r="E144" s="75">
        <f>VLOOKUP($A144,'Data Vlaue (Cr)'!$C:$FB,5)</f>
        <v>3960.4</v>
      </c>
      <c r="F144" s="75">
        <f t="shared" si="12"/>
        <v>13</v>
      </c>
      <c r="G144" s="75">
        <f t="shared" si="13"/>
        <v>0.31964964385491978</v>
      </c>
      <c r="H144" s="75">
        <f>VLOOKUP($A144,'Data Vlaue (Cr)'!$C:$FB,99)</f>
        <v>2890</v>
      </c>
      <c r="I144" s="75">
        <f>VLOOKUP($A144,'Data Vlaue (Cr)'!$C:$FB,100)</f>
        <v>2822</v>
      </c>
      <c r="J144" s="75">
        <f t="shared" si="14"/>
        <v>68</v>
      </c>
      <c r="K144" s="75">
        <f t="shared" si="15"/>
        <v>2.3529411764705883</v>
      </c>
      <c r="L144" s="75">
        <f>VLOOKUP($A144,'Data Vlaue (Cr)'!$C:$FB,67)</f>
        <v>2938</v>
      </c>
      <c r="M144" s="75">
        <f>VLOOKUP($A144,'Data Vlaue (Cr)'!$C:$FB,68)</f>
        <v>4544</v>
      </c>
      <c r="N144" s="75">
        <f t="shared" si="16"/>
        <v>-1606</v>
      </c>
      <c r="O144" s="75">
        <f t="shared" si="17"/>
        <v>-54.663036078965291</v>
      </c>
      <c r="P144" s="75">
        <f>VLOOKUP($A144,'Data Vlaue (Cr)'!$C:$FB,119)</f>
        <v>0.74</v>
      </c>
      <c r="Q144" s="75">
        <f>VLOOKUP($A144,'Data Vlaue (Cr)'!$C:$FB,122)*100</f>
        <v>4.2299999999999995</v>
      </c>
      <c r="R144" s="75">
        <f>VLOOKUP($A144,'Data Vlaue (Cr)'!$C:$FB,125)</f>
        <v>0.48</v>
      </c>
      <c r="S144" s="75">
        <f>VLOOKUP($A144,'Data Vlaue (Cr)'!$C:$FB,128)*100</f>
        <v>17.07</v>
      </c>
    </row>
    <row r="145" spans="1:19" x14ac:dyDescent="0.25">
      <c r="A145" s="96" t="str">
        <f>'Data Vlaue (Cr)'!C136</f>
        <v>NATIONALUM</v>
      </c>
      <c r="B145" s="75">
        <f>VLOOKUP($A145,'Data Vlaue (Cr)'!$C:$FB,2)</f>
        <v>3750</v>
      </c>
      <c r="C145" s="75">
        <f>VLOOKUP($A145,'Data Vlaue (Cr)'!$C:$FB,8)</f>
        <v>352.6</v>
      </c>
      <c r="D145" s="75">
        <f>VLOOKUP($A145,'Data Vlaue (Cr)'!$C:$FB,4)</f>
        <v>351.8</v>
      </c>
      <c r="E145" s="75">
        <f>VLOOKUP($A145,'Data Vlaue (Cr)'!$C:$FB,5)</f>
        <v>347.6</v>
      </c>
      <c r="F145" s="75">
        <f t="shared" si="12"/>
        <v>-0.80000000000001137</v>
      </c>
      <c r="G145" s="75">
        <f t="shared" si="13"/>
        <v>1.1938601478112532</v>
      </c>
      <c r="H145" s="75">
        <f>VLOOKUP($A145,'Data Vlaue (Cr)'!$C:$FB,99)</f>
        <v>4990</v>
      </c>
      <c r="I145" s="75">
        <f>VLOOKUP($A145,'Data Vlaue (Cr)'!$C:$FB,100)</f>
        <v>5129</v>
      </c>
      <c r="J145" s="75">
        <f t="shared" si="14"/>
        <v>-139</v>
      </c>
      <c r="K145" s="75">
        <f t="shared" si="15"/>
        <v>-2.785571142284569</v>
      </c>
      <c r="L145" s="75">
        <f>VLOOKUP($A145,'Data Vlaue (Cr)'!$C:$FB,67)</f>
        <v>9489</v>
      </c>
      <c r="M145" s="75">
        <f>VLOOKUP($A145,'Data Vlaue (Cr)'!$C:$FB,68)</f>
        <v>15204</v>
      </c>
      <c r="N145" s="75">
        <f t="shared" si="16"/>
        <v>-5715</v>
      </c>
      <c r="O145" s="75">
        <f t="shared" si="17"/>
        <v>-60.227631994941511</v>
      </c>
      <c r="P145" s="75">
        <f>VLOOKUP($A145,'Data Vlaue (Cr)'!$C:$FB,119)</f>
        <v>0.92</v>
      </c>
      <c r="Q145" s="75">
        <f>VLOOKUP($A145,'Data Vlaue (Cr)'!$C:$FB,122)*100</f>
        <v>17.95</v>
      </c>
      <c r="R145" s="75">
        <f>VLOOKUP($A145,'Data Vlaue (Cr)'!$C:$FB,125)</f>
        <v>0.43</v>
      </c>
      <c r="S145" s="75">
        <f>VLOOKUP($A145,'Data Vlaue (Cr)'!$C:$FB,128)*100</f>
        <v>26.47</v>
      </c>
    </row>
    <row r="146" spans="1:19" x14ac:dyDescent="0.25">
      <c r="A146" s="96" t="str">
        <f>'Data Vlaue (Cr)'!C137</f>
        <v>NAUKRI</v>
      </c>
      <c r="B146" s="75">
        <f>VLOOKUP($A146,'Data Vlaue (Cr)'!$C:$FB,2)</f>
        <v>375</v>
      </c>
      <c r="C146" s="75">
        <f>VLOOKUP($A146,'Data Vlaue (Cr)'!$C:$FB,8)</f>
        <v>1359.4</v>
      </c>
      <c r="D146" s="75">
        <f>VLOOKUP($A146,'Data Vlaue (Cr)'!$C:$FB,4)</f>
        <v>1360.6</v>
      </c>
      <c r="E146" s="75">
        <f>VLOOKUP($A146,'Data Vlaue (Cr)'!$C:$FB,5)</f>
        <v>1342.7</v>
      </c>
      <c r="F146" s="75">
        <f t="shared" si="12"/>
        <v>1.1999999999998181</v>
      </c>
      <c r="G146" s="75">
        <f t="shared" si="13"/>
        <v>1.3155960605615069</v>
      </c>
      <c r="H146" s="75">
        <f>VLOOKUP($A146,'Data Vlaue (Cr)'!$C:$FB,99)</f>
        <v>1830</v>
      </c>
      <c r="I146" s="75">
        <f>VLOOKUP($A146,'Data Vlaue (Cr)'!$C:$FB,100)</f>
        <v>1601</v>
      </c>
      <c r="J146" s="75">
        <f t="shared" si="14"/>
        <v>229</v>
      </c>
      <c r="K146" s="75">
        <f t="shared" si="15"/>
        <v>12.513661202185791</v>
      </c>
      <c r="L146" s="75">
        <f>VLOOKUP($A146,'Data Vlaue (Cr)'!$C:$FB,67)</f>
        <v>2440</v>
      </c>
      <c r="M146" s="75">
        <f>VLOOKUP($A146,'Data Vlaue (Cr)'!$C:$FB,68)</f>
        <v>376</v>
      </c>
      <c r="N146" s="75">
        <f t="shared" si="16"/>
        <v>2064</v>
      </c>
      <c r="O146" s="75">
        <f t="shared" si="17"/>
        <v>84.590163934426229</v>
      </c>
      <c r="P146" s="75">
        <f>VLOOKUP($A146,'Data Vlaue (Cr)'!$C:$FB,119)</f>
        <v>0.55000000000000004</v>
      </c>
      <c r="Q146" s="75">
        <f>VLOOKUP($A146,'Data Vlaue (Cr)'!$C:$FB,122)*100</f>
        <v>-27.63</v>
      </c>
      <c r="R146" s="75">
        <f>VLOOKUP($A146,'Data Vlaue (Cr)'!$C:$FB,125)</f>
        <v>0.23</v>
      </c>
      <c r="S146" s="75">
        <f>VLOOKUP($A146,'Data Vlaue (Cr)'!$C:$FB,128)*100</f>
        <v>-66.180000000000007</v>
      </c>
    </row>
    <row r="147" spans="1:19" x14ac:dyDescent="0.25">
      <c r="A147" s="96" t="str">
        <f>'Data Vlaue (Cr)'!C138</f>
        <v>NBCC</v>
      </c>
      <c r="B147" s="75">
        <f>VLOOKUP($A147,'Data Vlaue (Cr)'!$C:$FB,2)</f>
        <v>6500</v>
      </c>
      <c r="C147" s="75">
        <f>VLOOKUP($A147,'Data Vlaue (Cr)'!$C:$FB,8)</f>
        <v>116.05</v>
      </c>
      <c r="D147" s="75">
        <f>VLOOKUP($A147,'Data Vlaue (Cr)'!$C:$FB,4)</f>
        <v>116.32</v>
      </c>
      <c r="E147" s="75">
        <f>VLOOKUP($A147,'Data Vlaue (Cr)'!$C:$FB,5)</f>
        <v>118.99</v>
      </c>
      <c r="F147" s="75">
        <f t="shared" si="12"/>
        <v>0.26999999999999602</v>
      </c>
      <c r="G147" s="75">
        <f t="shared" si="13"/>
        <v>-2.2953920220082549</v>
      </c>
      <c r="H147" s="75">
        <f>VLOOKUP($A147,'Data Vlaue (Cr)'!$C:$FB,99)</f>
        <v>1921</v>
      </c>
      <c r="I147" s="75">
        <f>VLOOKUP($A147,'Data Vlaue (Cr)'!$C:$FB,100)</f>
        <v>1844</v>
      </c>
      <c r="J147" s="75">
        <f t="shared" si="14"/>
        <v>77</v>
      </c>
      <c r="K147" s="75">
        <f t="shared" si="15"/>
        <v>4.0083289953149404</v>
      </c>
      <c r="L147" s="75">
        <f>VLOOKUP($A147,'Data Vlaue (Cr)'!$C:$FB,67)</f>
        <v>1100</v>
      </c>
      <c r="M147" s="75">
        <f>VLOOKUP($A147,'Data Vlaue (Cr)'!$C:$FB,68)</f>
        <v>567</v>
      </c>
      <c r="N147" s="75">
        <f t="shared" si="16"/>
        <v>533</v>
      </c>
      <c r="O147" s="75">
        <f t="shared" si="17"/>
        <v>48.454545454545453</v>
      </c>
      <c r="P147" s="75">
        <f>VLOOKUP($A147,'Data Vlaue (Cr)'!$C:$FB,119)</f>
        <v>0.48</v>
      </c>
      <c r="Q147" s="75">
        <f>VLOOKUP($A147,'Data Vlaue (Cr)'!$C:$FB,122)*100</f>
        <v>-5.88</v>
      </c>
      <c r="R147" s="75">
        <f>VLOOKUP($A147,'Data Vlaue (Cr)'!$C:$FB,125)</f>
        <v>0.43</v>
      </c>
      <c r="S147" s="75">
        <f>VLOOKUP($A147,'Data Vlaue (Cr)'!$C:$FB,128)*100</f>
        <v>43.33</v>
      </c>
    </row>
    <row r="148" spans="1:19" x14ac:dyDescent="0.25">
      <c r="A148" s="96" t="str">
        <f>'Data Vlaue (Cr)'!C139</f>
        <v>NESTLEIND</v>
      </c>
      <c r="B148" s="75">
        <f>VLOOKUP($A148,'Data Vlaue (Cr)'!$C:$FB,2)</f>
        <v>500</v>
      </c>
      <c r="C148" s="75">
        <f>VLOOKUP($A148,'Data Vlaue (Cr)'!$C:$FB,8)</f>
        <v>1314.8</v>
      </c>
      <c r="D148" s="75">
        <f>VLOOKUP($A148,'Data Vlaue (Cr)'!$C:$FB,4)</f>
        <v>1319.9</v>
      </c>
      <c r="E148" s="75">
        <f>VLOOKUP($A148,'Data Vlaue (Cr)'!$C:$FB,5)</f>
        <v>1323.6</v>
      </c>
      <c r="F148" s="75">
        <f t="shared" si="12"/>
        <v>5.1000000000001364</v>
      </c>
      <c r="G148" s="75">
        <f t="shared" si="13"/>
        <v>-0.2803242669899097</v>
      </c>
      <c r="H148" s="75">
        <f>VLOOKUP($A148,'Data Vlaue (Cr)'!$C:$FB,99)</f>
        <v>3133</v>
      </c>
      <c r="I148" s="75">
        <f>VLOOKUP($A148,'Data Vlaue (Cr)'!$C:$FB,100)</f>
        <v>3090</v>
      </c>
      <c r="J148" s="75">
        <f t="shared" si="14"/>
        <v>43</v>
      </c>
      <c r="K148" s="75">
        <f t="shared" si="15"/>
        <v>1.3724864347270986</v>
      </c>
      <c r="L148" s="75">
        <f>VLOOKUP($A148,'Data Vlaue (Cr)'!$C:$FB,67)</f>
        <v>946</v>
      </c>
      <c r="M148" s="75">
        <f>VLOOKUP($A148,'Data Vlaue (Cr)'!$C:$FB,68)</f>
        <v>1205</v>
      </c>
      <c r="N148" s="75">
        <f t="shared" si="16"/>
        <v>-259</v>
      </c>
      <c r="O148" s="75">
        <f t="shared" si="17"/>
        <v>-27.378435517970402</v>
      </c>
      <c r="P148" s="75">
        <f>VLOOKUP($A148,'Data Vlaue (Cr)'!$C:$FB,119)</f>
        <v>0.7</v>
      </c>
      <c r="Q148" s="75">
        <f>VLOOKUP($A148,'Data Vlaue (Cr)'!$C:$FB,122)*100</f>
        <v>1.4500000000000002</v>
      </c>
      <c r="R148" s="75">
        <f>VLOOKUP($A148,'Data Vlaue (Cr)'!$C:$FB,125)</f>
        <v>0.52</v>
      </c>
      <c r="S148" s="75">
        <f>VLOOKUP($A148,'Data Vlaue (Cr)'!$C:$FB,128)*100</f>
        <v>15.559999999999999</v>
      </c>
    </row>
    <row r="149" spans="1:19" x14ac:dyDescent="0.25">
      <c r="A149" s="96" t="str">
        <f>'Data Vlaue (Cr)'!C140</f>
        <v>NHPC</v>
      </c>
      <c r="B149" s="75">
        <f>VLOOKUP($A149,'Data Vlaue (Cr)'!$C:$FB,2)</f>
        <v>6400</v>
      </c>
      <c r="C149" s="75">
        <f>VLOOKUP($A149,'Data Vlaue (Cr)'!$C:$FB,8)</f>
        <v>83.66</v>
      </c>
      <c r="D149" s="75">
        <f>VLOOKUP($A149,'Data Vlaue (Cr)'!$C:$FB,4)</f>
        <v>83.77</v>
      </c>
      <c r="E149" s="75">
        <f>VLOOKUP($A149,'Data Vlaue (Cr)'!$C:$FB,5)</f>
        <v>83.7</v>
      </c>
      <c r="F149" s="75">
        <f t="shared" si="12"/>
        <v>0.10999999999999943</v>
      </c>
      <c r="G149" s="75">
        <f t="shared" si="13"/>
        <v>8.3562134415653799E-2</v>
      </c>
      <c r="H149" s="75">
        <f>VLOOKUP($A149,'Data Vlaue (Cr)'!$C:$FB,99)</f>
        <v>992</v>
      </c>
      <c r="I149" s="75">
        <f>VLOOKUP($A149,'Data Vlaue (Cr)'!$C:$FB,100)</f>
        <v>1012</v>
      </c>
      <c r="J149" s="75">
        <f t="shared" si="14"/>
        <v>-20</v>
      </c>
      <c r="K149" s="75">
        <f t="shared" si="15"/>
        <v>-2.0161290322580645</v>
      </c>
      <c r="L149" s="75">
        <f>VLOOKUP($A149,'Data Vlaue (Cr)'!$C:$FB,67)</f>
        <v>411</v>
      </c>
      <c r="M149" s="75">
        <f>VLOOKUP($A149,'Data Vlaue (Cr)'!$C:$FB,68)</f>
        <v>316</v>
      </c>
      <c r="N149" s="75">
        <f t="shared" si="16"/>
        <v>95</v>
      </c>
      <c r="O149" s="75">
        <f t="shared" si="17"/>
        <v>23.114355231143552</v>
      </c>
      <c r="P149" s="75">
        <f>VLOOKUP($A149,'Data Vlaue (Cr)'!$C:$FB,119)</f>
        <v>0.53</v>
      </c>
      <c r="Q149" s="75">
        <f>VLOOKUP($A149,'Data Vlaue (Cr)'!$C:$FB,122)*100</f>
        <v>-3.64</v>
      </c>
      <c r="R149" s="75">
        <f>VLOOKUP($A149,'Data Vlaue (Cr)'!$C:$FB,125)</f>
        <v>0.4</v>
      </c>
      <c r="S149" s="75">
        <f>VLOOKUP($A149,'Data Vlaue (Cr)'!$C:$FB,128)*100</f>
        <v>-2.44</v>
      </c>
    </row>
    <row r="150" spans="1:19" x14ac:dyDescent="0.25">
      <c r="A150" s="96" t="str">
        <f>'Data Vlaue (Cr)'!C141</f>
        <v>NIFTY</v>
      </c>
      <c r="B150" s="75">
        <f>VLOOKUP($A150,'Data Vlaue (Cr)'!$C:$FB,2)</f>
        <v>65</v>
      </c>
      <c r="C150" s="75">
        <f>VLOOKUP($A150,'Data Vlaue (Cr)'!$C:$FB,8)</f>
        <v>26140.75</v>
      </c>
      <c r="D150" s="75">
        <f>VLOOKUP($A150,'Data Vlaue (Cr)'!$C:$FB,4)</f>
        <v>26235.3</v>
      </c>
      <c r="E150" s="75">
        <f>VLOOKUP($A150,'Data Vlaue (Cr)'!$C:$FB,5)</f>
        <v>26285.1</v>
      </c>
      <c r="F150" s="75">
        <f t="shared" si="12"/>
        <v>94.549999999999272</v>
      </c>
      <c r="G150" s="75">
        <f t="shared" si="13"/>
        <v>-0.18982058524201847</v>
      </c>
      <c r="H150" s="75">
        <f>VLOOKUP($A150,'Data Vlaue (Cr)'!$C:$FB,99)</f>
        <v>1093325</v>
      </c>
      <c r="I150" s="75">
        <f>VLOOKUP($A150,'Data Vlaue (Cr)'!$C:$FB,100)</f>
        <v>1665981</v>
      </c>
      <c r="J150" s="75">
        <f t="shared" si="14"/>
        <v>-572656</v>
      </c>
      <c r="K150" s="75">
        <f t="shared" si="15"/>
        <v>-52.377472389271261</v>
      </c>
      <c r="L150" s="75">
        <f>VLOOKUP($A150,'Data Vlaue (Cr)'!$C:$FB,67)</f>
        <v>11470528</v>
      </c>
      <c r="M150" s="75">
        <f>VLOOKUP($A150,'Data Vlaue (Cr)'!$C:$FB,68)</f>
        <v>57329235</v>
      </c>
      <c r="N150" s="75">
        <f t="shared" si="16"/>
        <v>-45858707</v>
      </c>
      <c r="O150" s="75">
        <f t="shared" si="17"/>
        <v>-399.79595533876034</v>
      </c>
      <c r="P150" s="75">
        <f>VLOOKUP($A150,'Data Vlaue (Cr)'!$C:$FB,119)</f>
        <v>0.89</v>
      </c>
      <c r="Q150" s="75">
        <f>VLOOKUP($A150,'Data Vlaue (Cr)'!$C:$FB,122)*100</f>
        <v>-3.26</v>
      </c>
      <c r="R150" s="75">
        <f>VLOOKUP($A150,'Data Vlaue (Cr)'!$C:$FB,125)</f>
        <v>0.98</v>
      </c>
      <c r="S150" s="75">
        <f>VLOOKUP($A150,'Data Vlaue (Cr)'!$C:$FB,128)*100</f>
        <v>-7.55</v>
      </c>
    </row>
    <row r="151" spans="1:19" x14ac:dyDescent="0.25">
      <c r="A151" s="96" t="str">
        <f>'Data Vlaue (Cr)'!C142</f>
        <v>NIFTYNXT50</v>
      </c>
      <c r="B151" s="75">
        <f>VLOOKUP($A151,'Data Vlaue (Cr)'!$C:$FB,2)</f>
        <v>25</v>
      </c>
      <c r="C151" s="75">
        <f>VLOOKUP($A151,'Data Vlaue (Cr)'!$C:$FB,8)</f>
        <v>70690.600000000006</v>
      </c>
      <c r="D151" s="75">
        <f>VLOOKUP($A151,'Data Vlaue (Cr)'!$C:$FB,4)</f>
        <v>70906</v>
      </c>
      <c r="E151" s="75">
        <f>VLOOKUP($A151,'Data Vlaue (Cr)'!$C:$FB,5)</f>
        <v>70841.399999999994</v>
      </c>
      <c r="F151" s="75">
        <f t="shared" si="12"/>
        <v>215.39999999999418</v>
      </c>
      <c r="G151" s="75">
        <f t="shared" si="13"/>
        <v>9.1106535413090314E-2</v>
      </c>
      <c r="H151" s="75">
        <f>VLOOKUP($A151,'Data Vlaue (Cr)'!$C:$FB,99)</f>
        <v>216</v>
      </c>
      <c r="I151" s="75">
        <f>VLOOKUP($A151,'Data Vlaue (Cr)'!$C:$FB,100)</f>
        <v>203</v>
      </c>
      <c r="J151" s="75">
        <f t="shared" si="14"/>
        <v>13</v>
      </c>
      <c r="K151" s="75">
        <f t="shared" si="15"/>
        <v>6.0185185185185182</v>
      </c>
      <c r="L151" s="75">
        <f>VLOOKUP($A151,'Data Vlaue (Cr)'!$C:$FB,67)</f>
        <v>112</v>
      </c>
      <c r="M151" s="75">
        <f>VLOOKUP($A151,'Data Vlaue (Cr)'!$C:$FB,68)</f>
        <v>121</v>
      </c>
      <c r="N151" s="75">
        <f t="shared" si="16"/>
        <v>-9</v>
      </c>
      <c r="O151" s="75">
        <f t="shared" si="17"/>
        <v>-8.0357142857142865</v>
      </c>
      <c r="P151" s="75">
        <f>VLOOKUP($A151,'Data Vlaue (Cr)'!$C:$FB,119)</f>
        <v>1.1000000000000001</v>
      </c>
      <c r="Q151" s="75">
        <f>VLOOKUP($A151,'Data Vlaue (Cr)'!$C:$FB,122)*100</f>
        <v>23.599999999999998</v>
      </c>
      <c r="R151" s="75">
        <f>VLOOKUP($A151,'Data Vlaue (Cr)'!$C:$FB,125)</f>
        <v>1.1599999999999999</v>
      </c>
      <c r="S151" s="75">
        <f>VLOOKUP($A151,'Data Vlaue (Cr)'!$C:$FB,128)*100</f>
        <v>157.78</v>
      </c>
    </row>
    <row r="152" spans="1:19" x14ac:dyDescent="0.25">
      <c r="A152" s="96" t="str">
        <f>'Data Vlaue (Cr)'!C143</f>
        <v>NMDC</v>
      </c>
      <c r="B152" s="75">
        <f>VLOOKUP($A152,'Data Vlaue (Cr)'!$C:$FB,2)</f>
        <v>6750</v>
      </c>
      <c r="C152" s="75">
        <f>VLOOKUP($A152,'Data Vlaue (Cr)'!$C:$FB,8)</f>
        <v>86.16</v>
      </c>
      <c r="D152" s="75">
        <f>VLOOKUP($A152,'Data Vlaue (Cr)'!$C:$FB,4)</f>
        <v>86.51</v>
      </c>
      <c r="E152" s="75">
        <f>VLOOKUP($A152,'Data Vlaue (Cr)'!$C:$FB,5)</f>
        <v>84.25</v>
      </c>
      <c r="F152" s="75">
        <f t="shared" si="12"/>
        <v>0.35000000000000853</v>
      </c>
      <c r="G152" s="75">
        <f t="shared" si="13"/>
        <v>2.6124147497399202</v>
      </c>
      <c r="H152" s="75">
        <f>VLOOKUP($A152,'Data Vlaue (Cr)'!$C:$FB,99)</f>
        <v>4562</v>
      </c>
      <c r="I152" s="75">
        <f>VLOOKUP($A152,'Data Vlaue (Cr)'!$C:$FB,100)</f>
        <v>4530</v>
      </c>
      <c r="J152" s="75">
        <f t="shared" si="14"/>
        <v>32</v>
      </c>
      <c r="K152" s="75">
        <f t="shared" si="15"/>
        <v>0.70144673388864531</v>
      </c>
      <c r="L152" s="75">
        <f>VLOOKUP($A152,'Data Vlaue (Cr)'!$C:$FB,67)</f>
        <v>3504</v>
      </c>
      <c r="M152" s="75">
        <f>VLOOKUP($A152,'Data Vlaue (Cr)'!$C:$FB,68)</f>
        <v>1182</v>
      </c>
      <c r="N152" s="75">
        <f t="shared" si="16"/>
        <v>2322</v>
      </c>
      <c r="O152" s="75">
        <f t="shared" si="17"/>
        <v>66.267123287671239</v>
      </c>
      <c r="P152" s="75">
        <f>VLOOKUP($A152,'Data Vlaue (Cr)'!$C:$FB,119)</f>
        <v>0.49</v>
      </c>
      <c r="Q152" s="75">
        <f>VLOOKUP($A152,'Data Vlaue (Cr)'!$C:$FB,122)*100</f>
        <v>8.89</v>
      </c>
      <c r="R152" s="75">
        <f>VLOOKUP($A152,'Data Vlaue (Cr)'!$C:$FB,125)</f>
        <v>0.28999999999999998</v>
      </c>
      <c r="S152" s="75">
        <f>VLOOKUP($A152,'Data Vlaue (Cr)'!$C:$FB,128)*100</f>
        <v>-14.71</v>
      </c>
    </row>
    <row r="153" spans="1:19" x14ac:dyDescent="0.25">
      <c r="A153" s="96" t="str">
        <f>'Data Vlaue (Cr)'!C144</f>
        <v>NTPC</v>
      </c>
      <c r="B153" s="75">
        <f>VLOOKUP($A153,'Data Vlaue (Cr)'!$C:$FB,2)</f>
        <v>1500</v>
      </c>
      <c r="C153" s="75">
        <f>VLOOKUP($A153,'Data Vlaue (Cr)'!$C:$FB,8)</f>
        <v>348.85</v>
      </c>
      <c r="D153" s="75">
        <f>VLOOKUP($A153,'Data Vlaue (Cr)'!$C:$FB,4)</f>
        <v>349.65</v>
      </c>
      <c r="E153" s="75">
        <f>VLOOKUP($A153,'Data Vlaue (Cr)'!$C:$FB,5)</f>
        <v>351.45</v>
      </c>
      <c r="F153" s="75">
        <f t="shared" si="12"/>
        <v>0.79999999999995453</v>
      </c>
      <c r="G153" s="75">
        <f t="shared" si="13"/>
        <v>-0.51480051480051803</v>
      </c>
      <c r="H153" s="75">
        <f>VLOOKUP($A153,'Data Vlaue (Cr)'!$C:$FB,99)</f>
        <v>5303</v>
      </c>
      <c r="I153" s="75">
        <f>VLOOKUP($A153,'Data Vlaue (Cr)'!$C:$FB,100)</f>
        <v>5286</v>
      </c>
      <c r="J153" s="75">
        <f t="shared" si="14"/>
        <v>17</v>
      </c>
      <c r="K153" s="75">
        <f t="shared" si="15"/>
        <v>0.32057326041863099</v>
      </c>
      <c r="L153" s="75">
        <f>VLOOKUP($A153,'Data Vlaue (Cr)'!$C:$FB,67)</f>
        <v>1541</v>
      </c>
      <c r="M153" s="75">
        <f>VLOOKUP($A153,'Data Vlaue (Cr)'!$C:$FB,68)</f>
        <v>2344</v>
      </c>
      <c r="N153" s="75">
        <f t="shared" si="16"/>
        <v>-803</v>
      </c>
      <c r="O153" s="75">
        <f t="shared" si="17"/>
        <v>-52.109020116807272</v>
      </c>
      <c r="P153" s="75">
        <f>VLOOKUP($A153,'Data Vlaue (Cr)'!$C:$FB,119)</f>
        <v>0.62</v>
      </c>
      <c r="Q153" s="75">
        <f>VLOOKUP($A153,'Data Vlaue (Cr)'!$C:$FB,122)*100</f>
        <v>-3.1300000000000003</v>
      </c>
      <c r="R153" s="75">
        <f>VLOOKUP($A153,'Data Vlaue (Cr)'!$C:$FB,125)</f>
        <v>0.46</v>
      </c>
      <c r="S153" s="75">
        <f>VLOOKUP($A153,'Data Vlaue (Cr)'!$C:$FB,128)*100</f>
        <v>-6.12</v>
      </c>
    </row>
    <row r="154" spans="1:19" x14ac:dyDescent="0.25">
      <c r="A154" s="96" t="str">
        <f>'Data Vlaue (Cr)'!C145</f>
        <v>NUVAMA</v>
      </c>
      <c r="B154" s="75">
        <f>VLOOKUP($A154,'Data Vlaue (Cr)'!$C:$FB,2)</f>
        <v>500</v>
      </c>
      <c r="C154" s="75">
        <f>VLOOKUP($A154,'Data Vlaue (Cr)'!$C:$FB,8)</f>
        <v>1478.9</v>
      </c>
      <c r="D154" s="75">
        <f>VLOOKUP($A154,'Data Vlaue (Cr)'!$C:$FB,4)</f>
        <v>1487</v>
      </c>
      <c r="E154" s="75">
        <f>VLOOKUP($A154,'Data Vlaue (Cr)'!$C:$FB,5)</f>
        <v>1486.8</v>
      </c>
      <c r="F154" s="75">
        <f t="shared" si="12"/>
        <v>8.0999999999999091</v>
      </c>
      <c r="G154" s="75">
        <f t="shared" si="13"/>
        <v>1.3449899125759614E-2</v>
      </c>
      <c r="H154" s="75">
        <f>VLOOKUP($A154,'Data Vlaue (Cr)'!$C:$FB,99)</f>
        <v>641</v>
      </c>
      <c r="I154" s="75">
        <f>VLOOKUP($A154,'Data Vlaue (Cr)'!$C:$FB,100)</f>
        <v>645</v>
      </c>
      <c r="J154" s="75">
        <f t="shared" si="14"/>
        <v>-4</v>
      </c>
      <c r="K154" s="75">
        <f t="shared" si="15"/>
        <v>-0.62402496099843996</v>
      </c>
      <c r="L154" s="75">
        <f>VLOOKUP($A154,'Data Vlaue (Cr)'!$C:$FB,67)</f>
        <v>154</v>
      </c>
      <c r="M154" s="75">
        <f>VLOOKUP($A154,'Data Vlaue (Cr)'!$C:$FB,68)</f>
        <v>164</v>
      </c>
      <c r="N154" s="75">
        <f t="shared" si="16"/>
        <v>-10</v>
      </c>
      <c r="O154" s="75">
        <f t="shared" si="17"/>
        <v>-6.4935064935064926</v>
      </c>
      <c r="P154" s="75">
        <f>VLOOKUP($A154,'Data Vlaue (Cr)'!$C:$FB,119)</f>
        <v>0.51</v>
      </c>
      <c r="Q154" s="75">
        <f>VLOOKUP($A154,'Data Vlaue (Cr)'!$C:$FB,122)*100</f>
        <v>-1.92</v>
      </c>
      <c r="R154" s="75">
        <f>VLOOKUP($A154,'Data Vlaue (Cr)'!$C:$FB,125)</f>
        <v>0.18</v>
      </c>
      <c r="S154" s="75">
        <f>VLOOKUP($A154,'Data Vlaue (Cr)'!$C:$FB,128)*100</f>
        <v>-43.75</v>
      </c>
    </row>
    <row r="155" spans="1:19" x14ac:dyDescent="0.25">
      <c r="A155" s="96" t="str">
        <f>'Data Vlaue (Cr)'!C146</f>
        <v>NYKAA</v>
      </c>
      <c r="B155" s="75">
        <f>VLOOKUP($A155,'Data Vlaue (Cr)'!$C:$FB,2)</f>
        <v>3125</v>
      </c>
      <c r="C155" s="75">
        <f>VLOOKUP($A155,'Data Vlaue (Cr)'!$C:$FB,8)</f>
        <v>266.35000000000002</v>
      </c>
      <c r="D155" s="75">
        <f>VLOOKUP($A155,'Data Vlaue (Cr)'!$C:$FB,4)</f>
        <v>267.55</v>
      </c>
      <c r="E155" s="75">
        <f>VLOOKUP($A155,'Data Vlaue (Cr)'!$C:$FB,5)</f>
        <v>269.89999999999998</v>
      </c>
      <c r="F155" s="75">
        <f t="shared" si="12"/>
        <v>1.1999999999999886</v>
      </c>
      <c r="G155" s="75">
        <f t="shared" si="13"/>
        <v>-0.87834049710333229</v>
      </c>
      <c r="H155" s="75">
        <f>VLOOKUP($A155,'Data Vlaue (Cr)'!$C:$FB,99)</f>
        <v>1712</v>
      </c>
      <c r="I155" s="75">
        <f>VLOOKUP($A155,'Data Vlaue (Cr)'!$C:$FB,100)</f>
        <v>1673</v>
      </c>
      <c r="J155" s="75">
        <f t="shared" si="14"/>
        <v>39</v>
      </c>
      <c r="K155" s="75">
        <f t="shared" si="15"/>
        <v>2.27803738317757</v>
      </c>
      <c r="L155" s="75">
        <f>VLOOKUP($A155,'Data Vlaue (Cr)'!$C:$FB,67)</f>
        <v>652</v>
      </c>
      <c r="M155" s="75">
        <f>VLOOKUP($A155,'Data Vlaue (Cr)'!$C:$FB,68)</f>
        <v>383</v>
      </c>
      <c r="N155" s="75">
        <f t="shared" si="16"/>
        <v>269</v>
      </c>
      <c r="O155" s="75">
        <f t="shared" si="17"/>
        <v>41.257668711656443</v>
      </c>
      <c r="P155" s="75">
        <f>VLOOKUP($A155,'Data Vlaue (Cr)'!$C:$FB,119)</f>
        <v>0.84</v>
      </c>
      <c r="Q155" s="75">
        <f>VLOOKUP($A155,'Data Vlaue (Cr)'!$C:$FB,122)*100</f>
        <v>-6.67</v>
      </c>
      <c r="R155" s="75">
        <f>VLOOKUP($A155,'Data Vlaue (Cr)'!$C:$FB,125)</f>
        <v>0.43</v>
      </c>
      <c r="S155" s="75">
        <f>VLOOKUP($A155,'Data Vlaue (Cr)'!$C:$FB,128)*100</f>
        <v>-33.85</v>
      </c>
    </row>
    <row r="156" spans="1:19" x14ac:dyDescent="0.25">
      <c r="A156" s="96" t="str">
        <f>'Data Vlaue (Cr)'!C147</f>
        <v>OBEROIRLTY</v>
      </c>
      <c r="B156" s="75">
        <f>VLOOKUP($A156,'Data Vlaue (Cr)'!$C:$FB,2)</f>
        <v>350</v>
      </c>
      <c r="C156" s="75">
        <f>VLOOKUP($A156,'Data Vlaue (Cr)'!$C:$FB,8)</f>
        <v>1708.7</v>
      </c>
      <c r="D156" s="75">
        <f>VLOOKUP($A156,'Data Vlaue (Cr)'!$C:$FB,4)</f>
        <v>1713.6</v>
      </c>
      <c r="E156" s="75">
        <f>VLOOKUP($A156,'Data Vlaue (Cr)'!$C:$FB,5)</f>
        <v>1725.6</v>
      </c>
      <c r="F156" s="75">
        <f t="shared" si="12"/>
        <v>4.8999999999998636</v>
      </c>
      <c r="G156" s="75">
        <f t="shared" si="13"/>
        <v>-0.70028011204481799</v>
      </c>
      <c r="H156" s="75">
        <f>VLOOKUP($A156,'Data Vlaue (Cr)'!$C:$FB,99)</f>
        <v>1024</v>
      </c>
      <c r="I156" s="75">
        <f>VLOOKUP($A156,'Data Vlaue (Cr)'!$C:$FB,100)</f>
        <v>1015</v>
      </c>
      <c r="J156" s="75">
        <f t="shared" si="14"/>
        <v>9</v>
      </c>
      <c r="K156" s="75">
        <f t="shared" si="15"/>
        <v>0.87890625</v>
      </c>
      <c r="L156" s="75">
        <f>VLOOKUP($A156,'Data Vlaue (Cr)'!$C:$FB,67)</f>
        <v>288</v>
      </c>
      <c r="M156" s="75">
        <f>VLOOKUP($A156,'Data Vlaue (Cr)'!$C:$FB,68)</f>
        <v>261</v>
      </c>
      <c r="N156" s="75">
        <f t="shared" si="16"/>
        <v>27</v>
      </c>
      <c r="O156" s="75">
        <f t="shared" si="17"/>
        <v>9.375</v>
      </c>
      <c r="P156" s="75">
        <f>VLOOKUP($A156,'Data Vlaue (Cr)'!$C:$FB,119)</f>
        <v>0.78</v>
      </c>
      <c r="Q156" s="75">
        <f>VLOOKUP($A156,'Data Vlaue (Cr)'!$C:$FB,122)*100</f>
        <v>-2.5</v>
      </c>
      <c r="R156" s="75">
        <f>VLOOKUP($A156,'Data Vlaue (Cr)'!$C:$FB,125)</f>
        <v>0.38</v>
      </c>
      <c r="S156" s="75">
        <f>VLOOKUP($A156,'Data Vlaue (Cr)'!$C:$FB,128)*100</f>
        <v>18.75</v>
      </c>
    </row>
    <row r="157" spans="1:19" x14ac:dyDescent="0.25">
      <c r="A157" s="96" t="str">
        <f>'Data Vlaue (Cr)'!C148</f>
        <v>OFSS</v>
      </c>
      <c r="B157" s="75">
        <f>VLOOKUP($A157,'Data Vlaue (Cr)'!$C:$FB,2)</f>
        <v>75</v>
      </c>
      <c r="C157" s="75">
        <f>VLOOKUP($A157,'Data Vlaue (Cr)'!$C:$FB,8)</f>
        <v>7832.5</v>
      </c>
      <c r="D157" s="75">
        <f>VLOOKUP($A157,'Data Vlaue (Cr)'!$C:$FB,4)</f>
        <v>7871</v>
      </c>
      <c r="E157" s="75">
        <f>VLOOKUP($A157,'Data Vlaue (Cr)'!$C:$FB,5)</f>
        <v>7607.5</v>
      </c>
      <c r="F157" s="75">
        <f t="shared" si="12"/>
        <v>38.5</v>
      </c>
      <c r="G157" s="75">
        <f t="shared" si="13"/>
        <v>3.3477321814254863</v>
      </c>
      <c r="H157" s="75">
        <f>VLOOKUP($A157,'Data Vlaue (Cr)'!$C:$FB,99)</f>
        <v>1746</v>
      </c>
      <c r="I157" s="75">
        <f>VLOOKUP($A157,'Data Vlaue (Cr)'!$C:$FB,100)</f>
        <v>1648</v>
      </c>
      <c r="J157" s="75">
        <f t="shared" si="14"/>
        <v>98</v>
      </c>
      <c r="K157" s="75">
        <f t="shared" si="15"/>
        <v>5.6128293241695308</v>
      </c>
      <c r="L157" s="75">
        <f>VLOOKUP($A157,'Data Vlaue (Cr)'!$C:$FB,67)</f>
        <v>2099</v>
      </c>
      <c r="M157" s="75">
        <f>VLOOKUP($A157,'Data Vlaue (Cr)'!$C:$FB,68)</f>
        <v>695</v>
      </c>
      <c r="N157" s="75">
        <f t="shared" si="16"/>
        <v>1404</v>
      </c>
      <c r="O157" s="75">
        <f t="shared" si="17"/>
        <v>66.888994759409243</v>
      </c>
      <c r="P157" s="75">
        <f>VLOOKUP($A157,'Data Vlaue (Cr)'!$C:$FB,119)</f>
        <v>0.73</v>
      </c>
      <c r="Q157" s="75">
        <f>VLOOKUP($A157,'Data Vlaue (Cr)'!$C:$FB,122)*100</f>
        <v>-3.95</v>
      </c>
      <c r="R157" s="75">
        <f>VLOOKUP($A157,'Data Vlaue (Cr)'!$C:$FB,125)</f>
        <v>0.25</v>
      </c>
      <c r="S157" s="75">
        <f>VLOOKUP($A157,'Data Vlaue (Cr)'!$C:$FB,128)*100</f>
        <v>-50.980000000000004</v>
      </c>
    </row>
    <row r="158" spans="1:19" x14ac:dyDescent="0.25">
      <c r="A158" s="96" t="str">
        <f>'Data Vlaue (Cr)'!C149</f>
        <v>OIL</v>
      </c>
      <c r="B158" s="75">
        <f>VLOOKUP($A158,'Data Vlaue (Cr)'!$C:$FB,2)</f>
        <v>1400</v>
      </c>
      <c r="C158" s="75">
        <f>VLOOKUP($A158,'Data Vlaue (Cr)'!$C:$FB,8)</f>
        <v>418.4</v>
      </c>
      <c r="D158" s="75">
        <f>VLOOKUP($A158,'Data Vlaue (Cr)'!$C:$FB,4)</f>
        <v>418.7</v>
      </c>
      <c r="E158" s="75">
        <f>VLOOKUP($A158,'Data Vlaue (Cr)'!$C:$FB,5)</f>
        <v>426.8</v>
      </c>
      <c r="F158" s="75">
        <f t="shared" si="12"/>
        <v>0.30000000000001137</v>
      </c>
      <c r="G158" s="75">
        <f t="shared" si="13"/>
        <v>-1.9345593503701992</v>
      </c>
      <c r="H158" s="75">
        <f>VLOOKUP($A158,'Data Vlaue (Cr)'!$C:$FB,99)</f>
        <v>908</v>
      </c>
      <c r="I158" s="75">
        <f>VLOOKUP($A158,'Data Vlaue (Cr)'!$C:$FB,100)</f>
        <v>860</v>
      </c>
      <c r="J158" s="75">
        <f t="shared" si="14"/>
        <v>48</v>
      </c>
      <c r="K158" s="75">
        <f t="shared" si="15"/>
        <v>5.286343612334802</v>
      </c>
      <c r="L158" s="75">
        <f>VLOOKUP($A158,'Data Vlaue (Cr)'!$C:$FB,67)</f>
        <v>791</v>
      </c>
      <c r="M158" s="75">
        <f>VLOOKUP($A158,'Data Vlaue (Cr)'!$C:$FB,68)</f>
        <v>457</v>
      </c>
      <c r="N158" s="75">
        <f t="shared" si="16"/>
        <v>334</v>
      </c>
      <c r="O158" s="75">
        <f t="shared" si="17"/>
        <v>42.225031605562577</v>
      </c>
      <c r="P158" s="75">
        <f>VLOOKUP($A158,'Data Vlaue (Cr)'!$C:$FB,119)</f>
        <v>0.71</v>
      </c>
      <c r="Q158" s="75">
        <f>VLOOKUP($A158,'Data Vlaue (Cr)'!$C:$FB,122)*100</f>
        <v>31.480000000000004</v>
      </c>
      <c r="R158" s="75">
        <f>VLOOKUP($A158,'Data Vlaue (Cr)'!$C:$FB,125)</f>
        <v>1.26</v>
      </c>
      <c r="S158" s="75">
        <f>VLOOKUP($A158,'Data Vlaue (Cr)'!$C:$FB,128)*100</f>
        <v>207.32</v>
      </c>
    </row>
    <row r="159" spans="1:19" x14ac:dyDescent="0.25">
      <c r="A159" s="96" t="str">
        <f>'Data Vlaue (Cr)'!C150</f>
        <v>ONGC</v>
      </c>
      <c r="B159" s="75">
        <f>VLOOKUP($A159,'Data Vlaue (Cr)'!$C:$FB,2)</f>
        <v>2250</v>
      </c>
      <c r="C159" s="75">
        <f>VLOOKUP($A159,'Data Vlaue (Cr)'!$C:$FB,8)</f>
        <v>239.06</v>
      </c>
      <c r="D159" s="75">
        <f>VLOOKUP($A159,'Data Vlaue (Cr)'!$C:$FB,4)</f>
        <v>239.56</v>
      </c>
      <c r="E159" s="75">
        <f>VLOOKUP($A159,'Data Vlaue (Cr)'!$C:$FB,5)</f>
        <v>242.44</v>
      </c>
      <c r="F159" s="75">
        <f t="shared" si="12"/>
        <v>0.5</v>
      </c>
      <c r="G159" s="75">
        <f t="shared" si="13"/>
        <v>-1.2022040407413572</v>
      </c>
      <c r="H159" s="75">
        <f>VLOOKUP($A159,'Data Vlaue (Cr)'!$C:$FB,99)</f>
        <v>5071</v>
      </c>
      <c r="I159" s="75">
        <f>VLOOKUP($A159,'Data Vlaue (Cr)'!$C:$FB,100)</f>
        <v>5258</v>
      </c>
      <c r="J159" s="75">
        <f t="shared" si="14"/>
        <v>-187</v>
      </c>
      <c r="K159" s="75">
        <f t="shared" si="15"/>
        <v>-3.68763557483731</v>
      </c>
      <c r="L159" s="75">
        <f>VLOOKUP($A159,'Data Vlaue (Cr)'!$C:$FB,67)</f>
        <v>2209</v>
      </c>
      <c r="M159" s="75">
        <f>VLOOKUP($A159,'Data Vlaue (Cr)'!$C:$FB,68)</f>
        <v>3441</v>
      </c>
      <c r="N159" s="75">
        <f t="shared" si="16"/>
        <v>-1232</v>
      </c>
      <c r="O159" s="75">
        <f t="shared" si="17"/>
        <v>-55.771842462652785</v>
      </c>
      <c r="P159" s="75">
        <f>VLOOKUP($A159,'Data Vlaue (Cr)'!$C:$FB,119)</f>
        <v>0.38</v>
      </c>
      <c r="Q159" s="75">
        <f>VLOOKUP($A159,'Data Vlaue (Cr)'!$C:$FB,122)*100</f>
        <v>-13.639999999999999</v>
      </c>
      <c r="R159" s="75">
        <f>VLOOKUP($A159,'Data Vlaue (Cr)'!$C:$FB,125)</f>
        <v>0.8</v>
      </c>
      <c r="S159" s="75">
        <f>VLOOKUP($A159,'Data Vlaue (Cr)'!$C:$FB,128)*100</f>
        <v>63.27</v>
      </c>
    </row>
    <row r="160" spans="1:19" x14ac:dyDescent="0.25">
      <c r="A160" s="96" t="str">
        <f>'Data Vlaue (Cr)'!C151</f>
        <v>PAGEIND</v>
      </c>
      <c r="B160" s="75">
        <f>VLOOKUP($A160,'Data Vlaue (Cr)'!$C:$FB,2)</f>
        <v>15</v>
      </c>
      <c r="C160" s="75">
        <f>VLOOKUP($A160,'Data Vlaue (Cr)'!$C:$FB,8)</f>
        <v>35380</v>
      </c>
      <c r="D160" s="75">
        <f>VLOOKUP($A160,'Data Vlaue (Cr)'!$C:$FB,4)</f>
        <v>35565</v>
      </c>
      <c r="E160" s="75">
        <f>VLOOKUP($A160,'Data Vlaue (Cr)'!$C:$FB,5)</f>
        <v>35485</v>
      </c>
      <c r="F160" s="75">
        <f t="shared" si="12"/>
        <v>185</v>
      </c>
      <c r="G160" s="75">
        <f t="shared" si="13"/>
        <v>0.2249402502460284</v>
      </c>
      <c r="H160" s="75">
        <f>VLOOKUP($A160,'Data Vlaue (Cr)'!$C:$FB,99)</f>
        <v>1290</v>
      </c>
      <c r="I160" s="75">
        <f>VLOOKUP($A160,'Data Vlaue (Cr)'!$C:$FB,100)</f>
        <v>1287</v>
      </c>
      <c r="J160" s="75">
        <f t="shared" si="14"/>
        <v>3</v>
      </c>
      <c r="K160" s="75">
        <f t="shared" si="15"/>
        <v>0.23255813953488372</v>
      </c>
      <c r="L160" s="75">
        <f>VLOOKUP($A160,'Data Vlaue (Cr)'!$C:$FB,67)</f>
        <v>528</v>
      </c>
      <c r="M160" s="75">
        <f>VLOOKUP($A160,'Data Vlaue (Cr)'!$C:$FB,68)</f>
        <v>676</v>
      </c>
      <c r="N160" s="75">
        <f t="shared" si="16"/>
        <v>-148</v>
      </c>
      <c r="O160" s="75">
        <f t="shared" si="17"/>
        <v>-28.030303030303028</v>
      </c>
      <c r="P160" s="75">
        <f>VLOOKUP($A160,'Data Vlaue (Cr)'!$C:$FB,119)</f>
        <v>0.53</v>
      </c>
      <c r="Q160" s="75">
        <f>VLOOKUP($A160,'Data Vlaue (Cr)'!$C:$FB,122)*100</f>
        <v>10.42</v>
      </c>
      <c r="R160" s="75">
        <f>VLOOKUP($A160,'Data Vlaue (Cr)'!$C:$FB,125)</f>
        <v>0.22</v>
      </c>
      <c r="S160" s="75">
        <f>VLOOKUP($A160,'Data Vlaue (Cr)'!$C:$FB,128)*100</f>
        <v>-47.620000000000005</v>
      </c>
    </row>
    <row r="161" spans="1:19" x14ac:dyDescent="0.25">
      <c r="A161" s="96" t="str">
        <f>'Data Vlaue (Cr)'!C152</f>
        <v>PATANJALI</v>
      </c>
      <c r="B161" s="75">
        <f>VLOOKUP($A161,'Data Vlaue (Cr)'!$C:$FB,2)</f>
        <v>900</v>
      </c>
      <c r="C161" s="75">
        <f>VLOOKUP($A161,'Data Vlaue (Cr)'!$C:$FB,8)</f>
        <v>576.45000000000005</v>
      </c>
      <c r="D161" s="75">
        <f>VLOOKUP($A161,'Data Vlaue (Cr)'!$C:$FB,4)</f>
        <v>578.75</v>
      </c>
      <c r="E161" s="75">
        <f>VLOOKUP($A161,'Data Vlaue (Cr)'!$C:$FB,5)</f>
        <v>575.65</v>
      </c>
      <c r="F161" s="75">
        <f t="shared" si="12"/>
        <v>2.2999999999999545</v>
      </c>
      <c r="G161" s="75">
        <f t="shared" si="13"/>
        <v>0.53563714902808168</v>
      </c>
      <c r="H161" s="75">
        <f>VLOOKUP($A161,'Data Vlaue (Cr)'!$C:$FB,99)</f>
        <v>2813</v>
      </c>
      <c r="I161" s="75">
        <f>VLOOKUP($A161,'Data Vlaue (Cr)'!$C:$FB,100)</f>
        <v>2784</v>
      </c>
      <c r="J161" s="75">
        <f t="shared" si="14"/>
        <v>29</v>
      </c>
      <c r="K161" s="75">
        <f t="shared" si="15"/>
        <v>1.0309278350515463</v>
      </c>
      <c r="L161" s="75">
        <f>VLOOKUP($A161,'Data Vlaue (Cr)'!$C:$FB,67)</f>
        <v>719</v>
      </c>
      <c r="M161" s="75">
        <f>VLOOKUP($A161,'Data Vlaue (Cr)'!$C:$FB,68)</f>
        <v>908</v>
      </c>
      <c r="N161" s="75">
        <f t="shared" si="16"/>
        <v>-189</v>
      </c>
      <c r="O161" s="75">
        <f t="shared" si="17"/>
        <v>-26.286509040333794</v>
      </c>
      <c r="P161" s="75">
        <f>VLOOKUP($A161,'Data Vlaue (Cr)'!$C:$FB,119)</f>
        <v>0.61</v>
      </c>
      <c r="Q161" s="75">
        <f>VLOOKUP($A161,'Data Vlaue (Cr)'!$C:$FB,122)*100</f>
        <v>3.39</v>
      </c>
      <c r="R161" s="75">
        <f>VLOOKUP($A161,'Data Vlaue (Cr)'!$C:$FB,125)</f>
        <v>0.44</v>
      </c>
      <c r="S161" s="75">
        <f>VLOOKUP($A161,'Data Vlaue (Cr)'!$C:$FB,128)*100</f>
        <v>-6.38</v>
      </c>
    </row>
    <row r="162" spans="1:19" x14ac:dyDescent="0.25">
      <c r="A162" s="96" t="str">
        <f>'Data Vlaue (Cr)'!C153</f>
        <v>PAYTM</v>
      </c>
      <c r="B162" s="75">
        <f>VLOOKUP($A162,'Data Vlaue (Cr)'!$C:$FB,2)</f>
        <v>725</v>
      </c>
      <c r="C162" s="75">
        <f>VLOOKUP($A162,'Data Vlaue (Cr)'!$C:$FB,8)</f>
        <v>1318.8</v>
      </c>
      <c r="D162" s="75">
        <f>VLOOKUP($A162,'Data Vlaue (Cr)'!$C:$FB,4)</f>
        <v>1325.4</v>
      </c>
      <c r="E162" s="75">
        <f>VLOOKUP($A162,'Data Vlaue (Cr)'!$C:$FB,5)</f>
        <v>1335.1</v>
      </c>
      <c r="F162" s="75">
        <f t="shared" si="12"/>
        <v>6.6000000000001364</v>
      </c>
      <c r="G162" s="75">
        <f t="shared" si="13"/>
        <v>-0.73185453448014315</v>
      </c>
      <c r="H162" s="75">
        <f>VLOOKUP($A162,'Data Vlaue (Cr)'!$C:$FB,99)</f>
        <v>3277</v>
      </c>
      <c r="I162" s="75">
        <f>VLOOKUP($A162,'Data Vlaue (Cr)'!$C:$FB,100)</f>
        <v>3182</v>
      </c>
      <c r="J162" s="75">
        <f t="shared" si="14"/>
        <v>95</v>
      </c>
      <c r="K162" s="75">
        <f t="shared" si="15"/>
        <v>2.8989929813854136</v>
      </c>
      <c r="L162" s="75">
        <f>VLOOKUP($A162,'Data Vlaue (Cr)'!$C:$FB,67)</f>
        <v>1185</v>
      </c>
      <c r="M162" s="75">
        <f>VLOOKUP($A162,'Data Vlaue (Cr)'!$C:$FB,68)</f>
        <v>1054</v>
      </c>
      <c r="N162" s="75">
        <f t="shared" si="16"/>
        <v>131</v>
      </c>
      <c r="O162" s="75">
        <f t="shared" si="17"/>
        <v>11.054852320675106</v>
      </c>
      <c r="P162" s="75">
        <f>VLOOKUP($A162,'Data Vlaue (Cr)'!$C:$FB,119)</f>
        <v>0.63</v>
      </c>
      <c r="Q162" s="75">
        <f>VLOOKUP($A162,'Data Vlaue (Cr)'!$C:$FB,122)*100</f>
        <v>-8.6999999999999993</v>
      </c>
      <c r="R162" s="75">
        <f>VLOOKUP($A162,'Data Vlaue (Cr)'!$C:$FB,125)</f>
        <v>0.5</v>
      </c>
      <c r="S162" s="75">
        <f>VLOOKUP($A162,'Data Vlaue (Cr)'!$C:$FB,128)*100</f>
        <v>-15.25</v>
      </c>
    </row>
    <row r="163" spans="1:19" x14ac:dyDescent="0.25">
      <c r="A163" s="96" t="str">
        <f>'Data Vlaue (Cr)'!C154</f>
        <v>PERSISTENT</v>
      </c>
      <c r="B163" s="75">
        <f>VLOOKUP($A163,'Data Vlaue (Cr)'!$C:$FB,2)</f>
        <v>100</v>
      </c>
      <c r="C163" s="75">
        <f>VLOOKUP($A163,'Data Vlaue (Cr)'!$C:$FB,8)</f>
        <v>6513.5</v>
      </c>
      <c r="D163" s="75">
        <f>VLOOKUP($A163,'Data Vlaue (Cr)'!$C:$FB,4)</f>
        <v>6539</v>
      </c>
      <c r="E163" s="75">
        <f>VLOOKUP($A163,'Data Vlaue (Cr)'!$C:$FB,5)</f>
        <v>6253</v>
      </c>
      <c r="F163" s="75">
        <f t="shared" si="12"/>
        <v>25.5</v>
      </c>
      <c r="G163" s="75">
        <f t="shared" si="13"/>
        <v>4.3737574552683895</v>
      </c>
      <c r="H163" s="75">
        <f>VLOOKUP($A163,'Data Vlaue (Cr)'!$C:$FB,99)</f>
        <v>2258</v>
      </c>
      <c r="I163" s="75">
        <f>VLOOKUP($A163,'Data Vlaue (Cr)'!$C:$FB,100)</f>
        <v>2118</v>
      </c>
      <c r="J163" s="75">
        <f t="shared" si="14"/>
        <v>140</v>
      </c>
      <c r="K163" s="75">
        <f t="shared" si="15"/>
        <v>6.2001771479185122</v>
      </c>
      <c r="L163" s="75">
        <f>VLOOKUP($A163,'Data Vlaue (Cr)'!$C:$FB,67)</f>
        <v>4460</v>
      </c>
      <c r="M163" s="75">
        <f>VLOOKUP($A163,'Data Vlaue (Cr)'!$C:$FB,68)</f>
        <v>939</v>
      </c>
      <c r="N163" s="75">
        <f t="shared" si="16"/>
        <v>3521</v>
      </c>
      <c r="O163" s="75">
        <f t="shared" si="17"/>
        <v>78.946188340807183</v>
      </c>
      <c r="P163" s="75">
        <f>VLOOKUP($A163,'Data Vlaue (Cr)'!$C:$FB,119)</f>
        <v>0.85</v>
      </c>
      <c r="Q163" s="75">
        <f>VLOOKUP($A163,'Data Vlaue (Cr)'!$C:$FB,122)*100</f>
        <v>28.79</v>
      </c>
      <c r="R163" s="75">
        <f>VLOOKUP($A163,'Data Vlaue (Cr)'!$C:$FB,125)</f>
        <v>0.35</v>
      </c>
      <c r="S163" s="75">
        <f>VLOOKUP($A163,'Data Vlaue (Cr)'!$C:$FB,128)*100</f>
        <v>2.94</v>
      </c>
    </row>
    <row r="164" spans="1:19" x14ac:dyDescent="0.25">
      <c r="A164" s="96" t="str">
        <f>'Data Vlaue (Cr)'!C155</f>
        <v>PETRONET</v>
      </c>
      <c r="B164" s="75">
        <f>VLOOKUP($A164,'Data Vlaue (Cr)'!$C:$FB,2)</f>
        <v>1900</v>
      </c>
      <c r="C164" s="75">
        <f>VLOOKUP($A164,'Data Vlaue (Cr)'!$C:$FB,8)</f>
        <v>294.35000000000002</v>
      </c>
      <c r="D164" s="75">
        <f>VLOOKUP($A164,'Data Vlaue (Cr)'!$C:$FB,4)</f>
        <v>294.75</v>
      </c>
      <c r="E164" s="75">
        <f>VLOOKUP($A164,'Data Vlaue (Cr)'!$C:$FB,5)</f>
        <v>296.05</v>
      </c>
      <c r="F164" s="75">
        <f t="shared" si="12"/>
        <v>0.39999999999997726</v>
      </c>
      <c r="G164" s="75">
        <f t="shared" si="13"/>
        <v>-0.44105173876166626</v>
      </c>
      <c r="H164" s="75">
        <f>VLOOKUP($A164,'Data Vlaue (Cr)'!$C:$FB,99)</f>
        <v>2267</v>
      </c>
      <c r="I164" s="75">
        <f>VLOOKUP($A164,'Data Vlaue (Cr)'!$C:$FB,100)</f>
        <v>2330</v>
      </c>
      <c r="J164" s="75">
        <f t="shared" si="14"/>
        <v>-63</v>
      </c>
      <c r="K164" s="75">
        <f t="shared" si="15"/>
        <v>-2.7790030877812089</v>
      </c>
      <c r="L164" s="75">
        <f>VLOOKUP($A164,'Data Vlaue (Cr)'!$C:$FB,67)</f>
        <v>926</v>
      </c>
      <c r="M164" s="75">
        <f>VLOOKUP($A164,'Data Vlaue (Cr)'!$C:$FB,68)</f>
        <v>1423</v>
      </c>
      <c r="N164" s="75">
        <f t="shared" si="16"/>
        <v>-497</v>
      </c>
      <c r="O164" s="75">
        <f t="shared" si="17"/>
        <v>-53.671706263498919</v>
      </c>
      <c r="P164" s="75">
        <f>VLOOKUP($A164,'Data Vlaue (Cr)'!$C:$FB,119)</f>
        <v>1.4</v>
      </c>
      <c r="Q164" s="75">
        <f>VLOOKUP($A164,'Data Vlaue (Cr)'!$C:$FB,122)*100</f>
        <v>0</v>
      </c>
      <c r="R164" s="75">
        <f>VLOOKUP($A164,'Data Vlaue (Cr)'!$C:$FB,125)</f>
        <v>0.32</v>
      </c>
      <c r="S164" s="75">
        <f>VLOOKUP($A164,'Data Vlaue (Cr)'!$C:$FB,128)*100</f>
        <v>18.52</v>
      </c>
    </row>
    <row r="165" spans="1:19" x14ac:dyDescent="0.25">
      <c r="A165" s="96" t="str">
        <f>'Data Vlaue (Cr)'!C156</f>
        <v>PFC</v>
      </c>
      <c r="B165" s="75">
        <f>VLOOKUP($A165,'Data Vlaue (Cr)'!$C:$FB,2)</f>
        <v>1300</v>
      </c>
      <c r="C165" s="75">
        <f>VLOOKUP($A165,'Data Vlaue (Cr)'!$C:$FB,8)</f>
        <v>376.95</v>
      </c>
      <c r="D165" s="75">
        <f>VLOOKUP($A165,'Data Vlaue (Cr)'!$C:$FB,4)</f>
        <v>378.7</v>
      </c>
      <c r="E165" s="75">
        <f>VLOOKUP($A165,'Data Vlaue (Cr)'!$C:$FB,5)</f>
        <v>377.65</v>
      </c>
      <c r="F165" s="75">
        <f t="shared" si="12"/>
        <v>1.75</v>
      </c>
      <c r="G165" s="75">
        <f t="shared" si="13"/>
        <v>0.27726432532347806</v>
      </c>
      <c r="H165" s="75">
        <f>VLOOKUP($A165,'Data Vlaue (Cr)'!$C:$FB,99)</f>
        <v>5553</v>
      </c>
      <c r="I165" s="75">
        <f>VLOOKUP($A165,'Data Vlaue (Cr)'!$C:$FB,100)</f>
        <v>5482</v>
      </c>
      <c r="J165" s="75">
        <f t="shared" si="14"/>
        <v>71</v>
      </c>
      <c r="K165" s="75">
        <f t="shared" si="15"/>
        <v>1.2785881505492527</v>
      </c>
      <c r="L165" s="75">
        <f>VLOOKUP($A165,'Data Vlaue (Cr)'!$C:$FB,67)</f>
        <v>1767</v>
      </c>
      <c r="M165" s="75">
        <f>VLOOKUP($A165,'Data Vlaue (Cr)'!$C:$FB,68)</f>
        <v>2883</v>
      </c>
      <c r="N165" s="75">
        <f t="shared" si="16"/>
        <v>-1116</v>
      </c>
      <c r="O165" s="75">
        <f t="shared" si="17"/>
        <v>-63.157894736842103</v>
      </c>
      <c r="P165" s="75">
        <f>VLOOKUP($A165,'Data Vlaue (Cr)'!$C:$FB,119)</f>
        <v>0.75</v>
      </c>
      <c r="Q165" s="75">
        <f>VLOOKUP($A165,'Data Vlaue (Cr)'!$C:$FB,122)*100</f>
        <v>0</v>
      </c>
      <c r="R165" s="75">
        <f>VLOOKUP($A165,'Data Vlaue (Cr)'!$C:$FB,125)</f>
        <v>0.42</v>
      </c>
      <c r="S165" s="75">
        <f>VLOOKUP($A165,'Data Vlaue (Cr)'!$C:$FB,128)*100</f>
        <v>31.25</v>
      </c>
    </row>
    <row r="166" spans="1:19" x14ac:dyDescent="0.25">
      <c r="A166" s="96" t="str">
        <f>'Data Vlaue (Cr)'!C157</f>
        <v>PGEL</v>
      </c>
      <c r="B166" s="75">
        <f>VLOOKUP($A166,'Data Vlaue (Cr)'!$C:$FB,2)</f>
        <v>950</v>
      </c>
      <c r="C166" s="75">
        <f>VLOOKUP($A166,'Data Vlaue (Cr)'!$C:$FB,8)</f>
        <v>622.4</v>
      </c>
      <c r="D166" s="75">
        <f>VLOOKUP($A166,'Data Vlaue (Cr)'!$C:$FB,4)</f>
        <v>623.9</v>
      </c>
      <c r="E166" s="75">
        <f>VLOOKUP($A166,'Data Vlaue (Cr)'!$C:$FB,5)</f>
        <v>629.25</v>
      </c>
      <c r="F166" s="75">
        <f t="shared" si="12"/>
        <v>1.5</v>
      </c>
      <c r="G166" s="75">
        <f t="shared" si="13"/>
        <v>-0.85750921622055176</v>
      </c>
      <c r="H166" s="75">
        <f>VLOOKUP($A166,'Data Vlaue (Cr)'!$C:$FB,99)</f>
        <v>1432</v>
      </c>
      <c r="I166" s="75">
        <f>VLOOKUP($A166,'Data Vlaue (Cr)'!$C:$FB,100)</f>
        <v>1450</v>
      </c>
      <c r="J166" s="75">
        <f t="shared" si="14"/>
        <v>-18</v>
      </c>
      <c r="K166" s="75">
        <f t="shared" si="15"/>
        <v>-1.2569832402234637</v>
      </c>
      <c r="L166" s="75">
        <f>VLOOKUP($A166,'Data Vlaue (Cr)'!$C:$FB,67)</f>
        <v>777</v>
      </c>
      <c r="M166" s="75">
        <f>VLOOKUP($A166,'Data Vlaue (Cr)'!$C:$FB,68)</f>
        <v>1212</v>
      </c>
      <c r="N166" s="75">
        <f t="shared" si="16"/>
        <v>-435</v>
      </c>
      <c r="O166" s="75">
        <f t="shared" si="17"/>
        <v>-55.984555984555982</v>
      </c>
      <c r="P166" s="75">
        <f>VLOOKUP($A166,'Data Vlaue (Cr)'!$C:$FB,119)</f>
        <v>0.67</v>
      </c>
      <c r="Q166" s="75">
        <f>VLOOKUP($A166,'Data Vlaue (Cr)'!$C:$FB,122)*100</f>
        <v>-6.94</v>
      </c>
      <c r="R166" s="75">
        <f>VLOOKUP($A166,'Data Vlaue (Cr)'!$C:$FB,125)</f>
        <v>0.33</v>
      </c>
      <c r="S166" s="75">
        <f>VLOOKUP($A166,'Data Vlaue (Cr)'!$C:$FB,128)*100</f>
        <v>-29.79</v>
      </c>
    </row>
    <row r="167" spans="1:19" x14ac:dyDescent="0.25">
      <c r="A167" s="96" t="str">
        <f>'Data Vlaue (Cr)'!C158</f>
        <v>PHOENIXLTD</v>
      </c>
      <c r="B167" s="75">
        <f>VLOOKUP($A167,'Data Vlaue (Cr)'!$C:$FB,2)</f>
        <v>350</v>
      </c>
      <c r="C167" s="75">
        <f>VLOOKUP($A167,'Data Vlaue (Cr)'!$C:$FB,8)</f>
        <v>1942.6</v>
      </c>
      <c r="D167" s="75">
        <f>VLOOKUP($A167,'Data Vlaue (Cr)'!$C:$FB,4)</f>
        <v>1946.3</v>
      </c>
      <c r="E167" s="75">
        <f>VLOOKUP($A167,'Data Vlaue (Cr)'!$C:$FB,5)</f>
        <v>1958.2</v>
      </c>
      <c r="F167" s="75">
        <f t="shared" si="12"/>
        <v>3.7000000000000455</v>
      </c>
      <c r="G167" s="75">
        <f t="shared" si="13"/>
        <v>-0.61141653393619133</v>
      </c>
      <c r="H167" s="75">
        <f>VLOOKUP($A167,'Data Vlaue (Cr)'!$C:$FB,99)</f>
        <v>962</v>
      </c>
      <c r="I167" s="75">
        <f>VLOOKUP($A167,'Data Vlaue (Cr)'!$C:$FB,100)</f>
        <v>902</v>
      </c>
      <c r="J167" s="75">
        <f t="shared" si="14"/>
        <v>60</v>
      </c>
      <c r="K167" s="75">
        <f t="shared" si="15"/>
        <v>6.2370062370062378</v>
      </c>
      <c r="L167" s="75">
        <f>VLOOKUP($A167,'Data Vlaue (Cr)'!$C:$FB,67)</f>
        <v>282</v>
      </c>
      <c r="M167" s="75">
        <f>VLOOKUP($A167,'Data Vlaue (Cr)'!$C:$FB,68)</f>
        <v>581</v>
      </c>
      <c r="N167" s="75">
        <f t="shared" si="16"/>
        <v>-299</v>
      </c>
      <c r="O167" s="75">
        <f t="shared" si="17"/>
        <v>-106.02836879432624</v>
      </c>
      <c r="P167" s="75">
        <f>VLOOKUP($A167,'Data Vlaue (Cr)'!$C:$FB,119)</f>
        <v>0.77</v>
      </c>
      <c r="Q167" s="75">
        <f>VLOOKUP($A167,'Data Vlaue (Cr)'!$C:$FB,122)*100</f>
        <v>-3.75</v>
      </c>
      <c r="R167" s="75">
        <f>VLOOKUP($A167,'Data Vlaue (Cr)'!$C:$FB,125)</f>
        <v>0.64</v>
      </c>
      <c r="S167" s="75">
        <f>VLOOKUP($A167,'Data Vlaue (Cr)'!$C:$FB,128)*100</f>
        <v>-20.990000000000002</v>
      </c>
    </row>
    <row r="168" spans="1:19" x14ac:dyDescent="0.25">
      <c r="A168" s="96" t="str">
        <f>'Data Vlaue (Cr)'!C159</f>
        <v>PIDILITIND</v>
      </c>
      <c r="B168" s="75">
        <f>VLOOKUP($A168,'Data Vlaue (Cr)'!$C:$FB,2)</f>
        <v>500</v>
      </c>
      <c r="C168" s="75">
        <f>VLOOKUP($A168,'Data Vlaue (Cr)'!$C:$FB,8)</f>
        <v>1514.8</v>
      </c>
      <c r="D168" s="75">
        <f>VLOOKUP($A168,'Data Vlaue (Cr)'!$C:$FB,4)</f>
        <v>1518.1</v>
      </c>
      <c r="E168" s="75">
        <f>VLOOKUP($A168,'Data Vlaue (Cr)'!$C:$FB,5)</f>
        <v>1508.9</v>
      </c>
      <c r="F168" s="75">
        <f t="shared" si="12"/>
        <v>3.2999999999999545</v>
      </c>
      <c r="G168" s="75">
        <f t="shared" si="13"/>
        <v>0.60602068374941165</v>
      </c>
      <c r="H168" s="75">
        <f>VLOOKUP($A168,'Data Vlaue (Cr)'!$C:$FB,99)</f>
        <v>1480</v>
      </c>
      <c r="I168" s="75">
        <f>VLOOKUP($A168,'Data Vlaue (Cr)'!$C:$FB,100)</f>
        <v>1474</v>
      </c>
      <c r="J168" s="75">
        <f t="shared" si="14"/>
        <v>6</v>
      </c>
      <c r="K168" s="75">
        <f t="shared" si="15"/>
        <v>0.40540540540540543</v>
      </c>
      <c r="L168" s="75">
        <f>VLOOKUP($A168,'Data Vlaue (Cr)'!$C:$FB,67)</f>
        <v>497</v>
      </c>
      <c r="M168" s="75">
        <f>VLOOKUP($A168,'Data Vlaue (Cr)'!$C:$FB,68)</f>
        <v>381</v>
      </c>
      <c r="N168" s="75">
        <f t="shared" si="16"/>
        <v>116</v>
      </c>
      <c r="O168" s="75">
        <f t="shared" si="17"/>
        <v>23.340040241448694</v>
      </c>
      <c r="P168" s="75">
        <f>VLOOKUP($A168,'Data Vlaue (Cr)'!$C:$FB,119)</f>
        <v>0.98</v>
      </c>
      <c r="Q168" s="75">
        <f>VLOOKUP($A168,'Data Vlaue (Cr)'!$C:$FB,122)*100</f>
        <v>1.03</v>
      </c>
      <c r="R168" s="75">
        <f>VLOOKUP($A168,'Data Vlaue (Cr)'!$C:$FB,125)</f>
        <v>0.23</v>
      </c>
      <c r="S168" s="75">
        <f>VLOOKUP($A168,'Data Vlaue (Cr)'!$C:$FB,128)*100</f>
        <v>-43.9</v>
      </c>
    </row>
    <row r="169" spans="1:19" x14ac:dyDescent="0.25">
      <c r="A169" s="96" t="str">
        <f>'Data Vlaue (Cr)'!C160</f>
        <v>PIIND</v>
      </c>
      <c r="B169" s="75">
        <f>VLOOKUP($A169,'Data Vlaue (Cr)'!$C:$FB,2)</f>
        <v>175</v>
      </c>
      <c r="C169" s="75">
        <f>VLOOKUP($A169,'Data Vlaue (Cr)'!$C:$FB,8)</f>
        <v>3283.8</v>
      </c>
      <c r="D169" s="75">
        <f>VLOOKUP($A169,'Data Vlaue (Cr)'!$C:$FB,4)</f>
        <v>3301.7</v>
      </c>
      <c r="E169" s="75">
        <f>VLOOKUP($A169,'Data Vlaue (Cr)'!$C:$FB,5)</f>
        <v>3274.9</v>
      </c>
      <c r="F169" s="75">
        <f t="shared" si="12"/>
        <v>17.899999999999636</v>
      </c>
      <c r="G169" s="75">
        <f t="shared" si="13"/>
        <v>0.81170306205893117</v>
      </c>
      <c r="H169" s="75">
        <f>VLOOKUP($A169,'Data Vlaue (Cr)'!$C:$FB,99)</f>
        <v>1116</v>
      </c>
      <c r="I169" s="75">
        <f>VLOOKUP($A169,'Data Vlaue (Cr)'!$C:$FB,100)</f>
        <v>1118</v>
      </c>
      <c r="J169" s="75">
        <f t="shared" si="14"/>
        <v>-2</v>
      </c>
      <c r="K169" s="75">
        <f t="shared" si="15"/>
        <v>-0.17921146953405018</v>
      </c>
      <c r="L169" s="75">
        <f>VLOOKUP($A169,'Data Vlaue (Cr)'!$C:$FB,67)</f>
        <v>556</v>
      </c>
      <c r="M169" s="75">
        <f>VLOOKUP($A169,'Data Vlaue (Cr)'!$C:$FB,68)</f>
        <v>579</v>
      </c>
      <c r="N169" s="75">
        <f t="shared" si="16"/>
        <v>-23</v>
      </c>
      <c r="O169" s="75">
        <f t="shared" si="17"/>
        <v>-4.1366906474820144</v>
      </c>
      <c r="P169" s="75">
        <f>VLOOKUP($A169,'Data Vlaue (Cr)'!$C:$FB,119)</f>
        <v>0.74</v>
      </c>
      <c r="Q169" s="75">
        <f>VLOOKUP($A169,'Data Vlaue (Cr)'!$C:$FB,122)*100</f>
        <v>4.2299999999999995</v>
      </c>
      <c r="R169" s="75">
        <f>VLOOKUP($A169,'Data Vlaue (Cr)'!$C:$FB,125)</f>
        <v>0.18</v>
      </c>
      <c r="S169" s="75">
        <f>VLOOKUP($A169,'Data Vlaue (Cr)'!$C:$FB,128)*100</f>
        <v>-14.29</v>
      </c>
    </row>
    <row r="170" spans="1:19" x14ac:dyDescent="0.25">
      <c r="A170" s="96" t="str">
        <f>'Data Vlaue (Cr)'!C161</f>
        <v>PNB</v>
      </c>
      <c r="B170" s="75">
        <f>VLOOKUP($A170,'Data Vlaue (Cr)'!$C:$FB,2)</f>
        <v>8000</v>
      </c>
      <c r="C170" s="75">
        <f>VLOOKUP($A170,'Data Vlaue (Cr)'!$C:$FB,8)</f>
        <v>125.68</v>
      </c>
      <c r="D170" s="75">
        <f>VLOOKUP($A170,'Data Vlaue (Cr)'!$C:$FB,4)</f>
        <v>126.03</v>
      </c>
      <c r="E170" s="75">
        <f>VLOOKUP($A170,'Data Vlaue (Cr)'!$C:$FB,5)</f>
        <v>125.79</v>
      </c>
      <c r="F170" s="75">
        <f t="shared" si="12"/>
        <v>0.34999999999999432</v>
      </c>
      <c r="G170" s="75">
        <f t="shared" si="13"/>
        <v>0.19043084979766317</v>
      </c>
      <c r="H170" s="75">
        <f>VLOOKUP($A170,'Data Vlaue (Cr)'!$C:$FB,99)</f>
        <v>4885</v>
      </c>
      <c r="I170" s="75">
        <f>VLOOKUP($A170,'Data Vlaue (Cr)'!$C:$FB,100)</f>
        <v>4786</v>
      </c>
      <c r="J170" s="75">
        <f t="shared" si="14"/>
        <v>99</v>
      </c>
      <c r="K170" s="75">
        <f t="shared" si="15"/>
        <v>2.0266120777891503</v>
      </c>
      <c r="L170" s="75">
        <f>VLOOKUP($A170,'Data Vlaue (Cr)'!$C:$FB,67)</f>
        <v>1902</v>
      </c>
      <c r="M170" s="75">
        <f>VLOOKUP($A170,'Data Vlaue (Cr)'!$C:$FB,68)</f>
        <v>1495</v>
      </c>
      <c r="N170" s="75">
        <f t="shared" si="16"/>
        <v>407</v>
      </c>
      <c r="O170" s="75">
        <f t="shared" si="17"/>
        <v>21.398527865404837</v>
      </c>
      <c r="P170" s="75">
        <f>VLOOKUP($A170,'Data Vlaue (Cr)'!$C:$FB,119)</f>
        <v>0.96</v>
      </c>
      <c r="Q170" s="75">
        <f>VLOOKUP($A170,'Data Vlaue (Cr)'!$C:$FB,122)*100</f>
        <v>1.05</v>
      </c>
      <c r="R170" s="75">
        <f>VLOOKUP($A170,'Data Vlaue (Cr)'!$C:$FB,125)</f>
        <v>0.81</v>
      </c>
      <c r="S170" s="75">
        <f>VLOOKUP($A170,'Data Vlaue (Cr)'!$C:$FB,128)*100</f>
        <v>32.79</v>
      </c>
    </row>
    <row r="171" spans="1:19" x14ac:dyDescent="0.25">
      <c r="A171" s="96" t="str">
        <f>'Data Vlaue (Cr)'!C162</f>
        <v>PNBHOUSING</v>
      </c>
      <c r="B171" s="75">
        <f>VLOOKUP($A171,'Data Vlaue (Cr)'!$C:$FB,2)</f>
        <v>650</v>
      </c>
      <c r="C171" s="75">
        <f>VLOOKUP($A171,'Data Vlaue (Cr)'!$C:$FB,8)</f>
        <v>1004.4</v>
      </c>
      <c r="D171" s="75">
        <f>VLOOKUP($A171,'Data Vlaue (Cr)'!$C:$FB,4)</f>
        <v>1006.5</v>
      </c>
      <c r="E171" s="75">
        <f>VLOOKUP($A171,'Data Vlaue (Cr)'!$C:$FB,5)</f>
        <v>1011</v>
      </c>
      <c r="F171" s="75">
        <f t="shared" si="12"/>
        <v>2.1000000000000227</v>
      </c>
      <c r="G171" s="75">
        <f t="shared" si="13"/>
        <v>-0.44709388971684055</v>
      </c>
      <c r="H171" s="75">
        <f>VLOOKUP($A171,'Data Vlaue (Cr)'!$C:$FB,99)</f>
        <v>1980</v>
      </c>
      <c r="I171" s="75">
        <f>VLOOKUP($A171,'Data Vlaue (Cr)'!$C:$FB,100)</f>
        <v>1977</v>
      </c>
      <c r="J171" s="75">
        <f t="shared" si="14"/>
        <v>3</v>
      </c>
      <c r="K171" s="75">
        <f t="shared" si="15"/>
        <v>0.15151515151515152</v>
      </c>
      <c r="L171" s="75">
        <f>VLOOKUP($A171,'Data Vlaue (Cr)'!$C:$FB,67)</f>
        <v>613</v>
      </c>
      <c r="M171" s="75">
        <f>VLOOKUP($A171,'Data Vlaue (Cr)'!$C:$FB,68)</f>
        <v>363</v>
      </c>
      <c r="N171" s="75">
        <f t="shared" si="16"/>
        <v>250</v>
      </c>
      <c r="O171" s="75">
        <f t="shared" si="17"/>
        <v>40.783034257748781</v>
      </c>
      <c r="P171" s="75">
        <f>VLOOKUP($A171,'Data Vlaue (Cr)'!$C:$FB,119)</f>
        <v>0.69</v>
      </c>
      <c r="Q171" s="75">
        <f>VLOOKUP($A171,'Data Vlaue (Cr)'!$C:$FB,122)*100</f>
        <v>-11.540000000000001</v>
      </c>
      <c r="R171" s="75">
        <f>VLOOKUP($A171,'Data Vlaue (Cr)'!$C:$FB,125)</f>
        <v>0.64</v>
      </c>
      <c r="S171" s="75">
        <f>VLOOKUP($A171,'Data Vlaue (Cr)'!$C:$FB,128)*100</f>
        <v>60</v>
      </c>
    </row>
    <row r="172" spans="1:19" x14ac:dyDescent="0.25">
      <c r="A172" s="96" t="str">
        <f>'Data Vlaue (Cr)'!C163</f>
        <v>POLICYBZR</v>
      </c>
      <c r="B172" s="75">
        <f>VLOOKUP($A172,'Data Vlaue (Cr)'!$C:$FB,2)</f>
        <v>350</v>
      </c>
      <c r="C172" s="75">
        <f>VLOOKUP($A172,'Data Vlaue (Cr)'!$C:$FB,8)</f>
        <v>1719.5</v>
      </c>
      <c r="D172" s="75">
        <f>VLOOKUP($A172,'Data Vlaue (Cr)'!$C:$FB,4)</f>
        <v>1726.4</v>
      </c>
      <c r="E172" s="75">
        <f>VLOOKUP($A172,'Data Vlaue (Cr)'!$C:$FB,5)</f>
        <v>1748.8</v>
      </c>
      <c r="F172" s="75">
        <f t="shared" si="12"/>
        <v>6.9000000000000909</v>
      </c>
      <c r="G172" s="75">
        <f t="shared" si="13"/>
        <v>-1.2974976830398437</v>
      </c>
      <c r="H172" s="75">
        <f>VLOOKUP($A172,'Data Vlaue (Cr)'!$C:$FB,99)</f>
        <v>1754</v>
      </c>
      <c r="I172" s="75">
        <f>VLOOKUP($A172,'Data Vlaue (Cr)'!$C:$FB,100)</f>
        <v>1660</v>
      </c>
      <c r="J172" s="75">
        <f t="shared" si="14"/>
        <v>94</v>
      </c>
      <c r="K172" s="75">
        <f t="shared" si="15"/>
        <v>5.3591790193842641</v>
      </c>
      <c r="L172" s="75">
        <f>VLOOKUP($A172,'Data Vlaue (Cr)'!$C:$FB,67)</f>
        <v>902</v>
      </c>
      <c r="M172" s="75">
        <f>VLOOKUP($A172,'Data Vlaue (Cr)'!$C:$FB,68)</f>
        <v>869</v>
      </c>
      <c r="N172" s="75">
        <f t="shared" si="16"/>
        <v>33</v>
      </c>
      <c r="O172" s="75">
        <f t="shared" si="17"/>
        <v>3.6585365853658534</v>
      </c>
      <c r="P172" s="75">
        <f>VLOOKUP($A172,'Data Vlaue (Cr)'!$C:$FB,119)</f>
        <v>0.56999999999999995</v>
      </c>
      <c r="Q172" s="75">
        <f>VLOOKUP($A172,'Data Vlaue (Cr)'!$C:$FB,122)*100</f>
        <v>-8.06</v>
      </c>
      <c r="R172" s="75">
        <f>VLOOKUP($A172,'Data Vlaue (Cr)'!$C:$FB,125)</f>
        <v>0.64</v>
      </c>
      <c r="S172" s="75">
        <f>VLOOKUP($A172,'Data Vlaue (Cr)'!$C:$FB,128)*100</f>
        <v>52.38</v>
      </c>
    </row>
    <row r="173" spans="1:19" x14ac:dyDescent="0.25">
      <c r="A173" s="96" t="str">
        <f>'Data Vlaue (Cr)'!C164</f>
        <v>POLYCAB</v>
      </c>
      <c r="B173" s="75">
        <f>VLOOKUP($A173,'Data Vlaue (Cr)'!$C:$FB,2)</f>
        <v>125</v>
      </c>
      <c r="C173" s="75">
        <f>VLOOKUP($A173,'Data Vlaue (Cr)'!$C:$FB,8)</f>
        <v>7897</v>
      </c>
      <c r="D173" s="75">
        <f>VLOOKUP($A173,'Data Vlaue (Cr)'!$C:$FB,4)</f>
        <v>7936.5</v>
      </c>
      <c r="E173" s="75">
        <f>VLOOKUP($A173,'Data Vlaue (Cr)'!$C:$FB,5)</f>
        <v>7836</v>
      </c>
      <c r="F173" s="75">
        <f t="shared" si="12"/>
        <v>39.5</v>
      </c>
      <c r="G173" s="75">
        <f t="shared" si="13"/>
        <v>1.2663012663012663</v>
      </c>
      <c r="H173" s="75">
        <f>VLOOKUP($A173,'Data Vlaue (Cr)'!$C:$FB,99)</f>
        <v>3563</v>
      </c>
      <c r="I173" s="75">
        <f>VLOOKUP($A173,'Data Vlaue (Cr)'!$C:$FB,100)</f>
        <v>3259</v>
      </c>
      <c r="J173" s="75">
        <f t="shared" si="14"/>
        <v>304</v>
      </c>
      <c r="K173" s="75">
        <f t="shared" si="15"/>
        <v>8.5321358405837788</v>
      </c>
      <c r="L173" s="75">
        <f>VLOOKUP($A173,'Data Vlaue (Cr)'!$C:$FB,67)</f>
        <v>3601</v>
      </c>
      <c r="M173" s="75">
        <f>VLOOKUP($A173,'Data Vlaue (Cr)'!$C:$FB,68)</f>
        <v>2010</v>
      </c>
      <c r="N173" s="75">
        <f t="shared" si="16"/>
        <v>1591</v>
      </c>
      <c r="O173" s="75">
        <f t="shared" si="17"/>
        <v>44.182171618994722</v>
      </c>
      <c r="P173" s="75">
        <f>VLOOKUP($A173,'Data Vlaue (Cr)'!$C:$FB,119)</f>
        <v>0.68</v>
      </c>
      <c r="Q173" s="75">
        <f>VLOOKUP($A173,'Data Vlaue (Cr)'!$C:$FB,122)*100</f>
        <v>-21.84</v>
      </c>
      <c r="R173" s="75">
        <f>VLOOKUP($A173,'Data Vlaue (Cr)'!$C:$FB,125)</f>
        <v>0.34</v>
      </c>
      <c r="S173" s="75">
        <f>VLOOKUP($A173,'Data Vlaue (Cr)'!$C:$FB,128)*100</f>
        <v>-26.090000000000003</v>
      </c>
    </row>
    <row r="174" spans="1:19" x14ac:dyDescent="0.25">
      <c r="A174" s="96" t="str">
        <f>'Data Vlaue (Cr)'!C165</f>
        <v>POWERGRID</v>
      </c>
      <c r="B174" s="75">
        <f>VLOOKUP($A174,'Data Vlaue (Cr)'!$C:$FB,2)</f>
        <v>1900</v>
      </c>
      <c r="C174" s="75">
        <f>VLOOKUP($A174,'Data Vlaue (Cr)'!$C:$FB,8)</f>
        <v>264.10000000000002</v>
      </c>
      <c r="D174" s="75">
        <f>VLOOKUP($A174,'Data Vlaue (Cr)'!$C:$FB,4)</f>
        <v>265.39999999999998</v>
      </c>
      <c r="E174" s="75">
        <f>VLOOKUP($A174,'Data Vlaue (Cr)'!$C:$FB,5)</f>
        <v>269.85000000000002</v>
      </c>
      <c r="F174" s="75">
        <f t="shared" si="12"/>
        <v>1.2999999999999545</v>
      </c>
      <c r="G174" s="75">
        <f t="shared" si="13"/>
        <v>-1.6767143933685176</v>
      </c>
      <c r="H174" s="75">
        <f>VLOOKUP($A174,'Data Vlaue (Cr)'!$C:$FB,99)</f>
        <v>4171</v>
      </c>
      <c r="I174" s="75">
        <f>VLOOKUP($A174,'Data Vlaue (Cr)'!$C:$FB,100)</f>
        <v>3889</v>
      </c>
      <c r="J174" s="75">
        <f t="shared" si="14"/>
        <v>282</v>
      </c>
      <c r="K174" s="75">
        <f t="shared" si="15"/>
        <v>6.7609685926636303</v>
      </c>
      <c r="L174" s="75">
        <f>VLOOKUP($A174,'Data Vlaue (Cr)'!$C:$FB,67)</f>
        <v>1335</v>
      </c>
      <c r="M174" s="75">
        <f>VLOOKUP($A174,'Data Vlaue (Cr)'!$C:$FB,68)</f>
        <v>1372</v>
      </c>
      <c r="N174" s="75">
        <f t="shared" si="16"/>
        <v>-37</v>
      </c>
      <c r="O174" s="75">
        <f t="shared" si="17"/>
        <v>-2.7715355805243447</v>
      </c>
      <c r="P174" s="75">
        <f>VLOOKUP($A174,'Data Vlaue (Cr)'!$C:$FB,119)</f>
        <v>0.63</v>
      </c>
      <c r="Q174" s="75">
        <f>VLOOKUP($A174,'Data Vlaue (Cr)'!$C:$FB,122)*100</f>
        <v>-4.55</v>
      </c>
      <c r="R174" s="75">
        <f>VLOOKUP($A174,'Data Vlaue (Cr)'!$C:$FB,125)</f>
        <v>0.4</v>
      </c>
      <c r="S174" s="75">
        <f>VLOOKUP($A174,'Data Vlaue (Cr)'!$C:$FB,128)*100</f>
        <v>25</v>
      </c>
    </row>
    <row r="175" spans="1:19" x14ac:dyDescent="0.25">
      <c r="A175" s="96" t="str">
        <f>'Data Vlaue (Cr)'!C166</f>
        <v>POWERINDIA</v>
      </c>
      <c r="B175" s="75">
        <f>VLOOKUP($A175,'Data Vlaue (Cr)'!$C:$FB,2)</f>
        <v>50</v>
      </c>
      <c r="C175" s="75">
        <f>VLOOKUP($A175,'Data Vlaue (Cr)'!$C:$FB,8)</f>
        <v>19582</v>
      </c>
      <c r="D175" s="75">
        <f>VLOOKUP($A175,'Data Vlaue (Cr)'!$C:$FB,4)</f>
        <v>19628</v>
      </c>
      <c r="E175" s="75">
        <f>VLOOKUP($A175,'Data Vlaue (Cr)'!$C:$FB,5)</f>
        <v>18867</v>
      </c>
      <c r="F175" s="75">
        <f t="shared" si="12"/>
        <v>46</v>
      </c>
      <c r="G175" s="75">
        <f t="shared" si="13"/>
        <v>3.8771143264723862</v>
      </c>
      <c r="H175" s="75">
        <f>VLOOKUP($A175,'Data Vlaue (Cr)'!$C:$FB,99)</f>
        <v>898</v>
      </c>
      <c r="I175" s="75">
        <f>VLOOKUP($A175,'Data Vlaue (Cr)'!$C:$FB,100)</f>
        <v>755</v>
      </c>
      <c r="J175" s="75">
        <f t="shared" si="14"/>
        <v>143</v>
      </c>
      <c r="K175" s="75">
        <f t="shared" si="15"/>
        <v>15.924276169265033</v>
      </c>
      <c r="L175" s="75">
        <f>VLOOKUP($A175,'Data Vlaue (Cr)'!$C:$FB,67)</f>
        <v>3321</v>
      </c>
      <c r="M175" s="75">
        <f>VLOOKUP($A175,'Data Vlaue (Cr)'!$C:$FB,68)</f>
        <v>425</v>
      </c>
      <c r="N175" s="75">
        <f t="shared" si="16"/>
        <v>2896</v>
      </c>
      <c r="O175" s="75">
        <f t="shared" si="17"/>
        <v>87.202649804275822</v>
      </c>
      <c r="P175" s="75">
        <f>VLOOKUP($A175,'Data Vlaue (Cr)'!$C:$FB,119)</f>
        <v>0.49</v>
      </c>
      <c r="Q175" s="75">
        <f>VLOOKUP($A175,'Data Vlaue (Cr)'!$C:$FB,122)*100</f>
        <v>0</v>
      </c>
      <c r="R175" s="75">
        <f>VLOOKUP($A175,'Data Vlaue (Cr)'!$C:$FB,125)</f>
        <v>0.18</v>
      </c>
      <c r="S175" s="75">
        <f>VLOOKUP($A175,'Data Vlaue (Cr)'!$C:$FB,128)*100</f>
        <v>-57.14</v>
      </c>
    </row>
    <row r="176" spans="1:19" x14ac:dyDescent="0.25">
      <c r="A176" s="96" t="str">
        <f>'Data Vlaue (Cr)'!C167</f>
        <v>PPLPHARMA</v>
      </c>
      <c r="B176" s="75">
        <f>VLOOKUP($A176,'Data Vlaue (Cr)'!$C:$FB,2)</f>
        <v>2625</v>
      </c>
      <c r="C176" s="75">
        <f>VLOOKUP($A176,'Data Vlaue (Cr)'!$C:$FB,8)</f>
        <v>180.81</v>
      </c>
      <c r="D176" s="75">
        <f>VLOOKUP($A176,'Data Vlaue (Cr)'!$C:$FB,4)</f>
        <v>181.82</v>
      </c>
      <c r="E176" s="75">
        <f>VLOOKUP($A176,'Data Vlaue (Cr)'!$C:$FB,5)</f>
        <v>180.88</v>
      </c>
      <c r="F176" s="75">
        <f t="shared" si="12"/>
        <v>1.0099999999999909</v>
      </c>
      <c r="G176" s="75">
        <f t="shared" si="13"/>
        <v>0.51699483005169822</v>
      </c>
      <c r="H176" s="75">
        <f>VLOOKUP($A176,'Data Vlaue (Cr)'!$C:$FB,99)</f>
        <v>798</v>
      </c>
      <c r="I176" s="75">
        <f>VLOOKUP($A176,'Data Vlaue (Cr)'!$C:$FB,100)</f>
        <v>746</v>
      </c>
      <c r="J176" s="75">
        <f t="shared" si="14"/>
        <v>52</v>
      </c>
      <c r="K176" s="75">
        <f t="shared" si="15"/>
        <v>6.5162907268170418</v>
      </c>
      <c r="L176" s="75">
        <f>VLOOKUP($A176,'Data Vlaue (Cr)'!$C:$FB,67)</f>
        <v>890</v>
      </c>
      <c r="M176" s="75">
        <f>VLOOKUP($A176,'Data Vlaue (Cr)'!$C:$FB,68)</f>
        <v>308</v>
      </c>
      <c r="N176" s="75">
        <f t="shared" si="16"/>
        <v>582</v>
      </c>
      <c r="O176" s="75">
        <f t="shared" si="17"/>
        <v>65.393258426966298</v>
      </c>
      <c r="P176" s="75">
        <f>VLOOKUP($A176,'Data Vlaue (Cr)'!$C:$FB,119)</f>
        <v>0.57999999999999996</v>
      </c>
      <c r="Q176" s="75">
        <f>VLOOKUP($A176,'Data Vlaue (Cr)'!$C:$FB,122)*100</f>
        <v>-7.9399999999999995</v>
      </c>
      <c r="R176" s="75">
        <f>VLOOKUP($A176,'Data Vlaue (Cr)'!$C:$FB,125)</f>
        <v>0.17</v>
      </c>
      <c r="S176" s="75">
        <f>VLOOKUP($A176,'Data Vlaue (Cr)'!$C:$FB,128)*100</f>
        <v>-57.499999999999993</v>
      </c>
    </row>
    <row r="177" spans="1:19" x14ac:dyDescent="0.25">
      <c r="A177" s="96" t="str">
        <f>'Data Vlaue (Cr)'!C168</f>
        <v>PREMIERENE</v>
      </c>
      <c r="B177" s="75">
        <f>VLOOKUP($A177,'Data Vlaue (Cr)'!$C:$FB,2)</f>
        <v>575</v>
      </c>
      <c r="C177" s="75">
        <f>VLOOKUP($A177,'Data Vlaue (Cr)'!$C:$FB,8)</f>
        <v>752.05</v>
      </c>
      <c r="D177" s="75">
        <f>VLOOKUP($A177,'Data Vlaue (Cr)'!$C:$FB,4)</f>
        <v>755.55</v>
      </c>
      <c r="E177" s="75">
        <f>VLOOKUP($A177,'Data Vlaue (Cr)'!$C:$FB,5)</f>
        <v>763.75</v>
      </c>
      <c r="F177" s="75">
        <f t="shared" ref="F177:F185" si="18">D177-C177</f>
        <v>3.5</v>
      </c>
      <c r="G177" s="75">
        <f t="shared" ref="G177:G185" si="19">(D177-E177)/D177*100</f>
        <v>-1.0853020978095489</v>
      </c>
      <c r="H177" s="75">
        <f>VLOOKUP($A177,'Data Vlaue (Cr)'!$C:$FB,99)</f>
        <v>754</v>
      </c>
      <c r="I177" s="75">
        <f>VLOOKUP($A177,'Data Vlaue (Cr)'!$C:$FB,100)</f>
        <v>635</v>
      </c>
      <c r="J177" s="75">
        <f t="shared" ref="J177:J185" si="20">H177-I177</f>
        <v>119</v>
      </c>
      <c r="K177" s="75">
        <f t="shared" ref="K177:K185" si="21">J177/H177*100</f>
        <v>15.782493368700266</v>
      </c>
      <c r="L177" s="75">
        <f>VLOOKUP($A177,'Data Vlaue (Cr)'!$C:$FB,67)</f>
        <v>551</v>
      </c>
      <c r="M177" s="75">
        <f>VLOOKUP($A177,'Data Vlaue (Cr)'!$C:$FB,68)</f>
        <v>1135</v>
      </c>
      <c r="N177" s="75">
        <f t="shared" ref="N177:N185" si="22">L177-M177</f>
        <v>-584</v>
      </c>
      <c r="O177" s="75">
        <f t="shared" ref="O177:O185" si="23">N177/L177*100</f>
        <v>-105.98911070780399</v>
      </c>
      <c r="P177" s="75">
        <f>VLOOKUP($A177,'Data Vlaue (Cr)'!$C:$FB,119)</f>
        <v>0.69</v>
      </c>
      <c r="Q177" s="75">
        <f>VLOOKUP($A177,'Data Vlaue (Cr)'!$C:$FB,122)*100</f>
        <v>-11.540000000000001</v>
      </c>
      <c r="R177" s="75">
        <f>VLOOKUP($A177,'Data Vlaue (Cr)'!$C:$FB,125)</f>
        <v>0.56999999999999995</v>
      </c>
      <c r="S177" s="75">
        <f>VLOOKUP($A177,'Data Vlaue (Cr)'!$C:$FB,128)*100</f>
        <v>-58.989999999999995</v>
      </c>
    </row>
    <row r="178" spans="1:19" x14ac:dyDescent="0.25">
      <c r="A178" s="96" t="str">
        <f>'Data Vlaue (Cr)'!C169</f>
        <v>PRESTIGE</v>
      </c>
      <c r="B178" s="75">
        <f>VLOOKUP($A178,'Data Vlaue (Cr)'!$C:$FB,2)</f>
        <v>450</v>
      </c>
      <c r="C178" s="75">
        <f>VLOOKUP($A178,'Data Vlaue (Cr)'!$C:$FB,8)</f>
        <v>1619.5</v>
      </c>
      <c r="D178" s="75">
        <f>VLOOKUP($A178,'Data Vlaue (Cr)'!$C:$FB,4)</f>
        <v>1623.8</v>
      </c>
      <c r="E178" s="75">
        <f>VLOOKUP($A178,'Data Vlaue (Cr)'!$C:$FB,5)</f>
        <v>1662.2</v>
      </c>
      <c r="F178" s="75">
        <f t="shared" si="18"/>
        <v>4.2999999999999545</v>
      </c>
      <c r="G178" s="75">
        <f t="shared" si="19"/>
        <v>-2.3648232540953376</v>
      </c>
      <c r="H178" s="75">
        <f>VLOOKUP($A178,'Data Vlaue (Cr)'!$C:$FB,99)</f>
        <v>1042</v>
      </c>
      <c r="I178" s="75">
        <f>VLOOKUP($A178,'Data Vlaue (Cr)'!$C:$FB,100)</f>
        <v>938</v>
      </c>
      <c r="J178" s="75">
        <f t="shared" si="20"/>
        <v>104</v>
      </c>
      <c r="K178" s="75">
        <f t="shared" si="21"/>
        <v>9.9808061420345489</v>
      </c>
      <c r="L178" s="75">
        <f>VLOOKUP($A178,'Data Vlaue (Cr)'!$C:$FB,67)</f>
        <v>705</v>
      </c>
      <c r="M178" s="75">
        <f>VLOOKUP($A178,'Data Vlaue (Cr)'!$C:$FB,68)</f>
        <v>456</v>
      </c>
      <c r="N178" s="75">
        <f t="shared" si="22"/>
        <v>249</v>
      </c>
      <c r="O178" s="75">
        <f t="shared" si="23"/>
        <v>35.319148936170215</v>
      </c>
      <c r="P178" s="75">
        <f>VLOOKUP($A178,'Data Vlaue (Cr)'!$C:$FB,119)</f>
        <v>0.63</v>
      </c>
      <c r="Q178" s="75">
        <f>VLOOKUP($A178,'Data Vlaue (Cr)'!$C:$FB,122)*100</f>
        <v>-25</v>
      </c>
      <c r="R178" s="75">
        <f>VLOOKUP($A178,'Data Vlaue (Cr)'!$C:$FB,125)</f>
        <v>0.49</v>
      </c>
      <c r="S178" s="75">
        <f>VLOOKUP($A178,'Data Vlaue (Cr)'!$C:$FB,128)*100</f>
        <v>44.12</v>
      </c>
    </row>
    <row r="179" spans="1:19" x14ac:dyDescent="0.25">
      <c r="A179" s="96" t="str">
        <f>'Data Vlaue (Cr)'!C170</f>
        <v>RBLBANK</v>
      </c>
      <c r="B179" s="75">
        <f>VLOOKUP($A179,'Data Vlaue (Cr)'!$C:$FB,2)</f>
        <v>3175</v>
      </c>
      <c r="C179" s="75">
        <f>VLOOKUP($A179,'Data Vlaue (Cr)'!$C:$FB,8)</f>
        <v>318.64999999999998</v>
      </c>
      <c r="D179" s="75">
        <f>VLOOKUP($A179,'Data Vlaue (Cr)'!$C:$FB,4)</f>
        <v>319.3</v>
      </c>
      <c r="E179" s="75">
        <f>VLOOKUP($A179,'Data Vlaue (Cr)'!$C:$FB,5)</f>
        <v>320.89999999999998</v>
      </c>
      <c r="F179" s="75">
        <f t="shared" si="18"/>
        <v>0.65000000000003411</v>
      </c>
      <c r="G179" s="75">
        <f t="shared" si="19"/>
        <v>-0.50109614782335288</v>
      </c>
      <c r="H179" s="75">
        <f>VLOOKUP($A179,'Data Vlaue (Cr)'!$C:$FB,99)</f>
        <v>3177</v>
      </c>
      <c r="I179" s="75">
        <f>VLOOKUP($A179,'Data Vlaue (Cr)'!$C:$FB,100)</f>
        <v>3218</v>
      </c>
      <c r="J179" s="75">
        <f t="shared" si="20"/>
        <v>-41</v>
      </c>
      <c r="K179" s="75">
        <f t="shared" si="21"/>
        <v>-1.2905256531318854</v>
      </c>
      <c r="L179" s="75">
        <f>VLOOKUP($A179,'Data Vlaue (Cr)'!$C:$FB,67)</f>
        <v>1164</v>
      </c>
      <c r="M179" s="75">
        <f>VLOOKUP($A179,'Data Vlaue (Cr)'!$C:$FB,68)</f>
        <v>1371</v>
      </c>
      <c r="N179" s="75">
        <f t="shared" si="22"/>
        <v>-207</v>
      </c>
      <c r="O179" s="75">
        <f t="shared" si="23"/>
        <v>-17.783505154639176</v>
      </c>
      <c r="P179" s="75">
        <f>VLOOKUP($A179,'Data Vlaue (Cr)'!$C:$FB,119)</f>
        <v>0.66</v>
      </c>
      <c r="Q179" s="75">
        <f>VLOOKUP($A179,'Data Vlaue (Cr)'!$C:$FB,122)*100</f>
        <v>6.45</v>
      </c>
      <c r="R179" s="75">
        <f>VLOOKUP($A179,'Data Vlaue (Cr)'!$C:$FB,125)</f>
        <v>0.59</v>
      </c>
      <c r="S179" s="75">
        <f>VLOOKUP($A179,'Data Vlaue (Cr)'!$C:$FB,128)*100</f>
        <v>73.53</v>
      </c>
    </row>
    <row r="180" spans="1:19" x14ac:dyDescent="0.25">
      <c r="A180" s="96" t="str">
        <f>'Data Vlaue (Cr)'!C171</f>
        <v>RECLTD</v>
      </c>
      <c r="B180" s="75">
        <f>VLOOKUP($A180,'Data Vlaue (Cr)'!$C:$FB,2)</f>
        <v>1400</v>
      </c>
      <c r="C180" s="75">
        <f>VLOOKUP($A180,'Data Vlaue (Cr)'!$C:$FB,8)</f>
        <v>385.25</v>
      </c>
      <c r="D180" s="75">
        <f>VLOOKUP($A180,'Data Vlaue (Cr)'!$C:$FB,4)</f>
        <v>385.45</v>
      </c>
      <c r="E180" s="75">
        <f>VLOOKUP($A180,'Data Vlaue (Cr)'!$C:$FB,5)</f>
        <v>383.2</v>
      </c>
      <c r="F180" s="75">
        <f t="shared" si="18"/>
        <v>0.19999999999998863</v>
      </c>
      <c r="G180" s="75">
        <f t="shared" si="19"/>
        <v>0.58373329874173052</v>
      </c>
      <c r="H180" s="75">
        <f>VLOOKUP($A180,'Data Vlaue (Cr)'!$C:$FB,99)</f>
        <v>5991</v>
      </c>
      <c r="I180" s="75">
        <f>VLOOKUP($A180,'Data Vlaue (Cr)'!$C:$FB,100)</f>
        <v>5833</v>
      </c>
      <c r="J180" s="75">
        <f t="shared" si="20"/>
        <v>158</v>
      </c>
      <c r="K180" s="75">
        <f t="shared" si="21"/>
        <v>2.6372892672341846</v>
      </c>
      <c r="L180" s="75">
        <f>VLOOKUP($A180,'Data Vlaue (Cr)'!$C:$FB,67)</f>
        <v>3035</v>
      </c>
      <c r="M180" s="75">
        <f>VLOOKUP($A180,'Data Vlaue (Cr)'!$C:$FB,68)</f>
        <v>3968</v>
      </c>
      <c r="N180" s="75">
        <f t="shared" si="22"/>
        <v>-933</v>
      </c>
      <c r="O180" s="75">
        <f t="shared" si="23"/>
        <v>-30.741350906095548</v>
      </c>
      <c r="P180" s="75">
        <f>VLOOKUP($A180,'Data Vlaue (Cr)'!$C:$FB,119)</f>
        <v>0.8</v>
      </c>
      <c r="Q180" s="75">
        <f>VLOOKUP($A180,'Data Vlaue (Cr)'!$C:$FB,122)*100</f>
        <v>6.67</v>
      </c>
      <c r="R180" s="75">
        <f>VLOOKUP($A180,'Data Vlaue (Cr)'!$C:$FB,125)</f>
        <v>0.49</v>
      </c>
      <c r="S180" s="75">
        <f>VLOOKUP($A180,'Data Vlaue (Cr)'!$C:$FB,128)*100</f>
        <v>40</v>
      </c>
    </row>
    <row r="181" spans="1:19" x14ac:dyDescent="0.25">
      <c r="A181" s="96" t="str">
        <f>'Data Vlaue (Cr)'!C172</f>
        <v>RELIANCE</v>
      </c>
      <c r="B181" s="75">
        <f>VLOOKUP($A181,'Data Vlaue (Cr)'!$C:$FB,2)</f>
        <v>500</v>
      </c>
      <c r="C181" s="75">
        <f>VLOOKUP($A181,'Data Vlaue (Cr)'!$C:$FB,8)</f>
        <v>1504.2</v>
      </c>
      <c r="D181" s="75">
        <f>VLOOKUP($A181,'Data Vlaue (Cr)'!$C:$FB,4)</f>
        <v>1511.5</v>
      </c>
      <c r="E181" s="75">
        <f>VLOOKUP($A181,'Data Vlaue (Cr)'!$C:$FB,5)</f>
        <v>1514.1</v>
      </c>
      <c r="F181" s="75">
        <f t="shared" si="18"/>
        <v>7.2999999999999545</v>
      </c>
      <c r="G181" s="75">
        <f t="shared" si="19"/>
        <v>-0.17201455507773133</v>
      </c>
      <c r="H181" s="75">
        <f>VLOOKUP($A181,'Data Vlaue (Cr)'!$C:$FB,99)</f>
        <v>33646</v>
      </c>
      <c r="I181" s="75">
        <f>VLOOKUP($A181,'Data Vlaue (Cr)'!$C:$FB,100)</f>
        <v>32146</v>
      </c>
      <c r="J181" s="75">
        <f t="shared" si="20"/>
        <v>1500</v>
      </c>
      <c r="K181" s="75">
        <f t="shared" si="21"/>
        <v>4.4581822504903998</v>
      </c>
      <c r="L181" s="75">
        <f>VLOOKUP($A181,'Data Vlaue (Cr)'!$C:$FB,67)</f>
        <v>21322</v>
      </c>
      <c r="M181" s="75">
        <f>VLOOKUP($A181,'Data Vlaue (Cr)'!$C:$FB,68)</f>
        <v>64081</v>
      </c>
      <c r="N181" s="75">
        <f t="shared" si="22"/>
        <v>-42759</v>
      </c>
      <c r="O181" s="75">
        <f t="shared" si="23"/>
        <v>-200.53934902917177</v>
      </c>
      <c r="P181" s="75">
        <f>VLOOKUP($A181,'Data Vlaue (Cr)'!$C:$FB,119)</f>
        <v>0.42</v>
      </c>
      <c r="Q181" s="75">
        <f>VLOOKUP($A181,'Data Vlaue (Cr)'!$C:$FB,122)*100</f>
        <v>0</v>
      </c>
      <c r="R181" s="75">
        <f>VLOOKUP($A181,'Data Vlaue (Cr)'!$C:$FB,125)</f>
        <v>0.56999999999999995</v>
      </c>
      <c r="S181" s="75">
        <f>VLOOKUP($A181,'Data Vlaue (Cr)'!$C:$FB,128)*100</f>
        <v>-14.93</v>
      </c>
    </row>
    <row r="182" spans="1:19" x14ac:dyDescent="0.25">
      <c r="A182" s="96" t="str">
        <f>'Data Vlaue (Cr)'!C173</f>
        <v>RVNL</v>
      </c>
      <c r="B182" s="75">
        <f>VLOOKUP($A182,'Data Vlaue (Cr)'!$C:$FB,2)</f>
        <v>1525</v>
      </c>
      <c r="C182" s="75">
        <f>VLOOKUP($A182,'Data Vlaue (Cr)'!$C:$FB,8)</f>
        <v>357.4</v>
      </c>
      <c r="D182" s="75">
        <f>VLOOKUP($A182,'Data Vlaue (Cr)'!$C:$FB,4)</f>
        <v>357.65</v>
      </c>
      <c r="E182" s="75">
        <f>VLOOKUP($A182,'Data Vlaue (Cr)'!$C:$FB,5)</f>
        <v>356.25</v>
      </c>
      <c r="F182" s="75">
        <f t="shared" si="18"/>
        <v>0.25</v>
      </c>
      <c r="G182" s="75">
        <f t="shared" si="19"/>
        <v>0.39144414930797633</v>
      </c>
      <c r="H182" s="75">
        <f>VLOOKUP($A182,'Data Vlaue (Cr)'!$C:$FB,99)</f>
        <v>3854</v>
      </c>
      <c r="I182" s="75">
        <f>VLOOKUP($A182,'Data Vlaue (Cr)'!$C:$FB,100)</f>
        <v>3747</v>
      </c>
      <c r="J182" s="75">
        <f t="shared" si="20"/>
        <v>107</v>
      </c>
      <c r="K182" s="75">
        <f t="shared" si="21"/>
        <v>2.776336274001038</v>
      </c>
      <c r="L182" s="75">
        <f>VLOOKUP($A182,'Data Vlaue (Cr)'!$C:$FB,67)</f>
        <v>1391</v>
      </c>
      <c r="M182" s="75">
        <f>VLOOKUP($A182,'Data Vlaue (Cr)'!$C:$FB,68)</f>
        <v>1589</v>
      </c>
      <c r="N182" s="75">
        <f t="shared" si="22"/>
        <v>-198</v>
      </c>
      <c r="O182" s="75">
        <f t="shared" si="23"/>
        <v>-14.234363767074049</v>
      </c>
      <c r="P182" s="75">
        <f>VLOOKUP($A182,'Data Vlaue (Cr)'!$C:$FB,119)</f>
        <v>0.36</v>
      </c>
      <c r="Q182" s="75">
        <f>VLOOKUP($A182,'Data Vlaue (Cr)'!$C:$FB,122)*100</f>
        <v>2.86</v>
      </c>
      <c r="R182" s="75">
        <f>VLOOKUP($A182,'Data Vlaue (Cr)'!$C:$FB,125)</f>
        <v>0.3</v>
      </c>
      <c r="S182" s="75">
        <f>VLOOKUP($A182,'Data Vlaue (Cr)'!$C:$FB,128)*100</f>
        <v>3.45</v>
      </c>
    </row>
    <row r="183" spans="1:19" x14ac:dyDescent="0.25">
      <c r="A183" s="96" t="str">
        <f>'Data Vlaue (Cr)'!C174</f>
        <v>SAIL</v>
      </c>
      <c r="B183" s="75">
        <f>VLOOKUP($A183,'Data Vlaue (Cr)'!$C:$FB,2)</f>
        <v>4700</v>
      </c>
      <c r="C183" s="75">
        <f>VLOOKUP($A183,'Data Vlaue (Cr)'!$C:$FB,8)</f>
        <v>150.37</v>
      </c>
      <c r="D183" s="75">
        <f>VLOOKUP($A183,'Data Vlaue (Cr)'!$C:$FB,4)</f>
        <v>150.61000000000001</v>
      </c>
      <c r="E183" s="75">
        <f>VLOOKUP($A183,'Data Vlaue (Cr)'!$C:$FB,5)</f>
        <v>147.87</v>
      </c>
      <c r="F183" s="75">
        <f t="shared" si="18"/>
        <v>0.24000000000000909</v>
      </c>
      <c r="G183" s="75">
        <f t="shared" si="19"/>
        <v>1.8192683088772383</v>
      </c>
      <c r="H183" s="75">
        <f>VLOOKUP($A183,'Data Vlaue (Cr)'!$C:$FB,99)</f>
        <v>4208</v>
      </c>
      <c r="I183" s="75">
        <f>VLOOKUP($A183,'Data Vlaue (Cr)'!$C:$FB,100)</f>
        <v>4244</v>
      </c>
      <c r="J183" s="75">
        <f t="shared" si="20"/>
        <v>-36</v>
      </c>
      <c r="K183" s="75">
        <f t="shared" si="21"/>
        <v>-0.85551330798479086</v>
      </c>
      <c r="L183" s="75">
        <f>VLOOKUP($A183,'Data Vlaue (Cr)'!$C:$FB,67)</f>
        <v>59</v>
      </c>
      <c r="M183" s="75">
        <f>VLOOKUP($A183,'Data Vlaue (Cr)'!$C:$FB,68)</f>
        <v>112</v>
      </c>
      <c r="N183" s="75">
        <f t="shared" si="22"/>
        <v>-53</v>
      </c>
      <c r="O183" s="75">
        <f t="shared" si="23"/>
        <v>-89.830508474576277</v>
      </c>
      <c r="P183" s="75">
        <f>VLOOKUP($A183,'Data Vlaue (Cr)'!$C:$FB,119)</f>
        <v>0.77</v>
      </c>
      <c r="Q183" s="75">
        <f>VLOOKUP($A183,'Data Vlaue (Cr)'!$C:$FB,122)*100</f>
        <v>0</v>
      </c>
      <c r="R183" s="75">
        <f>VLOOKUP($A183,'Data Vlaue (Cr)'!$C:$FB,125)</f>
        <v>0.95</v>
      </c>
      <c r="S183" s="75">
        <f>VLOOKUP($A183,'Data Vlaue (Cr)'!$C:$FB,128)*100</f>
        <v>-7.7700000000000005</v>
      </c>
    </row>
    <row r="184" spans="1:19" x14ac:dyDescent="0.25">
      <c r="A184" s="96" t="str">
        <f>'Data Vlaue (Cr)'!C175</f>
        <v>SAMMAANCAP</v>
      </c>
      <c r="B184" s="75">
        <f>VLOOKUP($A184,'Data Vlaue (Cr)'!$C:$FB,2)</f>
        <v>4300</v>
      </c>
      <c r="C184" s="75">
        <f>VLOOKUP($A184,'Data Vlaue (Cr)'!$C:$FB,8)</f>
        <v>149.94999999999999</v>
      </c>
      <c r="D184" s="75">
        <f>VLOOKUP($A184,'Data Vlaue (Cr)'!$C:$FB,4)</f>
        <v>150.74</v>
      </c>
      <c r="E184" s="75">
        <f>VLOOKUP($A184,'Data Vlaue (Cr)'!$C:$FB,5)</f>
        <v>150.51</v>
      </c>
      <c r="F184" s="75">
        <f t="shared" si="18"/>
        <v>0.79000000000002046</v>
      </c>
      <c r="G184" s="75">
        <f t="shared" si="19"/>
        <v>0.15258060236169443</v>
      </c>
      <c r="H184" s="75">
        <f>VLOOKUP($A184,'Data Vlaue (Cr)'!$C:$FB,99)</f>
        <v>2715</v>
      </c>
      <c r="I184" s="75">
        <f>VLOOKUP($A184,'Data Vlaue (Cr)'!$C:$FB,100)</f>
        <v>2727</v>
      </c>
      <c r="J184" s="75">
        <f t="shared" si="20"/>
        <v>-12</v>
      </c>
      <c r="K184" s="75">
        <f t="shared" si="21"/>
        <v>-0.44198895027624313</v>
      </c>
      <c r="L184" s="75">
        <f>VLOOKUP($A184,'Data Vlaue (Cr)'!$C:$FB,67)</f>
        <v>18</v>
      </c>
      <c r="M184" s="75">
        <f>VLOOKUP($A184,'Data Vlaue (Cr)'!$C:$FB,68)</f>
        <v>81</v>
      </c>
      <c r="N184" s="75">
        <f t="shared" si="22"/>
        <v>-63</v>
      </c>
      <c r="O184" s="75">
        <f t="shared" si="23"/>
        <v>-350</v>
      </c>
      <c r="P184" s="75">
        <f>VLOOKUP($A184,'Data Vlaue (Cr)'!$C:$FB,119)</f>
        <v>0.73</v>
      </c>
      <c r="Q184" s="75">
        <f>VLOOKUP($A184,'Data Vlaue (Cr)'!$C:$FB,122)*100</f>
        <v>1.39</v>
      </c>
      <c r="R184" s="75">
        <f>VLOOKUP($A184,'Data Vlaue (Cr)'!$C:$FB,125)</f>
        <v>0.53</v>
      </c>
      <c r="S184" s="75">
        <f>VLOOKUP($A184,'Data Vlaue (Cr)'!$C:$FB,128)*100</f>
        <v>29.270000000000003</v>
      </c>
    </row>
    <row r="185" spans="1:19" x14ac:dyDescent="0.25">
      <c r="A185" s="96" t="str">
        <f>'Data Vlaue (Cr)'!C176</f>
        <v>SBICARD</v>
      </c>
      <c r="B185" s="75">
        <f>VLOOKUP($A185,'Data Vlaue (Cr)'!$C:$FB,2)</f>
        <v>800</v>
      </c>
      <c r="C185" s="75">
        <f>VLOOKUP($A185,'Data Vlaue (Cr)'!$C:$FB,8)</f>
        <v>885.6</v>
      </c>
      <c r="D185" s="75">
        <f>VLOOKUP($A185,'Data Vlaue (Cr)'!$C:$FB,4)</f>
        <v>886.9</v>
      </c>
      <c r="E185" s="75">
        <f>VLOOKUP($A185,'Data Vlaue (Cr)'!$C:$FB,5)</f>
        <v>902.55</v>
      </c>
      <c r="F185" s="75">
        <f t="shared" si="18"/>
        <v>1.2999999999999545</v>
      </c>
      <c r="G185" s="75">
        <f t="shared" si="19"/>
        <v>-1.7645732326079577</v>
      </c>
      <c r="H185" s="75">
        <f>VLOOKUP($A185,'Data Vlaue (Cr)'!$C:$FB,99)</f>
        <v>2335</v>
      </c>
      <c r="I185" s="75">
        <f>VLOOKUP($A185,'Data Vlaue (Cr)'!$C:$FB,100)</f>
        <v>2208</v>
      </c>
      <c r="J185" s="75">
        <f t="shared" si="20"/>
        <v>127</v>
      </c>
      <c r="K185" s="75">
        <f t="shared" si="21"/>
        <v>5.4389721627408996</v>
      </c>
      <c r="L185" s="75">
        <f>VLOOKUP($A185,'Data Vlaue (Cr)'!$C:$FB,67)</f>
        <v>1183</v>
      </c>
      <c r="M185" s="75">
        <f>VLOOKUP($A185,'Data Vlaue (Cr)'!$C:$FB,68)</f>
        <v>2428</v>
      </c>
      <c r="N185" s="75">
        <f t="shared" si="22"/>
        <v>-1245</v>
      </c>
      <c r="O185" s="75">
        <f t="shared" si="23"/>
        <v>-105.24091293322061</v>
      </c>
      <c r="P185" s="75">
        <f>VLOOKUP($A185,'Data Vlaue (Cr)'!$C:$FB,119)</f>
        <v>0.73</v>
      </c>
      <c r="Q185" s="75">
        <f>VLOOKUP($A185,'Data Vlaue (Cr)'!$C:$FB,122)*100</f>
        <v>-7.59</v>
      </c>
      <c r="R185" s="75">
        <f>VLOOKUP($A185,'Data Vlaue (Cr)'!$C:$FB,125)</f>
        <v>0.48</v>
      </c>
      <c r="S185" s="75">
        <f>VLOOKUP($A185,'Data Vlaue (Cr)'!$C:$FB,128)*100</f>
        <v>20</v>
      </c>
    </row>
    <row r="186" spans="1:19" x14ac:dyDescent="0.25">
      <c r="A186" s="96" t="str">
        <f>'Data Vlaue (Cr)'!C177</f>
        <v>SBILIFE</v>
      </c>
      <c r="B186" s="75">
        <f>VLOOKUP($A186,'Data Vlaue (Cr)'!$C:$FB,2)</f>
        <v>375</v>
      </c>
      <c r="C186" s="75">
        <f>VLOOKUP($A186,'Data Vlaue (Cr)'!$C:$FB,8)</f>
        <v>2070.8000000000002</v>
      </c>
      <c r="D186" s="75">
        <f>VLOOKUP($A186,'Data Vlaue (Cr)'!$C:$FB,4)</f>
        <v>2079.1999999999998</v>
      </c>
      <c r="E186" s="75">
        <f>VLOOKUP($A186,'Data Vlaue (Cr)'!$C:$FB,5)</f>
        <v>2101.1</v>
      </c>
      <c r="F186" s="75">
        <f t="shared" ref="F186:F193" si="24">D186-C186</f>
        <v>8.3999999999996362</v>
      </c>
      <c r="G186" s="75">
        <f t="shared" ref="G186:G193" si="25">(D186-E186)/D186*100</f>
        <v>-1.0532897268180115</v>
      </c>
      <c r="H186" s="75">
        <f>VLOOKUP($A186,'Data Vlaue (Cr)'!$C:$FB,99)</f>
        <v>3627</v>
      </c>
      <c r="I186" s="75">
        <f>VLOOKUP($A186,'Data Vlaue (Cr)'!$C:$FB,100)</f>
        <v>3213</v>
      </c>
      <c r="J186" s="75">
        <f t="shared" ref="J186:J193" si="26">H186-I186</f>
        <v>414</v>
      </c>
      <c r="K186" s="75">
        <f t="shared" ref="K186:K193" si="27">J186/H186*100</f>
        <v>11.41439205955335</v>
      </c>
      <c r="L186" s="75">
        <f>VLOOKUP($A186,'Data Vlaue (Cr)'!$C:$FB,67)</f>
        <v>2015</v>
      </c>
      <c r="M186" s="75">
        <f>VLOOKUP($A186,'Data Vlaue (Cr)'!$C:$FB,68)</f>
        <v>1626</v>
      </c>
      <c r="N186" s="75">
        <f t="shared" ref="N186:N193" si="28">L186-M186</f>
        <v>389</v>
      </c>
      <c r="O186" s="75">
        <f t="shared" ref="O186:O193" si="29">N186/L186*100</f>
        <v>19.305210918114142</v>
      </c>
      <c r="P186" s="75">
        <f>VLOOKUP($A186,'Data Vlaue (Cr)'!$C:$FB,119)</f>
        <v>0.37</v>
      </c>
      <c r="Q186" s="75">
        <f>VLOOKUP($A186,'Data Vlaue (Cr)'!$C:$FB,122)*100</f>
        <v>-19.57</v>
      </c>
      <c r="R186" s="75">
        <f>VLOOKUP($A186,'Data Vlaue (Cr)'!$C:$FB,125)</f>
        <v>0.37</v>
      </c>
      <c r="S186" s="75">
        <f>VLOOKUP($A186,'Data Vlaue (Cr)'!$C:$FB,128)*100</f>
        <v>2.78</v>
      </c>
    </row>
    <row r="187" spans="1:19" x14ac:dyDescent="0.25">
      <c r="A187" s="96" t="str">
        <f>'Data Vlaue (Cr)'!C178</f>
        <v>SBIN</v>
      </c>
      <c r="B187" s="75">
        <f>VLOOKUP($A187,'Data Vlaue (Cr)'!$C:$FB,2)</f>
        <v>750</v>
      </c>
      <c r="C187" s="75">
        <f>VLOOKUP($A187,'Data Vlaue (Cr)'!$C:$FB,8)</f>
        <v>1007.15</v>
      </c>
      <c r="D187" s="75">
        <f>VLOOKUP($A187,'Data Vlaue (Cr)'!$C:$FB,4)</f>
        <v>1009.25</v>
      </c>
      <c r="E187" s="75">
        <f>VLOOKUP($A187,'Data Vlaue (Cr)'!$C:$FB,5)</f>
        <v>1021.2</v>
      </c>
      <c r="F187" s="75">
        <f t="shared" si="24"/>
        <v>2.1000000000000227</v>
      </c>
      <c r="G187" s="75">
        <f t="shared" si="25"/>
        <v>-1.184047560069363</v>
      </c>
      <c r="H187" s="75">
        <f>VLOOKUP($A187,'Data Vlaue (Cr)'!$C:$FB,99)</f>
        <v>14122</v>
      </c>
      <c r="I187" s="75">
        <f>VLOOKUP($A187,'Data Vlaue (Cr)'!$C:$FB,100)</f>
        <v>14594</v>
      </c>
      <c r="J187" s="75">
        <f t="shared" si="26"/>
        <v>-472</v>
      </c>
      <c r="K187" s="75">
        <f t="shared" si="27"/>
        <v>-3.3423027899730915</v>
      </c>
      <c r="L187" s="75">
        <f>VLOOKUP($A187,'Data Vlaue (Cr)'!$C:$FB,67)</f>
        <v>13074</v>
      </c>
      <c r="M187" s="75">
        <f>VLOOKUP($A187,'Data Vlaue (Cr)'!$C:$FB,68)</f>
        <v>17137</v>
      </c>
      <c r="N187" s="75">
        <f t="shared" si="28"/>
        <v>-4063</v>
      </c>
      <c r="O187" s="75">
        <f t="shared" si="29"/>
        <v>-31.076946611595535</v>
      </c>
      <c r="P187" s="75">
        <f>VLOOKUP($A187,'Data Vlaue (Cr)'!$C:$FB,119)</f>
        <v>0.69</v>
      </c>
      <c r="Q187" s="75">
        <f>VLOOKUP($A187,'Data Vlaue (Cr)'!$C:$FB,122)*100</f>
        <v>-19.77</v>
      </c>
      <c r="R187" s="75">
        <f>VLOOKUP($A187,'Data Vlaue (Cr)'!$C:$FB,125)</f>
        <v>0.77</v>
      </c>
      <c r="S187" s="75">
        <f>VLOOKUP($A187,'Data Vlaue (Cr)'!$C:$FB,128)*100</f>
        <v>30.509999999999998</v>
      </c>
    </row>
    <row r="188" spans="1:19" x14ac:dyDescent="0.25">
      <c r="A188" s="96" t="str">
        <f>'Data Vlaue (Cr)'!C179</f>
        <v>SHREECEM</v>
      </c>
      <c r="B188" s="75">
        <f>VLOOKUP($A188,'Data Vlaue (Cr)'!$C:$FB,2)</f>
        <v>25</v>
      </c>
      <c r="C188" s="75">
        <f>VLOOKUP($A188,'Data Vlaue (Cr)'!$C:$FB,8)</f>
        <v>27320</v>
      </c>
      <c r="D188" s="75">
        <f>VLOOKUP($A188,'Data Vlaue (Cr)'!$C:$FB,4)</f>
        <v>27455</v>
      </c>
      <c r="E188" s="75">
        <f>VLOOKUP($A188,'Data Vlaue (Cr)'!$C:$FB,5)</f>
        <v>27695</v>
      </c>
      <c r="F188" s="75">
        <f t="shared" si="24"/>
        <v>135</v>
      </c>
      <c r="G188" s="75">
        <f t="shared" si="25"/>
        <v>-0.87415771262065201</v>
      </c>
      <c r="H188" s="75">
        <f>VLOOKUP($A188,'Data Vlaue (Cr)'!$C:$FB,99)</f>
        <v>1084</v>
      </c>
      <c r="I188" s="75">
        <f>VLOOKUP($A188,'Data Vlaue (Cr)'!$C:$FB,100)</f>
        <v>1077</v>
      </c>
      <c r="J188" s="75">
        <f t="shared" si="26"/>
        <v>7</v>
      </c>
      <c r="K188" s="75">
        <f t="shared" si="27"/>
        <v>0.64575645756457567</v>
      </c>
      <c r="L188" s="75">
        <f>VLOOKUP($A188,'Data Vlaue (Cr)'!$C:$FB,67)</f>
        <v>327</v>
      </c>
      <c r="M188" s="75">
        <f>VLOOKUP($A188,'Data Vlaue (Cr)'!$C:$FB,68)</f>
        <v>1123</v>
      </c>
      <c r="N188" s="75">
        <f t="shared" si="28"/>
        <v>-796</v>
      </c>
      <c r="O188" s="75">
        <f t="shared" si="29"/>
        <v>-243.4250764525994</v>
      </c>
      <c r="P188" s="75">
        <f>VLOOKUP($A188,'Data Vlaue (Cr)'!$C:$FB,119)</f>
        <v>0.69</v>
      </c>
      <c r="Q188" s="75">
        <f>VLOOKUP($A188,'Data Vlaue (Cr)'!$C:$FB,122)*100</f>
        <v>-2.82</v>
      </c>
      <c r="R188" s="75">
        <f>VLOOKUP($A188,'Data Vlaue (Cr)'!$C:$FB,125)</f>
        <v>0.77</v>
      </c>
      <c r="S188" s="75">
        <f>VLOOKUP($A188,'Data Vlaue (Cr)'!$C:$FB,128)*100</f>
        <v>79.069999999999993</v>
      </c>
    </row>
    <row r="189" spans="1:19" x14ac:dyDescent="0.25">
      <c r="A189" s="96" t="str">
        <f>'Data Vlaue (Cr)'!C180</f>
        <v>SHRIRAMFIN</v>
      </c>
      <c r="B189" s="75">
        <f>VLOOKUP($A189,'Data Vlaue (Cr)'!$C:$FB,2)</f>
        <v>825</v>
      </c>
      <c r="C189" s="75">
        <f>VLOOKUP($A189,'Data Vlaue (Cr)'!$C:$FB,8)</f>
        <v>995.85</v>
      </c>
      <c r="D189" s="75">
        <f>VLOOKUP($A189,'Data Vlaue (Cr)'!$C:$FB,4)</f>
        <v>1000.8</v>
      </c>
      <c r="E189" s="75">
        <f>VLOOKUP($A189,'Data Vlaue (Cr)'!$C:$FB,5)</f>
        <v>1007</v>
      </c>
      <c r="F189" s="75">
        <f t="shared" si="24"/>
        <v>4.9499999999999318</v>
      </c>
      <c r="G189" s="75">
        <f t="shared" si="25"/>
        <v>-0.6195043964828183</v>
      </c>
      <c r="H189" s="75">
        <f>VLOOKUP($A189,'Data Vlaue (Cr)'!$C:$FB,99)</f>
        <v>7411</v>
      </c>
      <c r="I189" s="75">
        <f>VLOOKUP($A189,'Data Vlaue (Cr)'!$C:$FB,100)</f>
        <v>7412</v>
      </c>
      <c r="J189" s="75">
        <f t="shared" si="26"/>
        <v>-1</v>
      </c>
      <c r="K189" s="75">
        <f t="shared" si="27"/>
        <v>-1.3493455673998112E-2</v>
      </c>
      <c r="L189" s="75">
        <f>VLOOKUP($A189,'Data Vlaue (Cr)'!$C:$FB,67)</f>
        <v>2024</v>
      </c>
      <c r="M189" s="75">
        <f>VLOOKUP($A189,'Data Vlaue (Cr)'!$C:$FB,68)</f>
        <v>2522</v>
      </c>
      <c r="N189" s="75">
        <f t="shared" si="28"/>
        <v>-498</v>
      </c>
      <c r="O189" s="75">
        <f t="shared" si="29"/>
        <v>-24.604743083003953</v>
      </c>
      <c r="P189" s="75">
        <f>VLOOKUP($A189,'Data Vlaue (Cr)'!$C:$FB,119)</f>
        <v>0.88</v>
      </c>
      <c r="Q189" s="75">
        <f>VLOOKUP($A189,'Data Vlaue (Cr)'!$C:$FB,122)*100</f>
        <v>-1.1199999999999999</v>
      </c>
      <c r="R189" s="75">
        <f>VLOOKUP($A189,'Data Vlaue (Cr)'!$C:$FB,125)</f>
        <v>0.61</v>
      </c>
      <c r="S189" s="75">
        <f>VLOOKUP($A189,'Data Vlaue (Cr)'!$C:$FB,128)*100</f>
        <v>0</v>
      </c>
    </row>
    <row r="190" spans="1:19" x14ac:dyDescent="0.25">
      <c r="A190" s="96" t="str">
        <f>'Data Vlaue (Cr)'!C181</f>
        <v>SIEMENS</v>
      </c>
      <c r="B190" s="75">
        <f>VLOOKUP($A190,'Data Vlaue (Cr)'!$C:$FB,2)</f>
        <v>175</v>
      </c>
      <c r="C190" s="75">
        <f>VLOOKUP($A190,'Data Vlaue (Cr)'!$C:$FB,8)</f>
        <v>3133.6</v>
      </c>
      <c r="D190" s="75">
        <f>VLOOKUP($A190,'Data Vlaue (Cr)'!$C:$FB,4)</f>
        <v>3137.9</v>
      </c>
      <c r="E190" s="75">
        <f>VLOOKUP($A190,'Data Vlaue (Cr)'!$C:$FB,5)</f>
        <v>3134.5</v>
      </c>
      <c r="F190" s="75">
        <f t="shared" si="24"/>
        <v>4.3000000000001819</v>
      </c>
      <c r="G190" s="75">
        <f t="shared" si="25"/>
        <v>0.10835271997195867</v>
      </c>
      <c r="H190" s="75">
        <f>VLOOKUP($A190,'Data Vlaue (Cr)'!$C:$FB,99)</f>
        <v>1333</v>
      </c>
      <c r="I190" s="75">
        <f>VLOOKUP($A190,'Data Vlaue (Cr)'!$C:$FB,100)</f>
        <v>1315</v>
      </c>
      <c r="J190" s="75">
        <f t="shared" si="26"/>
        <v>18</v>
      </c>
      <c r="K190" s="75">
        <f t="shared" si="27"/>
        <v>1.350337584396099</v>
      </c>
      <c r="L190" s="75">
        <f>VLOOKUP($A190,'Data Vlaue (Cr)'!$C:$FB,67)</f>
        <v>837</v>
      </c>
      <c r="M190" s="75">
        <f>VLOOKUP($A190,'Data Vlaue (Cr)'!$C:$FB,68)</f>
        <v>971</v>
      </c>
      <c r="N190" s="75">
        <f t="shared" si="28"/>
        <v>-134</v>
      </c>
      <c r="O190" s="75">
        <f t="shared" si="29"/>
        <v>-16.009557945041816</v>
      </c>
      <c r="P190" s="75">
        <f>VLOOKUP($A190,'Data Vlaue (Cr)'!$C:$FB,119)</f>
        <v>0.56000000000000005</v>
      </c>
      <c r="Q190" s="75">
        <f>VLOOKUP($A190,'Data Vlaue (Cr)'!$C:$FB,122)*100</f>
        <v>-6.67</v>
      </c>
      <c r="R190" s="75">
        <f>VLOOKUP($A190,'Data Vlaue (Cr)'!$C:$FB,125)</f>
        <v>0.4</v>
      </c>
      <c r="S190" s="75">
        <f>VLOOKUP($A190,'Data Vlaue (Cr)'!$C:$FB,128)*100</f>
        <v>-2.44</v>
      </c>
    </row>
    <row r="191" spans="1:19" x14ac:dyDescent="0.25">
      <c r="A191" s="96" t="str">
        <f>'Data Vlaue (Cr)'!C182</f>
        <v>SOLARINDS</v>
      </c>
      <c r="B191" s="75">
        <f>VLOOKUP($A191,'Data Vlaue (Cr)'!$C:$FB,2)</f>
        <v>50</v>
      </c>
      <c r="C191" s="75">
        <f>VLOOKUP($A191,'Data Vlaue (Cr)'!$C:$FB,8)</f>
        <v>13328</v>
      </c>
      <c r="D191" s="75">
        <f>VLOOKUP($A191,'Data Vlaue (Cr)'!$C:$FB,4)</f>
        <v>13391</v>
      </c>
      <c r="E191" s="75">
        <f>VLOOKUP($A191,'Data Vlaue (Cr)'!$C:$FB,5)</f>
        <v>12885</v>
      </c>
      <c r="F191" s="75">
        <f t="shared" si="24"/>
        <v>63</v>
      </c>
      <c r="G191" s="75">
        <f t="shared" si="25"/>
        <v>3.7786573071465908</v>
      </c>
      <c r="H191" s="75">
        <f>VLOOKUP($A191,'Data Vlaue (Cr)'!$C:$FB,99)</f>
        <v>2432</v>
      </c>
      <c r="I191" s="75">
        <f>VLOOKUP($A191,'Data Vlaue (Cr)'!$C:$FB,100)</f>
        <v>2404</v>
      </c>
      <c r="J191" s="75">
        <f t="shared" si="26"/>
        <v>28</v>
      </c>
      <c r="K191" s="75">
        <f t="shared" si="27"/>
        <v>1.1513157894736841</v>
      </c>
      <c r="L191" s="75">
        <f>VLOOKUP($A191,'Data Vlaue (Cr)'!$C:$FB,67)</f>
        <v>4183</v>
      </c>
      <c r="M191" s="75">
        <f>VLOOKUP($A191,'Data Vlaue (Cr)'!$C:$FB,68)</f>
        <v>989</v>
      </c>
      <c r="N191" s="75">
        <f t="shared" si="28"/>
        <v>3194</v>
      </c>
      <c r="O191" s="75">
        <f t="shared" si="29"/>
        <v>76.356681807315312</v>
      </c>
      <c r="P191" s="75">
        <f>VLOOKUP($A191,'Data Vlaue (Cr)'!$C:$FB,119)</f>
        <v>0.81</v>
      </c>
      <c r="Q191" s="75">
        <f>VLOOKUP($A191,'Data Vlaue (Cr)'!$C:$FB,122)*100</f>
        <v>24.62</v>
      </c>
      <c r="R191" s="75">
        <f>VLOOKUP($A191,'Data Vlaue (Cr)'!$C:$FB,125)</f>
        <v>0.24</v>
      </c>
      <c r="S191" s="75">
        <f>VLOOKUP($A191,'Data Vlaue (Cr)'!$C:$FB,128)*100</f>
        <v>-35.14</v>
      </c>
    </row>
    <row r="192" spans="1:19" x14ac:dyDescent="0.25">
      <c r="A192" s="96" t="str">
        <f>'Data Vlaue (Cr)'!C183</f>
        <v>SONACOMS</v>
      </c>
      <c r="B192" s="75">
        <f>VLOOKUP($A192,'Data Vlaue (Cr)'!$C:$FB,2)</f>
        <v>1225</v>
      </c>
      <c r="C192" s="75">
        <f>VLOOKUP($A192,'Data Vlaue (Cr)'!$C:$FB,8)</f>
        <v>473.8</v>
      </c>
      <c r="D192" s="75">
        <f>VLOOKUP($A192,'Data Vlaue (Cr)'!$C:$FB,4)</f>
        <v>475.05</v>
      </c>
      <c r="E192" s="75">
        <f>VLOOKUP($A192,'Data Vlaue (Cr)'!$C:$FB,5)</f>
        <v>478.7</v>
      </c>
      <c r="F192" s="75">
        <f t="shared" si="24"/>
        <v>1.25</v>
      </c>
      <c r="G192" s="75">
        <f t="shared" si="25"/>
        <v>-0.76834017471844585</v>
      </c>
      <c r="H192" s="75">
        <f>VLOOKUP($A192,'Data Vlaue (Cr)'!$C:$FB,99)</f>
        <v>942</v>
      </c>
      <c r="I192" s="75">
        <f>VLOOKUP($A192,'Data Vlaue (Cr)'!$C:$FB,100)</f>
        <v>906</v>
      </c>
      <c r="J192" s="75">
        <f t="shared" si="26"/>
        <v>36</v>
      </c>
      <c r="K192" s="75">
        <f t="shared" si="27"/>
        <v>3.8216560509554141</v>
      </c>
      <c r="L192" s="75">
        <f>VLOOKUP($A192,'Data Vlaue (Cr)'!$C:$FB,67)</f>
        <v>229</v>
      </c>
      <c r="M192" s="75">
        <f>VLOOKUP($A192,'Data Vlaue (Cr)'!$C:$FB,68)</f>
        <v>386</v>
      </c>
      <c r="N192" s="75">
        <f t="shared" si="28"/>
        <v>-157</v>
      </c>
      <c r="O192" s="75">
        <f t="shared" si="29"/>
        <v>-68.558951965065503</v>
      </c>
      <c r="P192" s="75">
        <f>VLOOKUP($A192,'Data Vlaue (Cr)'!$C:$FB,119)</f>
        <v>0.62</v>
      </c>
      <c r="Q192" s="75">
        <f>VLOOKUP($A192,'Data Vlaue (Cr)'!$C:$FB,122)*100</f>
        <v>-7.46</v>
      </c>
      <c r="R192" s="75">
        <f>VLOOKUP($A192,'Data Vlaue (Cr)'!$C:$FB,125)</f>
        <v>0.56000000000000005</v>
      </c>
      <c r="S192" s="75">
        <f>VLOOKUP($A192,'Data Vlaue (Cr)'!$C:$FB,128)*100</f>
        <v>1.82</v>
      </c>
    </row>
    <row r="193" spans="1:19" x14ac:dyDescent="0.25">
      <c r="A193" s="96" t="str">
        <f>'Data Vlaue (Cr)'!C215</f>
        <v>ZYDUSLIFE</v>
      </c>
      <c r="B193" s="75">
        <f>VLOOKUP($A193,'Data Vlaue (Cr)'!$C:$FB,2)</f>
        <v>900</v>
      </c>
      <c r="C193" s="75">
        <f>VLOOKUP($A193,'Data Vlaue (Cr)'!$C:$FB,8)</f>
        <v>927.55</v>
      </c>
      <c r="D193" s="75">
        <f>VLOOKUP($A193,'Data Vlaue (Cr)'!$C:$FB,4)</f>
        <v>929.55</v>
      </c>
      <c r="E193" s="75">
        <f>VLOOKUP($A193,'Data Vlaue (Cr)'!$C:$FB,5)</f>
        <v>935.85</v>
      </c>
      <c r="F193" s="75">
        <f t="shared" si="24"/>
        <v>2</v>
      </c>
      <c r="G193" s="75">
        <f t="shared" si="25"/>
        <v>-0.6777472970792392</v>
      </c>
      <c r="H193" s="75">
        <f>VLOOKUP($A193,'Data Vlaue (Cr)'!$C:$FB,99)</f>
        <v>1609</v>
      </c>
      <c r="I193" s="75">
        <f>VLOOKUP($A193,'Data Vlaue (Cr)'!$C:$FB,100)</f>
        <v>1519</v>
      </c>
      <c r="J193" s="75">
        <f t="shared" si="26"/>
        <v>90</v>
      </c>
      <c r="K193" s="75">
        <f t="shared" si="27"/>
        <v>5.5935363579863271</v>
      </c>
      <c r="L193" s="75">
        <f>VLOOKUP($A193,'Data Vlaue (Cr)'!$C:$FB,67)</f>
        <v>1137</v>
      </c>
      <c r="M193" s="75">
        <f>VLOOKUP($A193,'Data Vlaue (Cr)'!$C:$FB,68)</f>
        <v>881</v>
      </c>
      <c r="N193" s="75">
        <f t="shared" si="28"/>
        <v>256</v>
      </c>
      <c r="O193" s="75">
        <f t="shared" si="29"/>
        <v>22.515391380826738</v>
      </c>
      <c r="P193" s="75">
        <f>VLOOKUP($A193,'Data Vlaue (Cr)'!$C:$FB,119)</f>
        <v>0.9</v>
      </c>
      <c r="Q193" s="75">
        <f>VLOOKUP($A193,'Data Vlaue (Cr)'!$C:$FB,122)*100</f>
        <v>16.88</v>
      </c>
      <c r="R193" s="75">
        <f>VLOOKUP($A193,'Data Vlaue (Cr)'!$C:$FB,125)</f>
        <v>0.46</v>
      </c>
      <c r="S193" s="75">
        <f>VLOOKUP($A193,'Data Vlaue (Cr)'!$C:$FB,128)*100</f>
        <v>119.04999999999998</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56"/>
      <c r="B224" s="256"/>
      <c r="C224" s="256"/>
      <c r="D224" s="256"/>
      <c r="E224" s="256"/>
      <c r="F224" s="256"/>
      <c r="G224" s="15"/>
      <c r="H224" s="16"/>
      <c r="I224" s="256"/>
      <c r="J224" s="256"/>
      <c r="K224" s="256"/>
      <c r="L224" s="256"/>
      <c r="M224" s="256"/>
      <c r="N224" s="16"/>
      <c r="O224" s="16"/>
      <c r="P224" s="16"/>
      <c r="Q224" s="256"/>
      <c r="R224" s="256"/>
      <c r="S224" s="256"/>
    </row>
    <row r="225" spans="1:19" x14ac:dyDescent="0.25">
      <c r="A225" s="253" t="s">
        <v>391</v>
      </c>
      <c r="B225" s="254"/>
      <c r="C225" s="254"/>
      <c r="D225" s="254"/>
      <c r="E225" s="254"/>
      <c r="F225" s="255"/>
      <c r="G225" s="18"/>
      <c r="H225" s="18">
        <f>SUM(H11:H223)</f>
        <v>2053027</v>
      </c>
      <c r="I225" s="18">
        <f>SUM(I11:I223)</f>
        <v>2600297</v>
      </c>
      <c r="J225" s="18">
        <f>H225-I225</f>
        <v>-547270</v>
      </c>
      <c r="K225" s="19">
        <f>J225/I225</f>
        <v>-0.21046442002586627</v>
      </c>
      <c r="L225" s="18">
        <f>SUM(L11:L223)</f>
        <v>12391312</v>
      </c>
      <c r="M225" s="18">
        <f>SUM(M11:M223)</f>
        <v>58262028</v>
      </c>
      <c r="N225" s="18">
        <f>L225-M225</f>
        <v>-45870716</v>
      </c>
      <c r="O225" s="19">
        <f>N225/M225</f>
        <v>-0.78731753038188101</v>
      </c>
      <c r="P225" s="253"/>
      <c r="Q225" s="254"/>
      <c r="R225" s="254"/>
      <c r="S225" s="255"/>
    </row>
    <row r="229" spans="1:19" x14ac:dyDescent="0.25">
      <c r="A229" s="249" t="s">
        <v>334</v>
      </c>
      <c r="B229" s="249"/>
      <c r="C229" s="24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8461</v>
      </c>
      <c r="C231" s="146">
        <f>VLOOKUP(B230,'OI(Value)'!A7:G209,7,0)</f>
        <v>-0.1028</v>
      </c>
      <c r="D231" s="9">
        <f>VLOOKUP(D230,'OI(Value)'!A7:E209,5,0)</f>
        <v>41209</v>
      </c>
      <c r="E231" s="147">
        <f>VLOOKUP(D230,'OI(Value)'!A7:G209,7,0)</f>
        <v>4.8999999999999998E-3</v>
      </c>
      <c r="F231" s="9">
        <f>G231-D231-B231</f>
        <v>463703</v>
      </c>
      <c r="G231" s="10">
        <f>'OI(Value)'!E210</f>
        <v>513373</v>
      </c>
      <c r="H231" s="147">
        <f>'OI(Value)'!D217</f>
        <v>1.4648218741538804E-3</v>
      </c>
    </row>
    <row r="232" spans="1:19" x14ac:dyDescent="0.25">
      <c r="A232" s="26" t="s">
        <v>389</v>
      </c>
      <c r="B232" s="9">
        <f>VLOOKUP(B230,'OI(Value)'!A7:H209,8,0)</f>
        <v>78035</v>
      </c>
      <c r="C232" s="146">
        <f>VLOOKUP(B230,'OI(Value)'!A7:J209,10,0)</f>
        <v>4.3400000000000001E-2</v>
      </c>
      <c r="D232" s="9">
        <f>VLOOKUP(D230,'OI(Value)'!A1:O210,8,0)</f>
        <v>557541</v>
      </c>
      <c r="E232" s="147">
        <f>VLOOKUP(D230,'OI(Value)'!A1:J209,10,0)</f>
        <v>0.30809999999999998</v>
      </c>
      <c r="F232" s="9">
        <f>G232-D232-B232</f>
        <v>195134</v>
      </c>
      <c r="G232" s="9">
        <f>'OI(Value)'!H210</f>
        <v>830710</v>
      </c>
      <c r="H232" s="147">
        <f>'OI(Value)'!D218</f>
        <v>0.18011098939461426</v>
      </c>
    </row>
    <row r="233" spans="1:19" x14ac:dyDescent="0.25">
      <c r="A233" s="26" t="s">
        <v>390</v>
      </c>
      <c r="B233" s="9">
        <f>VLOOKUP(B230,'OI(Value)'!A7:K209,11,0)</f>
        <v>85403</v>
      </c>
      <c r="C233" s="146">
        <f>VLOOKUP(B230,'OI(Value)'!A7:M209,13,0)</f>
        <v>-7.3000000000000001E-3</v>
      </c>
      <c r="D233" s="9">
        <f>VLOOKUP(D230,'OI(Value)'!A2:O211,11,0)</f>
        <v>494575</v>
      </c>
      <c r="E233" s="147">
        <f>VLOOKUP(D230,'OI(Value)'!A7:M209,13,0)</f>
        <v>0.25569999999999998</v>
      </c>
      <c r="F233" s="9">
        <f>G233-D233-B233</f>
        <v>128969</v>
      </c>
      <c r="G233" s="9">
        <f>'OI(Value)'!K210</f>
        <v>708947</v>
      </c>
      <c r="H233" s="147">
        <f>'OI(Volume)'!D229</f>
        <v>2.9041744725554593E-2</v>
      </c>
    </row>
    <row r="234" spans="1:19" x14ac:dyDescent="0.25">
      <c r="A234" s="22" t="s">
        <v>391</v>
      </c>
      <c r="B234" s="62">
        <f>SUM(B231:B233)</f>
        <v>171899</v>
      </c>
      <c r="C234" s="148">
        <f>VLOOKUP(B230,'OI(Value)'!A7:D148,4,0)</f>
        <v>9.7000000000000003E-3</v>
      </c>
      <c r="D234" s="62">
        <f>SUM(D231:D233)</f>
        <v>1093325</v>
      </c>
      <c r="E234" s="148">
        <f>VLOOKUP(D230,'OI(Value)'!A1:D210,4,0)</f>
        <v>-0.34370000000000001</v>
      </c>
      <c r="F234" s="62">
        <f>SUM(F231:F233)</f>
        <v>787806</v>
      </c>
      <c r="G234" s="62">
        <f>SUM(G231:G233)</f>
        <v>2053030</v>
      </c>
      <c r="H234" s="151">
        <f>'OI(Value)'!D220</f>
        <v>0.12547649084523851</v>
      </c>
    </row>
    <row r="238" spans="1:19" x14ac:dyDescent="0.25">
      <c r="A238" s="20" t="s">
        <v>392</v>
      </c>
      <c r="B238" s="11"/>
      <c r="C238" s="11"/>
      <c r="D238" s="11"/>
      <c r="E238" s="11"/>
      <c r="F238" s="11"/>
      <c r="G238" s="11"/>
      <c r="H238" s="12"/>
    </row>
    <row r="239" spans="1:19" x14ac:dyDescent="0.25">
      <c r="A239" s="27"/>
      <c r="B239" s="27"/>
      <c r="C239" s="250" t="s">
        <v>459</v>
      </c>
      <c r="D239" s="251"/>
      <c r="E239" s="252"/>
      <c r="F239" s="250" t="s">
        <v>460</v>
      </c>
      <c r="G239" s="251"/>
      <c r="H239" s="252"/>
    </row>
    <row r="240" spans="1:19" x14ac:dyDescent="0.25">
      <c r="A240" s="28"/>
      <c r="B240" s="27"/>
      <c r="C240" s="31">
        <f>D10</f>
        <v>46029</v>
      </c>
      <c r="D240" s="31" t="s">
        <v>397</v>
      </c>
      <c r="E240" s="32" t="s">
        <v>321</v>
      </c>
      <c r="F240" s="31">
        <f>C240</f>
        <v>46029</v>
      </c>
      <c r="G240" s="31" t="str">
        <f>D240</f>
        <v>Preious</v>
      </c>
      <c r="H240" s="32" t="s">
        <v>386</v>
      </c>
    </row>
    <row r="241" spans="1:8" x14ac:dyDescent="0.25">
      <c r="A241" s="29" t="s">
        <v>393</v>
      </c>
      <c r="B241" s="30"/>
      <c r="C241" s="13">
        <f>FII!N3</f>
        <v>3346</v>
      </c>
      <c r="D241" s="13">
        <f>FII!J3</f>
        <v>3391</v>
      </c>
      <c r="E241" s="14">
        <f>(C241-D241)/C241</f>
        <v>-1.3448894202032277E-2</v>
      </c>
      <c r="F241" s="13">
        <f>FII!M3</f>
        <v>18532</v>
      </c>
      <c r="G241" s="13">
        <f>FII!I3</f>
        <v>18740</v>
      </c>
      <c r="H241" s="14">
        <f>(F241-G241)/F241</f>
        <v>-1.1223829052449816E-2</v>
      </c>
    </row>
    <row r="242" spans="1:8" x14ac:dyDescent="0.25">
      <c r="A242" s="247" t="s">
        <v>394</v>
      </c>
      <c r="B242" s="248"/>
      <c r="C242" s="13">
        <f>FII!N4</f>
        <v>36289</v>
      </c>
      <c r="D242" s="13">
        <f>FII!J4</f>
        <v>35406</v>
      </c>
      <c r="E242" s="14">
        <f>(C242-D242)/C242</f>
        <v>2.4332442337898538E-2</v>
      </c>
      <c r="F242" s="13">
        <f>FII!M4</f>
        <v>201635</v>
      </c>
      <c r="G242" s="13">
        <f>FII!I4</f>
        <v>196315</v>
      </c>
      <c r="H242" s="14">
        <f>(F242-G242)/F242</f>
        <v>2.6384308279812533E-2</v>
      </c>
    </row>
    <row r="243" spans="1:8" x14ac:dyDescent="0.25">
      <c r="A243" s="247" t="s">
        <v>395</v>
      </c>
      <c r="B243" s="248"/>
      <c r="C243" s="13">
        <f>FII!N15</f>
        <v>420900</v>
      </c>
      <c r="D243" s="13">
        <f>FII!J15</f>
        <v>418928</v>
      </c>
      <c r="E243" s="14">
        <f>(C243-D243)/C243</f>
        <v>4.68519838441435E-3</v>
      </c>
      <c r="F243" s="13">
        <f>FII!M15</f>
        <v>6096717</v>
      </c>
      <c r="G243" s="13">
        <f>FII!I15</f>
        <v>6079864</v>
      </c>
      <c r="H243" s="14">
        <f>(F243-G243)/F243</f>
        <v>2.7642746087771499E-3</v>
      </c>
    </row>
    <row r="244" spans="1:8" x14ac:dyDescent="0.25">
      <c r="A244" s="247" t="s">
        <v>396</v>
      </c>
      <c r="B244" s="248"/>
      <c r="C244" s="13">
        <f>FII!N16</f>
        <v>32037</v>
      </c>
      <c r="D244" s="13">
        <f>FII!J16</f>
        <v>28595</v>
      </c>
      <c r="E244" s="14">
        <f>(C244-D244)/C244</f>
        <v>0.10743827449511502</v>
      </c>
      <c r="F244" s="13">
        <f>FII!M16</f>
        <v>462117</v>
      </c>
      <c r="G244" s="13">
        <f>FII!I16</f>
        <v>413090</v>
      </c>
      <c r="H244" s="14">
        <f>(F244-G244)/F244</f>
        <v>0.10609218011888764</v>
      </c>
    </row>
    <row r="245" spans="1:8" x14ac:dyDescent="0.25">
      <c r="A245" s="247" t="s">
        <v>391</v>
      </c>
      <c r="B245" s="248"/>
      <c r="C245" s="155">
        <f>SUM(C241:C244)</f>
        <v>492572</v>
      </c>
      <c r="D245" s="155">
        <f>SUM(D241:D244)</f>
        <v>486320</v>
      </c>
      <c r="E245" s="156">
        <f>(C245-D245)/C245</f>
        <v>1.2692560681484128E-2</v>
      </c>
      <c r="F245" s="157">
        <f>SUM(F241:F244)</f>
        <v>6779001</v>
      </c>
      <c r="G245" s="158">
        <f>SUM(G241:G244)</f>
        <v>6708009</v>
      </c>
      <c r="H245" s="156">
        <f>(F245-G245)/F245</f>
        <v>1.0472339508431995E-2</v>
      </c>
    </row>
  </sheetData>
  <mergeCells count="24">
    <mergeCell ref="P225:S225"/>
    <mergeCell ref="A225:F225"/>
    <mergeCell ref="Q224:S224"/>
    <mergeCell ref="I224:M224"/>
    <mergeCell ref="A224:F224"/>
    <mergeCell ref="A244:B244"/>
    <mergeCell ref="A245:B245"/>
    <mergeCell ref="A229:C229"/>
    <mergeCell ref="C239:E239"/>
    <mergeCell ref="F239:H239"/>
    <mergeCell ref="A242:B242"/>
    <mergeCell ref="A243:B243"/>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46029</v>
      </c>
      <c r="C5" s="3">
        <f>B5</f>
        <v>46029</v>
      </c>
      <c r="D5" s="76" t="s">
        <v>367</v>
      </c>
      <c r="E5" s="76" t="s">
        <v>321</v>
      </c>
      <c r="F5" s="76" t="s">
        <v>368</v>
      </c>
      <c r="G5" s="76" t="s">
        <v>369</v>
      </c>
      <c r="H5" s="48"/>
    </row>
    <row r="6" spans="1:8" x14ac:dyDescent="0.25">
      <c r="A6" s="101" t="str">
        <f>'Data shares'!C2</f>
        <v>360ONE</v>
      </c>
      <c r="B6" s="144">
        <f>VLOOKUP($A6,'Data shares'!$C:$FA,7)</f>
        <v>1191.8</v>
      </c>
      <c r="C6" s="144">
        <f>VLOOKUP($A6,'Data shares'!$C:$FA,3)</f>
        <v>1198</v>
      </c>
      <c r="D6" s="144">
        <f>VLOOKUP($A6,'Data shares'!$C:$FA,23)</f>
        <v>6.2</v>
      </c>
      <c r="E6" s="145">
        <f>VLOOKUP($A6,'Data shares'!$C:$FA,26)*100</f>
        <v>0.52</v>
      </c>
      <c r="F6" s="144">
        <f>VLOOKUP($A6,'Data shares'!$C:$FA,24)</f>
        <v>4.0999999999999996</v>
      </c>
      <c r="G6" s="144">
        <f>VLOOKUP($A6,'Data shares'!$C:$FA,25)</f>
        <v>2.1</v>
      </c>
    </row>
    <row r="7" spans="1:8" x14ac:dyDescent="0.25">
      <c r="A7" s="101" t="str">
        <f>'Data shares'!C3</f>
        <v>ABB</v>
      </c>
      <c r="B7" s="144">
        <f>VLOOKUP($A7,'Data shares'!$C:$FA,7)</f>
        <v>5299</v>
      </c>
      <c r="C7" s="144">
        <f>VLOOKUP($A7,'Data shares'!$C:$FA,3)</f>
        <v>5322</v>
      </c>
      <c r="D7" s="144">
        <f>VLOOKUP($A7,'Data shares'!$C:$FA,23)</f>
        <v>23</v>
      </c>
      <c r="E7" s="145">
        <f>VLOOKUP($A7,'Data shares'!$C:$FA,26)*100</f>
        <v>0.43</v>
      </c>
      <c r="F7" s="144">
        <f>VLOOKUP($A7,'Data shares'!$C:$FA,24)</f>
        <v>22.5</v>
      </c>
      <c r="G7" s="144">
        <f>VLOOKUP($A7,'Data shares'!$C:$FA,25)</f>
        <v>0.5</v>
      </c>
    </row>
    <row r="8" spans="1:8" x14ac:dyDescent="0.25">
      <c r="A8" s="101" t="str">
        <f>'Data shares'!C4</f>
        <v>ABCAPITAL</v>
      </c>
      <c r="B8" s="144">
        <f>VLOOKUP($A8,'Data shares'!$C:$FA,7)</f>
        <v>361.1</v>
      </c>
      <c r="C8" s="144">
        <f>VLOOKUP($A8,'Data shares'!$C:$FA,3)</f>
        <v>362.5</v>
      </c>
      <c r="D8" s="144">
        <f>VLOOKUP($A8,'Data shares'!$C:$FA,23)</f>
        <v>1.4</v>
      </c>
      <c r="E8" s="145">
        <f>VLOOKUP($A8,'Data shares'!$C:$FA,26)*100</f>
        <v>0.38999999999999996</v>
      </c>
      <c r="F8" s="144">
        <f>VLOOKUP($A8,'Data shares'!$C:$FA,24)</f>
        <v>1</v>
      </c>
      <c r="G8" s="144">
        <f>VLOOKUP($A8,'Data shares'!$C:$FA,25)</f>
        <v>0.4</v>
      </c>
    </row>
    <row r="9" spans="1:8" x14ac:dyDescent="0.25">
      <c r="A9" s="101" t="str">
        <f>'Data shares'!C5</f>
        <v>ADANIENSOL</v>
      </c>
      <c r="B9" s="144">
        <f>VLOOKUP($A9,'Data shares'!$C:$FA,7)</f>
        <v>1033.5</v>
      </c>
      <c r="C9" s="144">
        <f>VLOOKUP($A9,'Data shares'!$C:$FA,3)</f>
        <v>1035.3</v>
      </c>
      <c r="D9" s="144">
        <f>VLOOKUP($A9,'Data shares'!$C:$FA,23)</f>
        <v>1.8</v>
      </c>
      <c r="E9" s="145">
        <f>VLOOKUP($A9,'Data shares'!$C:$FA,26)*100</f>
        <v>0.16999999999999998</v>
      </c>
      <c r="F9" s="144">
        <f>VLOOKUP($A9,'Data shares'!$C:$FA,24)</f>
        <v>2.4</v>
      </c>
      <c r="G9" s="144">
        <f>VLOOKUP($A9,'Data shares'!$C:$FA,25)</f>
        <v>-0.6</v>
      </c>
    </row>
    <row r="10" spans="1:8" x14ac:dyDescent="0.25">
      <c r="A10" s="101" t="str">
        <f>'Data shares'!C6</f>
        <v>ADANIENT</v>
      </c>
      <c r="B10" s="144">
        <f>VLOOKUP($A10,'Data shares'!$C:$FA,7)</f>
        <v>2274.1</v>
      </c>
      <c r="C10" s="144">
        <f>VLOOKUP($A10,'Data shares'!$C:$FA,3)</f>
        <v>2284.1</v>
      </c>
      <c r="D10" s="144">
        <f>VLOOKUP($A10,'Data shares'!$C:$FA,23)</f>
        <v>10</v>
      </c>
      <c r="E10" s="145">
        <f>VLOOKUP($A10,'Data shares'!$C:$FA,26)*100</f>
        <v>0.44</v>
      </c>
      <c r="F10" s="144">
        <f>VLOOKUP($A10,'Data shares'!$C:$FA,24)</f>
        <v>11.4</v>
      </c>
      <c r="G10" s="144">
        <f>VLOOKUP($A10,'Data shares'!$C:$FA,25)</f>
        <v>-1.4</v>
      </c>
    </row>
    <row r="11" spans="1:8" x14ac:dyDescent="0.25">
      <c r="A11" s="101" t="str">
        <f>'Data shares'!C7</f>
        <v>ADANIGREEN</v>
      </c>
      <c r="B11" s="144">
        <f>VLOOKUP($A11,'Data shares'!$C:$FA,7)</f>
        <v>1019.2</v>
      </c>
      <c r="C11" s="144">
        <f>VLOOKUP($A11,'Data shares'!$C:$FA,3)</f>
        <v>1022.1</v>
      </c>
      <c r="D11" s="144">
        <f>VLOOKUP($A11,'Data shares'!$C:$FA,23)</f>
        <v>2.9</v>
      </c>
      <c r="E11" s="145">
        <f>VLOOKUP($A11,'Data shares'!$C:$FA,26)*100</f>
        <v>0.27999999999999997</v>
      </c>
      <c r="F11" s="144">
        <f>VLOOKUP($A11,'Data shares'!$C:$FA,24)</f>
        <v>5.9</v>
      </c>
      <c r="G11" s="144">
        <f>VLOOKUP($A11,'Data shares'!$C:$FA,25)</f>
        <v>-3</v>
      </c>
    </row>
    <row r="12" spans="1:8" x14ac:dyDescent="0.25">
      <c r="A12" s="101" t="str">
        <f>'Data shares'!C8</f>
        <v>ADANIPORTS</v>
      </c>
      <c r="B12" s="144">
        <f>VLOOKUP($A12,'Data shares'!$C:$FA,7)</f>
        <v>1465.3</v>
      </c>
      <c r="C12" s="144">
        <f>VLOOKUP($A12,'Data shares'!$C:$FA,3)</f>
        <v>1472.2</v>
      </c>
      <c r="D12" s="144">
        <f>VLOOKUP($A12,'Data shares'!$C:$FA,23)</f>
        <v>6.9</v>
      </c>
      <c r="E12" s="145">
        <f>VLOOKUP($A12,'Data shares'!$C:$FA,26)*100</f>
        <v>0.47000000000000003</v>
      </c>
      <c r="F12" s="144">
        <f>VLOOKUP($A12,'Data shares'!$C:$FA,24)</f>
        <v>5.8</v>
      </c>
      <c r="G12" s="144">
        <f>VLOOKUP($A12,'Data shares'!$C:$FA,25)</f>
        <v>1.1000000000000001</v>
      </c>
    </row>
    <row r="13" spans="1:8" x14ac:dyDescent="0.25">
      <c r="A13" s="101" t="str">
        <f>'Data shares'!C9</f>
        <v>ALKEM</v>
      </c>
      <c r="B13" s="144">
        <f>VLOOKUP($A13,'Data shares'!$C:$FA,7)</f>
        <v>5806.5</v>
      </c>
      <c r="C13" s="144">
        <f>VLOOKUP($A13,'Data shares'!$C:$FA,3)</f>
        <v>5824.5</v>
      </c>
      <c r="D13" s="144">
        <f>VLOOKUP($A13,'Data shares'!$C:$FA,23)</f>
        <v>18</v>
      </c>
      <c r="E13" s="145">
        <f>VLOOKUP($A13,'Data shares'!$C:$FA,26)*100</f>
        <v>0.31</v>
      </c>
      <c r="F13" s="144">
        <f>VLOOKUP($A13,'Data shares'!$C:$FA,24)</f>
        <v>18</v>
      </c>
      <c r="G13" s="144">
        <f>VLOOKUP($A13,'Data shares'!$C:$FA,25)</f>
        <v>0</v>
      </c>
    </row>
    <row r="14" spans="1:8" x14ac:dyDescent="0.25">
      <c r="A14" s="101" t="str">
        <f>'Data shares'!C10</f>
        <v>AMBER</v>
      </c>
      <c r="B14" s="144">
        <f>VLOOKUP($A14,'Data shares'!$C:$FA,7)</f>
        <v>6653</v>
      </c>
      <c r="C14" s="144">
        <f>VLOOKUP($A14,'Data shares'!$C:$FA,3)</f>
        <v>6673.5</v>
      </c>
      <c r="D14" s="144">
        <f>VLOOKUP($A14,'Data shares'!$C:$FA,23)</f>
        <v>20.5</v>
      </c>
      <c r="E14" s="145">
        <f>VLOOKUP($A14,'Data shares'!$C:$FA,26)*100</f>
        <v>0.31</v>
      </c>
      <c r="F14" s="144">
        <f>VLOOKUP($A14,'Data shares'!$C:$FA,24)</f>
        <v>5.5</v>
      </c>
      <c r="G14" s="144">
        <f>VLOOKUP($A14,'Data shares'!$C:$FA,25)</f>
        <v>15</v>
      </c>
    </row>
    <row r="15" spans="1:8" x14ac:dyDescent="0.25">
      <c r="A15" s="101" t="str">
        <f>'Data shares'!C11</f>
        <v>AMBUJACEM</v>
      </c>
      <c r="B15" s="144">
        <f>VLOOKUP($A15,'Data shares'!$C:$FA,7)</f>
        <v>562</v>
      </c>
      <c r="C15" s="144">
        <f>VLOOKUP($A15,'Data shares'!$C:$FA,3)</f>
        <v>564.6</v>
      </c>
      <c r="D15" s="144">
        <f>VLOOKUP($A15,'Data shares'!$C:$FA,23)</f>
        <v>2.6</v>
      </c>
      <c r="E15" s="145">
        <f>VLOOKUP($A15,'Data shares'!$C:$FA,26)*100</f>
        <v>0.45999999999999996</v>
      </c>
      <c r="F15" s="144">
        <f>VLOOKUP($A15,'Data shares'!$C:$FA,24)</f>
        <v>1.4</v>
      </c>
      <c r="G15" s="144">
        <f>VLOOKUP($A15,'Data shares'!$C:$FA,25)</f>
        <v>1.2</v>
      </c>
    </row>
    <row r="16" spans="1:8" x14ac:dyDescent="0.25">
      <c r="A16" s="101" t="str">
        <f>'Data shares'!C12</f>
        <v>ANGELONE</v>
      </c>
      <c r="B16" s="144">
        <f>VLOOKUP($A16,'Data shares'!$C:$FA,7)</f>
        <v>2470.6</v>
      </c>
      <c r="C16" s="144">
        <f>VLOOKUP($A16,'Data shares'!$C:$FA,3)</f>
        <v>2469.3000000000002</v>
      </c>
      <c r="D16" s="144">
        <f>VLOOKUP($A16,'Data shares'!$C:$FA,23)</f>
        <v>-1.3</v>
      </c>
      <c r="E16" s="145">
        <f>VLOOKUP($A16,'Data shares'!$C:$FA,26)*100</f>
        <v>-0.05</v>
      </c>
      <c r="F16" s="144">
        <f>VLOOKUP($A16,'Data shares'!$C:$FA,24)</f>
        <v>4.7</v>
      </c>
      <c r="G16" s="144">
        <f>VLOOKUP($A16,'Data shares'!$C:$FA,25)</f>
        <v>-6</v>
      </c>
    </row>
    <row r="17" spans="1:7" x14ac:dyDescent="0.25">
      <c r="A17" s="101" t="str">
        <f>'Data shares'!C13</f>
        <v>APLAPOLLO</v>
      </c>
      <c r="B17" s="144">
        <f>VLOOKUP($A17,'Data shares'!$C:$FA,7)</f>
        <v>1949.8</v>
      </c>
      <c r="C17" s="144">
        <f>VLOOKUP($A17,'Data shares'!$C:$FA,3)</f>
        <v>1957.5</v>
      </c>
      <c r="D17" s="144">
        <f>VLOOKUP($A17,'Data shares'!$C:$FA,23)</f>
        <v>7.7</v>
      </c>
      <c r="E17" s="145">
        <f>VLOOKUP($A17,'Data shares'!$C:$FA,26)*100</f>
        <v>0.38999999999999996</v>
      </c>
      <c r="F17" s="144">
        <f>VLOOKUP($A17,'Data shares'!$C:$FA,24)</f>
        <v>5.4</v>
      </c>
      <c r="G17" s="144">
        <f>VLOOKUP($A17,'Data shares'!$C:$FA,25)</f>
        <v>2.2999999999999998</v>
      </c>
    </row>
    <row r="18" spans="1:7" x14ac:dyDescent="0.25">
      <c r="A18" s="101" t="str">
        <f>'Data shares'!C14</f>
        <v>APOLLOHOSP</v>
      </c>
      <c r="B18" s="144">
        <f>VLOOKUP($A18,'Data shares'!$C:$FA,7)</f>
        <v>7447.5</v>
      </c>
      <c r="C18" s="144">
        <f>VLOOKUP($A18,'Data shares'!$C:$FA,3)</f>
        <v>7474</v>
      </c>
      <c r="D18" s="144">
        <f>VLOOKUP($A18,'Data shares'!$C:$FA,23)</f>
        <v>26.5</v>
      </c>
      <c r="E18" s="145">
        <f>VLOOKUP($A18,'Data shares'!$C:$FA,26)*100</f>
        <v>0.36</v>
      </c>
      <c r="F18" s="144">
        <f>VLOOKUP($A18,'Data shares'!$C:$FA,24)</f>
        <v>17</v>
      </c>
      <c r="G18" s="144">
        <f>VLOOKUP($A18,'Data shares'!$C:$FA,25)</f>
        <v>9.5</v>
      </c>
    </row>
    <row r="19" spans="1:7" x14ac:dyDescent="0.25">
      <c r="A19" s="101" t="str">
        <f>'Data shares'!C15</f>
        <v>ASHOKLEY</v>
      </c>
      <c r="B19" s="144">
        <f>VLOOKUP($A19,'Data shares'!$C:$FA,7)</f>
        <v>186.12</v>
      </c>
      <c r="C19" s="144">
        <f>VLOOKUP($A19,'Data shares'!$C:$FA,3)</f>
        <v>185.76</v>
      </c>
      <c r="D19" s="144">
        <f>VLOOKUP($A19,'Data shares'!$C:$FA,23)</f>
        <v>-0.36</v>
      </c>
      <c r="E19" s="145">
        <f>VLOOKUP($A19,'Data shares'!$C:$FA,26)*100</f>
        <v>-0.19</v>
      </c>
      <c r="F19" s="144">
        <f>VLOOKUP($A19,'Data shares'!$C:$FA,24)</f>
        <v>-0.18</v>
      </c>
      <c r="G19" s="144">
        <f>VLOOKUP($A19,'Data shares'!$C:$FA,25)</f>
        <v>-0.18</v>
      </c>
    </row>
    <row r="20" spans="1:7" x14ac:dyDescent="0.25">
      <c r="A20" s="101" t="str">
        <f>'Data shares'!C16</f>
        <v>ASIANPAINT</v>
      </c>
      <c r="B20" s="144">
        <f>VLOOKUP($A20,'Data shares'!$C:$FA,7)</f>
        <v>2809.4</v>
      </c>
      <c r="C20" s="144">
        <f>VLOOKUP($A20,'Data shares'!$C:$FA,3)</f>
        <v>2811.8</v>
      </c>
      <c r="D20" s="144">
        <f>VLOOKUP($A20,'Data shares'!$C:$FA,23)</f>
        <v>2.4</v>
      </c>
      <c r="E20" s="145">
        <f>VLOOKUP($A20,'Data shares'!$C:$FA,26)*100</f>
        <v>0.09</v>
      </c>
      <c r="F20" s="144">
        <f>VLOOKUP($A20,'Data shares'!$C:$FA,24)</f>
        <v>4.7</v>
      </c>
      <c r="G20" s="144">
        <f>VLOOKUP($A20,'Data shares'!$C:$FA,25)</f>
        <v>-2.2999999999999998</v>
      </c>
    </row>
    <row r="21" spans="1:7" x14ac:dyDescent="0.25">
      <c r="A21" s="101" t="str">
        <f>'Data shares'!C17</f>
        <v>ASTRAL</v>
      </c>
      <c r="B21" s="144">
        <f>VLOOKUP($A21,'Data shares'!$C:$FA,7)</f>
        <v>1502.6</v>
      </c>
      <c r="C21" s="144">
        <f>VLOOKUP($A21,'Data shares'!$C:$FA,3)</f>
        <v>1503.7</v>
      </c>
      <c r="D21" s="144">
        <f>VLOOKUP($A21,'Data shares'!$C:$FA,23)</f>
        <v>1.1000000000000001</v>
      </c>
      <c r="E21" s="145">
        <f>VLOOKUP($A21,'Data shares'!$C:$FA,26)*100</f>
        <v>6.9999999999999993E-2</v>
      </c>
      <c r="F21" s="144">
        <f>VLOOKUP($A21,'Data shares'!$C:$FA,24)</f>
        <v>5.9</v>
      </c>
      <c r="G21" s="144">
        <f>VLOOKUP($A21,'Data shares'!$C:$FA,25)</f>
        <v>-4.8</v>
      </c>
    </row>
    <row r="22" spans="1:7" x14ac:dyDescent="0.25">
      <c r="A22" s="101" t="str">
        <f>'Data shares'!C18</f>
        <v>AUBANK</v>
      </c>
      <c r="B22" s="144">
        <f>VLOOKUP($A22,'Data shares'!$C:$FA,7)</f>
        <v>1004.55</v>
      </c>
      <c r="C22" s="144">
        <f>VLOOKUP($A22,'Data shares'!$C:$FA,3)</f>
        <v>1007.9</v>
      </c>
      <c r="D22" s="144">
        <f>VLOOKUP($A22,'Data shares'!$C:$FA,23)</f>
        <v>3.35</v>
      </c>
      <c r="E22" s="145">
        <f>VLOOKUP($A22,'Data shares'!$C:$FA,26)*100</f>
        <v>0.33</v>
      </c>
      <c r="F22" s="144">
        <f>VLOOKUP($A22,'Data shares'!$C:$FA,24)</f>
        <v>5.15</v>
      </c>
      <c r="G22" s="144">
        <f>VLOOKUP($A22,'Data shares'!$C:$FA,25)</f>
        <v>-1.8</v>
      </c>
    </row>
    <row r="23" spans="1:7" x14ac:dyDescent="0.25">
      <c r="A23" s="101" t="str">
        <f>'Data shares'!C19</f>
        <v>AUROPHARMA</v>
      </c>
      <c r="B23" s="144">
        <f>VLOOKUP($A23,'Data shares'!$C:$FA,7)</f>
        <v>1235.4000000000001</v>
      </c>
      <c r="C23" s="144">
        <f>VLOOKUP($A23,'Data shares'!$C:$FA,3)</f>
        <v>1241.5999999999999</v>
      </c>
      <c r="D23" s="144">
        <f>VLOOKUP($A23,'Data shares'!$C:$FA,23)</f>
        <v>6.2</v>
      </c>
      <c r="E23" s="145">
        <f>VLOOKUP($A23,'Data shares'!$C:$FA,26)*100</f>
        <v>0.5</v>
      </c>
      <c r="F23" s="144">
        <f>VLOOKUP($A23,'Data shares'!$C:$FA,24)</f>
        <v>6.3</v>
      </c>
      <c r="G23" s="144">
        <f>VLOOKUP($A23,'Data shares'!$C:$FA,25)</f>
        <v>-0.1</v>
      </c>
    </row>
    <row r="24" spans="1:7" x14ac:dyDescent="0.25">
      <c r="A24" s="101" t="str">
        <f>'Data shares'!C20</f>
        <v>AXISBANK</v>
      </c>
      <c r="B24" s="144">
        <f>VLOOKUP($A24,'Data shares'!$C:$FA,7)</f>
        <v>1295.5</v>
      </c>
      <c r="C24" s="144">
        <f>VLOOKUP($A24,'Data shares'!$C:$FA,3)</f>
        <v>1297.8</v>
      </c>
      <c r="D24" s="144">
        <f>VLOOKUP($A24,'Data shares'!$C:$FA,23)</f>
        <v>2.2999999999999998</v>
      </c>
      <c r="E24" s="145">
        <f>VLOOKUP($A24,'Data shares'!$C:$FA,26)*100</f>
        <v>0.18</v>
      </c>
      <c r="F24" s="144">
        <f>VLOOKUP($A24,'Data shares'!$C:$FA,24)</f>
        <v>3</v>
      </c>
      <c r="G24" s="144">
        <f>VLOOKUP($A24,'Data shares'!$C:$FA,25)</f>
        <v>-0.7</v>
      </c>
    </row>
    <row r="25" spans="1:7" x14ac:dyDescent="0.25">
      <c r="A25" s="101" t="str">
        <f>'Data shares'!C21</f>
        <v>BAJAJ-AUTO</v>
      </c>
      <c r="B25" s="144">
        <f>VLOOKUP($A25,'Data shares'!$C:$FA,7)</f>
        <v>9789.5</v>
      </c>
      <c r="C25" s="144">
        <f>VLOOKUP($A25,'Data shares'!$C:$FA,3)</f>
        <v>9802.5</v>
      </c>
      <c r="D25" s="144">
        <f>VLOOKUP($A25,'Data shares'!$C:$FA,23)</f>
        <v>13</v>
      </c>
      <c r="E25" s="145">
        <f>VLOOKUP($A25,'Data shares'!$C:$FA,26)*100</f>
        <v>0.13</v>
      </c>
      <c r="F25" s="144">
        <f>VLOOKUP($A25,'Data shares'!$C:$FA,24)</f>
        <v>25</v>
      </c>
      <c r="G25" s="144">
        <f>VLOOKUP($A25,'Data shares'!$C:$FA,25)</f>
        <v>-12</v>
      </c>
    </row>
    <row r="26" spans="1:7" x14ac:dyDescent="0.25">
      <c r="A26" s="101" t="str">
        <f>'Data shares'!C22</f>
        <v>BAJAJFINSV</v>
      </c>
      <c r="B26" s="144">
        <f>VLOOKUP($A26,'Data shares'!$C:$FA,7)</f>
        <v>2031.9</v>
      </c>
      <c r="C26" s="144">
        <f>VLOOKUP($A26,'Data shares'!$C:$FA,3)</f>
        <v>2036.2</v>
      </c>
      <c r="D26" s="144">
        <f>VLOOKUP($A26,'Data shares'!$C:$FA,23)</f>
        <v>4.3</v>
      </c>
      <c r="E26" s="145">
        <f>VLOOKUP($A26,'Data shares'!$C:$FA,26)*100</f>
        <v>0.21</v>
      </c>
      <c r="F26" s="144">
        <f>VLOOKUP($A26,'Data shares'!$C:$FA,24)</f>
        <v>10.6</v>
      </c>
      <c r="G26" s="144">
        <f>VLOOKUP($A26,'Data shares'!$C:$FA,25)</f>
        <v>-6.3</v>
      </c>
    </row>
    <row r="27" spans="1:7" x14ac:dyDescent="0.25">
      <c r="A27" s="101" t="str">
        <f>'Data shares'!C23</f>
        <v>BAJAJHLDNG</v>
      </c>
      <c r="B27" s="144">
        <f>VLOOKUP($A27,'Data shares'!$C:$FA,7)</f>
        <v>11198</v>
      </c>
      <c r="C27" s="144">
        <f>VLOOKUP($A27,'Data shares'!$C:$FA,3)</f>
        <v>11256</v>
      </c>
      <c r="D27" s="144">
        <f>VLOOKUP($A27,'Data shares'!$C:$FA,23)</f>
        <v>58</v>
      </c>
      <c r="E27" s="145">
        <f>VLOOKUP($A27,'Data shares'!$C:$FA,26)*100</f>
        <v>0.52</v>
      </c>
      <c r="F27" s="144">
        <f>VLOOKUP($A27,'Data shares'!$C:$FA,24)</f>
        <v>51</v>
      </c>
      <c r="G27" s="144">
        <f>VLOOKUP($A27,'Data shares'!$C:$FA,25)</f>
        <v>7</v>
      </c>
    </row>
    <row r="28" spans="1:7" x14ac:dyDescent="0.25">
      <c r="A28" s="101" t="str">
        <f>'Data shares'!C24</f>
        <v>BAJFINANCE</v>
      </c>
      <c r="B28" s="144">
        <f>VLOOKUP($A28,'Data shares'!$C:$FA,7)</f>
        <v>968.8</v>
      </c>
      <c r="C28" s="144">
        <f>VLOOKUP($A28,'Data shares'!$C:$FA,3)</f>
        <v>973.4</v>
      </c>
      <c r="D28" s="144">
        <f>VLOOKUP($A28,'Data shares'!$C:$FA,23)</f>
        <v>4.5999999999999996</v>
      </c>
      <c r="E28" s="145">
        <f>VLOOKUP($A28,'Data shares'!$C:$FA,26)*100</f>
        <v>0.47000000000000003</v>
      </c>
      <c r="F28" s="144">
        <f>VLOOKUP($A28,'Data shares'!$C:$FA,24)</f>
        <v>4.3</v>
      </c>
      <c r="G28" s="144">
        <f>VLOOKUP($A28,'Data shares'!$C:$FA,25)</f>
        <v>0.3</v>
      </c>
    </row>
    <row r="29" spans="1:7" x14ac:dyDescent="0.25">
      <c r="A29" s="101" t="str">
        <f>'Data shares'!C25</f>
        <v>BANDHANBNK</v>
      </c>
      <c r="B29" s="144">
        <f>VLOOKUP($A29,'Data shares'!$C:$FA,7)</f>
        <v>147.63999999999999</v>
      </c>
      <c r="C29" s="144">
        <f>VLOOKUP($A29,'Data shares'!$C:$FA,3)</f>
        <v>148.37</v>
      </c>
      <c r="D29" s="144">
        <f>VLOOKUP($A29,'Data shares'!$C:$FA,23)</f>
        <v>0.73</v>
      </c>
      <c r="E29" s="145">
        <f>VLOOKUP($A29,'Data shares'!$C:$FA,26)*100</f>
        <v>0.49</v>
      </c>
      <c r="F29" s="144">
        <f>VLOOKUP($A29,'Data shares'!$C:$FA,24)</f>
        <v>0.7</v>
      </c>
      <c r="G29" s="144">
        <f>VLOOKUP($A29,'Data shares'!$C:$FA,25)</f>
        <v>0.03</v>
      </c>
    </row>
    <row r="30" spans="1:7" x14ac:dyDescent="0.25">
      <c r="A30" s="101" t="str">
        <f>'Data shares'!C26</f>
        <v>BANKBARODA</v>
      </c>
      <c r="B30" s="144">
        <f>VLOOKUP($A30,'Data shares'!$C:$FA,7)</f>
        <v>308.25</v>
      </c>
      <c r="C30" s="144">
        <f>VLOOKUP($A30,'Data shares'!$C:$FA,3)</f>
        <v>308.85000000000002</v>
      </c>
      <c r="D30" s="144">
        <f>VLOOKUP($A30,'Data shares'!$C:$FA,23)</f>
        <v>0.6</v>
      </c>
      <c r="E30" s="145">
        <f>VLOOKUP($A30,'Data shares'!$C:$FA,26)*100</f>
        <v>0.19</v>
      </c>
      <c r="F30" s="144">
        <f>VLOOKUP($A30,'Data shares'!$C:$FA,24)</f>
        <v>1.1499999999999999</v>
      </c>
      <c r="G30" s="144">
        <f>VLOOKUP($A30,'Data shares'!$C:$FA,25)</f>
        <v>-0.55000000000000004</v>
      </c>
    </row>
    <row r="31" spans="1:7" x14ac:dyDescent="0.25">
      <c r="A31" s="101" t="str">
        <f>'Data shares'!C27</f>
        <v>BANKINDIA</v>
      </c>
      <c r="B31" s="144">
        <f>VLOOKUP($A31,'Data shares'!$C:$FA,7)</f>
        <v>151.49</v>
      </c>
      <c r="C31" s="144">
        <f>VLOOKUP($A31,'Data shares'!$C:$FA,3)</f>
        <v>152.04</v>
      </c>
      <c r="D31" s="144">
        <f>VLOOKUP($A31,'Data shares'!$C:$FA,23)</f>
        <v>0.55000000000000004</v>
      </c>
      <c r="E31" s="145">
        <f>VLOOKUP($A31,'Data shares'!$C:$FA,26)*100</f>
        <v>0.36</v>
      </c>
      <c r="F31" s="144">
        <f>VLOOKUP($A31,'Data shares'!$C:$FA,24)</f>
        <v>0.76</v>
      </c>
      <c r="G31" s="144">
        <f>VLOOKUP($A31,'Data shares'!$C:$FA,25)</f>
        <v>-0.21</v>
      </c>
    </row>
    <row r="32" spans="1:7" x14ac:dyDescent="0.25">
      <c r="A32" s="101" t="str">
        <f>'Data shares'!C28</f>
        <v>BANKNIFTY</v>
      </c>
      <c r="B32" s="144">
        <f>VLOOKUP($A32,'Data shares'!$C:$FA,7)</f>
        <v>59990.85</v>
      </c>
      <c r="C32" s="144">
        <f>VLOOKUP($A32,'Data shares'!$C:$FA,3)</f>
        <v>60171.199999999997</v>
      </c>
      <c r="D32" s="144">
        <f>VLOOKUP($A32,'Data shares'!$C:$FA,23)</f>
        <v>180.35</v>
      </c>
      <c r="E32" s="145">
        <f>VLOOKUP($A32,'Data shares'!$C:$FA,26)*100</f>
        <v>0.3</v>
      </c>
      <c r="F32" s="144">
        <f>VLOOKUP($A32,'Data shares'!$C:$FA,24)</f>
        <v>194.4</v>
      </c>
      <c r="G32" s="144">
        <f>VLOOKUP($A32,'Data shares'!$C:$FA,25)</f>
        <v>-14.05</v>
      </c>
    </row>
    <row r="33" spans="1:7" x14ac:dyDescent="0.25">
      <c r="A33" s="101" t="str">
        <f>'Data shares'!C29</f>
        <v>BDL</v>
      </c>
      <c r="B33" s="144">
        <f>VLOOKUP($A33,'Data shares'!$C:$FA,7)</f>
        <v>1539.5</v>
      </c>
      <c r="C33" s="144">
        <f>VLOOKUP($A33,'Data shares'!$C:$FA,3)</f>
        <v>1542.6</v>
      </c>
      <c r="D33" s="144">
        <f>VLOOKUP($A33,'Data shares'!$C:$FA,23)</f>
        <v>3.1</v>
      </c>
      <c r="E33" s="145">
        <f>VLOOKUP($A33,'Data shares'!$C:$FA,26)*100</f>
        <v>0.2</v>
      </c>
      <c r="F33" s="144">
        <f>VLOOKUP($A33,'Data shares'!$C:$FA,24)</f>
        <v>7.3</v>
      </c>
      <c r="G33" s="144">
        <f>VLOOKUP($A33,'Data shares'!$C:$FA,25)</f>
        <v>-4.2</v>
      </c>
    </row>
    <row r="34" spans="1:7" x14ac:dyDescent="0.25">
      <c r="A34" s="101" t="str">
        <f>'Data shares'!C30</f>
        <v>BEL</v>
      </c>
      <c r="B34" s="144">
        <f>VLOOKUP($A34,'Data shares'!$C:$FA,7)</f>
        <v>415.65</v>
      </c>
      <c r="C34" s="144">
        <f>VLOOKUP($A34,'Data shares'!$C:$FA,3)</f>
        <v>417.7</v>
      </c>
      <c r="D34" s="144">
        <f>VLOOKUP($A34,'Data shares'!$C:$FA,23)</f>
        <v>2.0499999999999998</v>
      </c>
      <c r="E34" s="145">
        <f>VLOOKUP($A34,'Data shares'!$C:$FA,26)*100</f>
        <v>0.49</v>
      </c>
      <c r="F34" s="144">
        <f>VLOOKUP($A34,'Data shares'!$C:$FA,24)</f>
        <v>1.35</v>
      </c>
      <c r="G34" s="144">
        <f>VLOOKUP($A34,'Data shares'!$C:$FA,25)</f>
        <v>0.7</v>
      </c>
    </row>
    <row r="35" spans="1:7" x14ac:dyDescent="0.25">
      <c r="A35" s="101" t="str">
        <f>'Data shares'!C31</f>
        <v>BHARATFORG</v>
      </c>
      <c r="B35" s="144">
        <f>VLOOKUP($A35,'Data shares'!$C:$FA,7)</f>
        <v>1483.4</v>
      </c>
      <c r="C35" s="144">
        <f>VLOOKUP($A35,'Data shares'!$C:$FA,3)</f>
        <v>1488.5</v>
      </c>
      <c r="D35" s="144">
        <f>VLOOKUP($A35,'Data shares'!$C:$FA,23)</f>
        <v>5.0999999999999996</v>
      </c>
      <c r="E35" s="145">
        <f>VLOOKUP($A35,'Data shares'!$C:$FA,26)*100</f>
        <v>0.33999999999999997</v>
      </c>
      <c r="F35" s="144">
        <f>VLOOKUP($A35,'Data shares'!$C:$FA,24)</f>
        <v>4.7</v>
      </c>
      <c r="G35" s="144">
        <f>VLOOKUP($A35,'Data shares'!$C:$FA,25)</f>
        <v>0.4</v>
      </c>
    </row>
    <row r="36" spans="1:7" x14ac:dyDescent="0.25">
      <c r="A36" s="101" t="str">
        <f>'Data shares'!C32</f>
        <v>BHARTIARTL</v>
      </c>
      <c r="B36" s="144">
        <f>VLOOKUP($A36,'Data shares'!$C:$FA,7)</f>
        <v>2084.1999999999998</v>
      </c>
      <c r="C36" s="144">
        <f>VLOOKUP($A36,'Data shares'!$C:$FA,3)</f>
        <v>2091.5</v>
      </c>
      <c r="D36" s="144">
        <f>VLOOKUP($A36,'Data shares'!$C:$FA,23)</f>
        <v>7.3</v>
      </c>
      <c r="E36" s="145">
        <f>VLOOKUP($A36,'Data shares'!$C:$FA,26)*100</f>
        <v>0.35000000000000003</v>
      </c>
      <c r="F36" s="144">
        <f>VLOOKUP($A36,'Data shares'!$C:$FA,24)</f>
        <v>8.4</v>
      </c>
      <c r="G36" s="144">
        <f>VLOOKUP($A36,'Data shares'!$C:$FA,25)</f>
        <v>-1.1000000000000001</v>
      </c>
    </row>
    <row r="37" spans="1:7" x14ac:dyDescent="0.25">
      <c r="A37" s="101" t="str">
        <f>'Data shares'!C33</f>
        <v>BHEL</v>
      </c>
      <c r="B37" s="144">
        <f>VLOOKUP($A37,'Data shares'!$C:$FA,7)</f>
        <v>303.55</v>
      </c>
      <c r="C37" s="144">
        <f>VLOOKUP($A37,'Data shares'!$C:$FA,3)</f>
        <v>304.75</v>
      </c>
      <c r="D37" s="144">
        <f>VLOOKUP($A37,'Data shares'!$C:$FA,23)</f>
        <v>1.2</v>
      </c>
      <c r="E37" s="145">
        <f>VLOOKUP($A37,'Data shares'!$C:$FA,26)*100</f>
        <v>0.4</v>
      </c>
      <c r="F37" s="144">
        <f>VLOOKUP($A37,'Data shares'!$C:$FA,24)</f>
        <v>1.55</v>
      </c>
      <c r="G37" s="144">
        <f>VLOOKUP($A37,'Data shares'!$C:$FA,25)</f>
        <v>-0.35</v>
      </c>
    </row>
    <row r="38" spans="1:7" x14ac:dyDescent="0.25">
      <c r="A38" s="101" t="str">
        <f>'Data shares'!C34</f>
        <v>BIOCON</v>
      </c>
      <c r="B38" s="144">
        <f>VLOOKUP($A38,'Data shares'!$C:$FA,7)</f>
        <v>387.05</v>
      </c>
      <c r="C38" s="144">
        <f>VLOOKUP($A38,'Data shares'!$C:$FA,3)</f>
        <v>388.95</v>
      </c>
      <c r="D38" s="144">
        <f>VLOOKUP($A38,'Data shares'!$C:$FA,23)</f>
        <v>1.9</v>
      </c>
      <c r="E38" s="145">
        <f>VLOOKUP($A38,'Data shares'!$C:$FA,26)*100</f>
        <v>0.49</v>
      </c>
      <c r="F38" s="144">
        <f>VLOOKUP($A38,'Data shares'!$C:$FA,24)</f>
        <v>1.95</v>
      </c>
      <c r="G38" s="144">
        <f>VLOOKUP($A38,'Data shares'!$C:$FA,25)</f>
        <v>-0.05</v>
      </c>
    </row>
    <row r="39" spans="1:7" x14ac:dyDescent="0.25">
      <c r="A39" s="101" t="str">
        <f>'Data shares'!C35</f>
        <v>BLUESTARCO</v>
      </c>
      <c r="B39" s="144">
        <f>VLOOKUP($A39,'Data shares'!$C:$FA,7)</f>
        <v>1842.7</v>
      </c>
      <c r="C39" s="144">
        <f>VLOOKUP($A39,'Data shares'!$C:$FA,3)</f>
        <v>1845.8</v>
      </c>
      <c r="D39" s="144">
        <f>VLOOKUP($A39,'Data shares'!$C:$FA,23)</f>
        <v>3.1</v>
      </c>
      <c r="E39" s="145">
        <f>VLOOKUP($A39,'Data shares'!$C:$FA,26)*100</f>
        <v>0.16999999999999998</v>
      </c>
      <c r="F39" s="144">
        <f>VLOOKUP($A39,'Data shares'!$C:$FA,24)</f>
        <v>2.7</v>
      </c>
      <c r="G39" s="144">
        <f>VLOOKUP($A39,'Data shares'!$C:$FA,25)</f>
        <v>0.4</v>
      </c>
    </row>
    <row r="40" spans="1:7" x14ac:dyDescent="0.25">
      <c r="A40" s="101" t="str">
        <f>'Data shares'!C36</f>
        <v>BOSCHLTD</v>
      </c>
      <c r="B40" s="144">
        <f>VLOOKUP($A40,'Data shares'!$C:$FA,7)</f>
        <v>39145</v>
      </c>
      <c r="C40" s="144">
        <f>VLOOKUP($A40,'Data shares'!$C:$FA,3)</f>
        <v>39340</v>
      </c>
      <c r="D40" s="144">
        <f>VLOOKUP($A40,'Data shares'!$C:$FA,23)</f>
        <v>195</v>
      </c>
      <c r="E40" s="145">
        <f>VLOOKUP($A40,'Data shares'!$C:$FA,26)*100</f>
        <v>0.5</v>
      </c>
      <c r="F40" s="144">
        <f>VLOOKUP($A40,'Data shares'!$C:$FA,24)</f>
        <v>100</v>
      </c>
      <c r="G40" s="144">
        <f>VLOOKUP($A40,'Data shares'!$C:$FA,25)</f>
        <v>95</v>
      </c>
    </row>
    <row r="41" spans="1:7" x14ac:dyDescent="0.25">
      <c r="A41" s="101" t="str">
        <f>'Data shares'!C37</f>
        <v>BPCL</v>
      </c>
      <c r="B41" s="144">
        <f>VLOOKUP($A41,'Data shares'!$C:$FA,7)</f>
        <v>368.2</v>
      </c>
      <c r="C41" s="144">
        <f>VLOOKUP($A41,'Data shares'!$C:$FA,3)</f>
        <v>369</v>
      </c>
      <c r="D41" s="144">
        <f>VLOOKUP($A41,'Data shares'!$C:$FA,23)</f>
        <v>0.8</v>
      </c>
      <c r="E41" s="145">
        <f>VLOOKUP($A41,'Data shares'!$C:$FA,26)*100</f>
        <v>0.22</v>
      </c>
      <c r="F41" s="144">
        <f>VLOOKUP($A41,'Data shares'!$C:$FA,24)</f>
        <v>1.4</v>
      </c>
      <c r="G41" s="144">
        <f>VLOOKUP($A41,'Data shares'!$C:$FA,25)</f>
        <v>-0.6</v>
      </c>
    </row>
    <row r="42" spans="1:7" x14ac:dyDescent="0.25">
      <c r="A42" s="101" t="str">
        <f>'Data shares'!C38</f>
        <v>BRITANNIA</v>
      </c>
      <c r="B42" s="144">
        <f>VLOOKUP($A42,'Data shares'!$C:$FA,7)</f>
        <v>6185</v>
      </c>
      <c r="C42" s="144">
        <f>VLOOKUP($A42,'Data shares'!$C:$FA,3)</f>
        <v>6199</v>
      </c>
      <c r="D42" s="144">
        <f>VLOOKUP($A42,'Data shares'!$C:$FA,23)</f>
        <v>14</v>
      </c>
      <c r="E42" s="145">
        <f>VLOOKUP($A42,'Data shares'!$C:$FA,26)*100</f>
        <v>0.22999999999999998</v>
      </c>
      <c r="F42" s="144">
        <f>VLOOKUP($A42,'Data shares'!$C:$FA,24)</f>
        <v>32</v>
      </c>
      <c r="G42" s="144">
        <f>VLOOKUP($A42,'Data shares'!$C:$FA,25)</f>
        <v>-18</v>
      </c>
    </row>
    <row r="43" spans="1:7" x14ac:dyDescent="0.25">
      <c r="A43" s="101" t="str">
        <f>'Data shares'!C39</f>
        <v>BSE</v>
      </c>
      <c r="B43" s="144">
        <f>VLOOKUP($A43,'Data shares'!$C:$FA,7)</f>
        <v>2744.9</v>
      </c>
      <c r="C43" s="144">
        <f>VLOOKUP($A43,'Data shares'!$C:$FA,3)</f>
        <v>2757.3</v>
      </c>
      <c r="D43" s="144">
        <f>VLOOKUP($A43,'Data shares'!$C:$FA,23)</f>
        <v>12.4</v>
      </c>
      <c r="E43" s="145">
        <f>VLOOKUP($A43,'Data shares'!$C:$FA,26)*100</f>
        <v>0.44999999999999996</v>
      </c>
      <c r="F43" s="144">
        <f>VLOOKUP($A43,'Data shares'!$C:$FA,24)</f>
        <v>10.3</v>
      </c>
      <c r="G43" s="144">
        <f>VLOOKUP($A43,'Data shares'!$C:$FA,25)</f>
        <v>2.1</v>
      </c>
    </row>
    <row r="44" spans="1:7" x14ac:dyDescent="0.25">
      <c r="A44" s="101" t="str">
        <f>'Data shares'!C40</f>
        <v>CAMS</v>
      </c>
      <c r="B44" s="144">
        <f>VLOOKUP($A44,'Data shares'!$C:$FA,7)</f>
        <v>756.8</v>
      </c>
      <c r="C44" s="144">
        <f>VLOOKUP($A44,'Data shares'!$C:$FA,3)</f>
        <v>757.95</v>
      </c>
      <c r="D44" s="144">
        <f>VLOOKUP($A44,'Data shares'!$C:$FA,23)</f>
        <v>1.1499999999999999</v>
      </c>
      <c r="E44" s="145">
        <f>VLOOKUP($A44,'Data shares'!$C:$FA,26)*100</f>
        <v>0.15</v>
      </c>
      <c r="F44" s="144">
        <f>VLOOKUP($A44,'Data shares'!$C:$FA,24)</f>
        <v>1.85</v>
      </c>
      <c r="G44" s="144">
        <f>VLOOKUP($A44,'Data shares'!$C:$FA,25)</f>
        <v>-0.7</v>
      </c>
    </row>
    <row r="45" spans="1:7" x14ac:dyDescent="0.25">
      <c r="A45" s="101" t="str">
        <f>'Data shares'!C41</f>
        <v>CANBK</v>
      </c>
      <c r="B45" s="144">
        <f>VLOOKUP($A45,'Data shares'!$C:$FA,7)</f>
        <v>152.96</v>
      </c>
      <c r="C45" s="144">
        <f>VLOOKUP($A45,'Data shares'!$C:$FA,3)</f>
        <v>152.85</v>
      </c>
      <c r="D45" s="144">
        <f>VLOOKUP($A45,'Data shares'!$C:$FA,23)</f>
        <v>-0.11</v>
      </c>
      <c r="E45" s="145">
        <f>VLOOKUP($A45,'Data shares'!$C:$FA,26)*100</f>
        <v>-6.9999999999999993E-2</v>
      </c>
      <c r="F45" s="144">
        <f>VLOOKUP($A45,'Data shares'!$C:$FA,24)</f>
        <v>0.22</v>
      </c>
      <c r="G45" s="144">
        <f>VLOOKUP($A45,'Data shares'!$C:$FA,25)</f>
        <v>-0.33</v>
      </c>
    </row>
    <row r="46" spans="1:7" x14ac:dyDescent="0.25">
      <c r="A46" s="101" t="str">
        <f>'Data shares'!C42</f>
        <v>CDSL</v>
      </c>
      <c r="B46" s="144">
        <f>VLOOKUP($A46,'Data shares'!$C:$FA,7)</f>
        <v>1475.6</v>
      </c>
      <c r="C46" s="144">
        <f>VLOOKUP($A46,'Data shares'!$C:$FA,3)</f>
        <v>1482.8</v>
      </c>
      <c r="D46" s="144">
        <f>VLOOKUP($A46,'Data shares'!$C:$FA,23)</f>
        <v>7.2</v>
      </c>
      <c r="E46" s="145">
        <f>VLOOKUP($A46,'Data shares'!$C:$FA,26)*100</f>
        <v>0.49</v>
      </c>
      <c r="F46" s="144">
        <f>VLOOKUP($A46,'Data shares'!$C:$FA,24)</f>
        <v>5.5</v>
      </c>
      <c r="G46" s="144">
        <f>VLOOKUP($A46,'Data shares'!$C:$FA,25)</f>
        <v>1.7</v>
      </c>
    </row>
    <row r="47" spans="1:7" x14ac:dyDescent="0.25">
      <c r="A47" s="101" t="str">
        <f>'Data shares'!C43</f>
        <v>CGPOWER</v>
      </c>
      <c r="B47" s="144">
        <f>VLOOKUP($A47,'Data shares'!$C:$FA,7)</f>
        <v>636.95000000000005</v>
      </c>
      <c r="C47" s="144">
        <f>VLOOKUP($A47,'Data shares'!$C:$FA,3)</f>
        <v>638.65</v>
      </c>
      <c r="D47" s="144">
        <f>VLOOKUP($A47,'Data shares'!$C:$FA,23)</f>
        <v>1.7</v>
      </c>
      <c r="E47" s="145">
        <f>VLOOKUP($A47,'Data shares'!$C:$FA,26)*100</f>
        <v>0.27</v>
      </c>
      <c r="F47" s="144">
        <f>VLOOKUP($A47,'Data shares'!$C:$FA,24)</f>
        <v>3.15</v>
      </c>
      <c r="G47" s="144">
        <f>VLOOKUP($A47,'Data shares'!$C:$FA,25)</f>
        <v>-1.45</v>
      </c>
    </row>
    <row r="48" spans="1:7" x14ac:dyDescent="0.25">
      <c r="A48" s="101" t="str">
        <f>'Data shares'!C44</f>
        <v>CHOLAFIN</v>
      </c>
      <c r="B48" s="144">
        <f>VLOOKUP($A48,'Data shares'!$C:$FA,7)</f>
        <v>1786.5</v>
      </c>
      <c r="C48" s="144">
        <f>VLOOKUP($A48,'Data shares'!$C:$FA,3)</f>
        <v>1794.7</v>
      </c>
      <c r="D48" s="144">
        <f>VLOOKUP($A48,'Data shares'!$C:$FA,23)</f>
        <v>8.1999999999999993</v>
      </c>
      <c r="E48" s="145">
        <f>VLOOKUP($A48,'Data shares'!$C:$FA,26)*100</f>
        <v>0.45999999999999996</v>
      </c>
      <c r="F48" s="144">
        <f>VLOOKUP($A48,'Data shares'!$C:$FA,24)</f>
        <v>7.9</v>
      </c>
      <c r="G48" s="144">
        <f>VLOOKUP($A48,'Data shares'!$C:$FA,25)</f>
        <v>0.3</v>
      </c>
    </row>
    <row r="49" spans="1:7" x14ac:dyDescent="0.25">
      <c r="A49" s="101" t="str">
        <f>'Data shares'!C45</f>
        <v>CIPLA</v>
      </c>
      <c r="B49" s="144">
        <f>VLOOKUP($A49,'Data shares'!$C:$FA,7)</f>
        <v>1467.9</v>
      </c>
      <c r="C49" s="144">
        <f>VLOOKUP($A49,'Data shares'!$C:$FA,3)</f>
        <v>1471.6</v>
      </c>
      <c r="D49" s="144">
        <f>VLOOKUP($A49,'Data shares'!$C:$FA,23)</f>
        <v>3.7</v>
      </c>
      <c r="E49" s="145">
        <f>VLOOKUP($A49,'Data shares'!$C:$FA,26)*100</f>
        <v>0.25</v>
      </c>
      <c r="F49" s="144">
        <f>VLOOKUP($A49,'Data shares'!$C:$FA,24)</f>
        <v>7.1</v>
      </c>
      <c r="G49" s="144">
        <f>VLOOKUP($A49,'Data shares'!$C:$FA,25)</f>
        <v>-3.4</v>
      </c>
    </row>
    <row r="50" spans="1:7" x14ac:dyDescent="0.25">
      <c r="A50" s="101" t="str">
        <f>'Data shares'!C46</f>
        <v>COALINDIA</v>
      </c>
      <c r="B50" s="144">
        <f>VLOOKUP($A50,'Data shares'!$C:$FA,7)</f>
        <v>431.65</v>
      </c>
      <c r="C50" s="144">
        <f>VLOOKUP($A50,'Data shares'!$C:$FA,3)</f>
        <v>432.75</v>
      </c>
      <c r="D50" s="144">
        <f>VLOOKUP($A50,'Data shares'!$C:$FA,23)</f>
        <v>1.1000000000000001</v>
      </c>
      <c r="E50" s="145">
        <f>VLOOKUP($A50,'Data shares'!$C:$FA,26)*100</f>
        <v>0.25</v>
      </c>
      <c r="F50" s="144">
        <f>VLOOKUP($A50,'Data shares'!$C:$FA,24)</f>
        <v>1.1000000000000001</v>
      </c>
      <c r="G50" s="144">
        <f>VLOOKUP($A50,'Data shares'!$C:$FA,25)</f>
        <v>0</v>
      </c>
    </row>
    <row r="51" spans="1:7" x14ac:dyDescent="0.25">
      <c r="A51" s="101" t="str">
        <f>'Data shares'!C47</f>
        <v>COFORGE</v>
      </c>
      <c r="B51" s="144">
        <f>VLOOKUP($A51,'Data shares'!$C:$FA,7)</f>
        <v>1701.5</v>
      </c>
      <c r="C51" s="144">
        <f>VLOOKUP($A51,'Data shares'!$C:$FA,3)</f>
        <v>1704.2</v>
      </c>
      <c r="D51" s="144">
        <f>VLOOKUP($A51,'Data shares'!$C:$FA,23)</f>
        <v>2.7</v>
      </c>
      <c r="E51" s="145">
        <f>VLOOKUP($A51,'Data shares'!$C:$FA,26)*100</f>
        <v>0.16</v>
      </c>
      <c r="F51" s="144">
        <f>VLOOKUP($A51,'Data shares'!$C:$FA,24)</f>
        <v>4.4000000000000004</v>
      </c>
      <c r="G51" s="144">
        <f>VLOOKUP($A51,'Data shares'!$C:$FA,25)</f>
        <v>-1.7</v>
      </c>
    </row>
    <row r="52" spans="1:7" x14ac:dyDescent="0.25">
      <c r="A52" s="101" t="str">
        <f>'Data shares'!C48</f>
        <v>COLPAL</v>
      </c>
      <c r="B52" s="144">
        <f>VLOOKUP($A52,'Data shares'!$C:$FA,7)</f>
        <v>2076.6</v>
      </c>
      <c r="C52" s="144">
        <f>VLOOKUP($A52,'Data shares'!$C:$FA,3)</f>
        <v>2081.3000000000002</v>
      </c>
      <c r="D52" s="144">
        <f>VLOOKUP($A52,'Data shares'!$C:$FA,23)</f>
        <v>4.7</v>
      </c>
      <c r="E52" s="145">
        <f>VLOOKUP($A52,'Data shares'!$C:$FA,26)*100</f>
        <v>0.22999999999999998</v>
      </c>
      <c r="F52" s="144">
        <f>VLOOKUP($A52,'Data shares'!$C:$FA,24)</f>
        <v>11</v>
      </c>
      <c r="G52" s="144">
        <f>VLOOKUP($A52,'Data shares'!$C:$FA,25)</f>
        <v>-6.3</v>
      </c>
    </row>
    <row r="53" spans="1:7" x14ac:dyDescent="0.25">
      <c r="A53" s="101" t="str">
        <f>'Data shares'!C49</f>
        <v>CONCOR</v>
      </c>
      <c r="B53" s="144">
        <f>VLOOKUP($A53,'Data shares'!$C:$FA,7)</f>
        <v>532.79999999999995</v>
      </c>
      <c r="C53" s="144">
        <f>VLOOKUP($A53,'Data shares'!$C:$FA,3)</f>
        <v>534.04999999999995</v>
      </c>
      <c r="D53" s="144">
        <f>VLOOKUP($A53,'Data shares'!$C:$FA,23)</f>
        <v>1.25</v>
      </c>
      <c r="E53" s="145">
        <f>VLOOKUP($A53,'Data shares'!$C:$FA,26)*100</f>
        <v>0.22999999999999998</v>
      </c>
      <c r="F53" s="144">
        <f>VLOOKUP($A53,'Data shares'!$C:$FA,24)</f>
        <v>1.35</v>
      </c>
      <c r="G53" s="144">
        <f>VLOOKUP($A53,'Data shares'!$C:$FA,25)</f>
        <v>-0.1</v>
      </c>
    </row>
    <row r="54" spans="1:7" x14ac:dyDescent="0.25">
      <c r="A54" s="101" t="str">
        <f>'Data shares'!C50</f>
        <v>CROMPTON</v>
      </c>
      <c r="B54" s="144">
        <f>VLOOKUP($A54,'Data shares'!$C:$FA,7)</f>
        <v>263.45</v>
      </c>
      <c r="C54" s="144">
        <f>VLOOKUP($A54,'Data shares'!$C:$FA,3)</f>
        <v>264.10000000000002</v>
      </c>
      <c r="D54" s="144">
        <f>VLOOKUP($A54,'Data shares'!$C:$FA,23)</f>
        <v>0.65</v>
      </c>
      <c r="E54" s="145">
        <f>VLOOKUP($A54,'Data shares'!$C:$FA,26)*100</f>
        <v>0.25</v>
      </c>
      <c r="F54" s="144">
        <f>VLOOKUP($A54,'Data shares'!$C:$FA,24)</f>
        <v>0.95</v>
      </c>
      <c r="G54" s="144">
        <f>VLOOKUP($A54,'Data shares'!$C:$FA,25)</f>
        <v>-0.3</v>
      </c>
    </row>
    <row r="55" spans="1:7" x14ac:dyDescent="0.25">
      <c r="A55" s="101" t="str">
        <f>'Data shares'!C51</f>
        <v>CUMMINSIND</v>
      </c>
      <c r="B55" s="144">
        <f>VLOOKUP($A55,'Data shares'!$C:$FA,7)</f>
        <v>4147.8999999999996</v>
      </c>
      <c r="C55" s="144">
        <f>VLOOKUP($A55,'Data shares'!$C:$FA,3)</f>
        <v>4167.2</v>
      </c>
      <c r="D55" s="144">
        <f>VLOOKUP($A55,'Data shares'!$C:$FA,23)</f>
        <v>19.3</v>
      </c>
      <c r="E55" s="145">
        <f>VLOOKUP($A55,'Data shares'!$C:$FA,26)*100</f>
        <v>0.47000000000000003</v>
      </c>
      <c r="F55" s="144">
        <f>VLOOKUP($A55,'Data shares'!$C:$FA,24)</f>
        <v>21</v>
      </c>
      <c r="G55" s="144">
        <f>VLOOKUP($A55,'Data shares'!$C:$FA,25)</f>
        <v>-1.7</v>
      </c>
    </row>
    <row r="56" spans="1:7" x14ac:dyDescent="0.25">
      <c r="A56" s="101" t="str">
        <f>'Data shares'!C52</f>
        <v>DABUR</v>
      </c>
      <c r="B56" s="144">
        <f>VLOOKUP($A56,'Data shares'!$C:$FA,7)</f>
        <v>520.9</v>
      </c>
      <c r="C56" s="144">
        <f>VLOOKUP($A56,'Data shares'!$C:$FA,3)</f>
        <v>523.4</v>
      </c>
      <c r="D56" s="144">
        <f>VLOOKUP($A56,'Data shares'!$C:$FA,23)</f>
        <v>2.5</v>
      </c>
      <c r="E56" s="145">
        <f>VLOOKUP($A56,'Data shares'!$C:$FA,26)*100</f>
        <v>0.48</v>
      </c>
      <c r="F56" s="144">
        <f>VLOOKUP($A56,'Data shares'!$C:$FA,24)</f>
        <v>2.2999999999999998</v>
      </c>
      <c r="G56" s="144">
        <f>VLOOKUP($A56,'Data shares'!$C:$FA,25)</f>
        <v>0.2</v>
      </c>
    </row>
    <row r="57" spans="1:7" x14ac:dyDescent="0.25">
      <c r="A57" s="101" t="str">
        <f>'Data shares'!C53</f>
        <v>DALBHARAT</v>
      </c>
      <c r="B57" s="144">
        <f>VLOOKUP($A57,'Data shares'!$C:$FA,7)</f>
        <v>2121.1999999999998</v>
      </c>
      <c r="C57" s="144">
        <f>VLOOKUP($A57,'Data shares'!$C:$FA,3)</f>
        <v>2131.6</v>
      </c>
      <c r="D57" s="144">
        <f>VLOOKUP($A57,'Data shares'!$C:$FA,23)</f>
        <v>10.4</v>
      </c>
      <c r="E57" s="145">
        <f>VLOOKUP($A57,'Data shares'!$C:$FA,26)*100</f>
        <v>0.49</v>
      </c>
      <c r="F57" s="144">
        <f>VLOOKUP($A57,'Data shares'!$C:$FA,24)</f>
        <v>11.7</v>
      </c>
      <c r="G57" s="144">
        <f>VLOOKUP($A57,'Data shares'!$C:$FA,25)</f>
        <v>-1.3</v>
      </c>
    </row>
    <row r="58" spans="1:7" x14ac:dyDescent="0.25">
      <c r="A58" s="101" t="str">
        <f>'Data shares'!C54</f>
        <v>DELHIVERY</v>
      </c>
      <c r="B58" s="144">
        <f>VLOOKUP($A58,'Data shares'!$C:$FA,7)</f>
        <v>422.25</v>
      </c>
      <c r="C58" s="144">
        <f>VLOOKUP($A58,'Data shares'!$C:$FA,3)</f>
        <v>424.4</v>
      </c>
      <c r="D58" s="144">
        <f>VLOOKUP($A58,'Data shares'!$C:$FA,23)</f>
        <v>2.15</v>
      </c>
      <c r="E58" s="145">
        <f>VLOOKUP($A58,'Data shares'!$C:$FA,26)*100</f>
        <v>0.51</v>
      </c>
      <c r="F58" s="144">
        <f>VLOOKUP($A58,'Data shares'!$C:$FA,24)</f>
        <v>1.95</v>
      </c>
      <c r="G58" s="144">
        <f>VLOOKUP($A58,'Data shares'!$C:$FA,25)</f>
        <v>0.2</v>
      </c>
    </row>
    <row r="59" spans="1:7" x14ac:dyDescent="0.25">
      <c r="A59" s="101" t="str">
        <f>'Data shares'!C55</f>
        <v>DIVISLAB</v>
      </c>
      <c r="B59" s="144">
        <f>VLOOKUP($A59,'Data shares'!$C:$FA,7)</f>
        <v>6642.5</v>
      </c>
      <c r="C59" s="144">
        <f>VLOOKUP($A59,'Data shares'!$C:$FA,3)</f>
        <v>6657.5</v>
      </c>
      <c r="D59" s="144">
        <f>VLOOKUP($A59,'Data shares'!$C:$FA,23)</f>
        <v>15</v>
      </c>
      <c r="E59" s="145">
        <f>VLOOKUP($A59,'Data shares'!$C:$FA,26)*100</f>
        <v>0.22999999999999998</v>
      </c>
      <c r="F59" s="144">
        <f>VLOOKUP($A59,'Data shares'!$C:$FA,24)</f>
        <v>34</v>
      </c>
      <c r="G59" s="144">
        <f>VLOOKUP($A59,'Data shares'!$C:$FA,25)</f>
        <v>-19</v>
      </c>
    </row>
    <row r="60" spans="1:7" x14ac:dyDescent="0.25">
      <c r="A60" s="101" t="str">
        <f>'Data shares'!C56</f>
        <v>DIXON</v>
      </c>
      <c r="B60" s="144">
        <f>VLOOKUP($A60,'Data shares'!$C:$FA,7)</f>
        <v>11770</v>
      </c>
      <c r="C60" s="144">
        <f>VLOOKUP($A60,'Data shares'!$C:$FA,3)</f>
        <v>11827</v>
      </c>
      <c r="D60" s="144">
        <f>VLOOKUP($A60,'Data shares'!$C:$FA,23)</f>
        <v>57</v>
      </c>
      <c r="E60" s="145">
        <f>VLOOKUP($A60,'Data shares'!$C:$FA,26)*100</f>
        <v>0.48</v>
      </c>
      <c r="F60" s="144">
        <f>VLOOKUP($A60,'Data shares'!$C:$FA,24)</f>
        <v>13</v>
      </c>
      <c r="G60" s="144">
        <f>VLOOKUP($A60,'Data shares'!$C:$FA,25)</f>
        <v>44</v>
      </c>
    </row>
    <row r="61" spans="1:7" x14ac:dyDescent="0.25">
      <c r="A61" s="101" t="str">
        <f>'Data shares'!C57</f>
        <v>DLF</v>
      </c>
      <c r="B61" s="144">
        <f>VLOOKUP($A61,'Data shares'!$C:$FA,7)</f>
        <v>703.25</v>
      </c>
      <c r="C61" s="144">
        <f>VLOOKUP($A61,'Data shares'!$C:$FA,3)</f>
        <v>706.45</v>
      </c>
      <c r="D61" s="144">
        <f>VLOOKUP($A61,'Data shares'!$C:$FA,23)</f>
        <v>3.2</v>
      </c>
      <c r="E61" s="145">
        <f>VLOOKUP($A61,'Data shares'!$C:$FA,26)*100</f>
        <v>0.45999999999999996</v>
      </c>
      <c r="F61" s="144">
        <f>VLOOKUP($A61,'Data shares'!$C:$FA,24)</f>
        <v>1.9</v>
      </c>
      <c r="G61" s="144">
        <f>VLOOKUP($A61,'Data shares'!$C:$FA,25)</f>
        <v>1.3</v>
      </c>
    </row>
    <row r="62" spans="1:7" x14ac:dyDescent="0.25">
      <c r="A62" s="101" t="str">
        <f>'Data shares'!C58</f>
        <v>DMART</v>
      </c>
      <c r="B62" s="144">
        <f>VLOOKUP($A62,'Data shares'!$C:$FA,7)</f>
        <v>3841.6</v>
      </c>
      <c r="C62" s="144">
        <f>VLOOKUP($A62,'Data shares'!$C:$FA,3)</f>
        <v>3857.7</v>
      </c>
      <c r="D62" s="144">
        <f>VLOOKUP($A62,'Data shares'!$C:$FA,23)</f>
        <v>16.100000000000001</v>
      </c>
      <c r="E62" s="145">
        <f>VLOOKUP($A62,'Data shares'!$C:$FA,26)*100</f>
        <v>0.42</v>
      </c>
      <c r="F62" s="144">
        <f>VLOOKUP($A62,'Data shares'!$C:$FA,24)</f>
        <v>17.899999999999999</v>
      </c>
      <c r="G62" s="144">
        <f>VLOOKUP($A62,'Data shares'!$C:$FA,25)</f>
        <v>-1.8</v>
      </c>
    </row>
    <row r="63" spans="1:7" x14ac:dyDescent="0.25">
      <c r="A63" s="101" t="str">
        <f>'Data shares'!C59</f>
        <v>DRREDDY</v>
      </c>
      <c r="B63" s="144">
        <f>VLOOKUP($A63,'Data shares'!$C:$FA,7)</f>
        <v>1242.8</v>
      </c>
      <c r="C63" s="144">
        <f>VLOOKUP($A63,'Data shares'!$C:$FA,3)</f>
        <v>1246.2</v>
      </c>
      <c r="D63" s="144">
        <f>VLOOKUP($A63,'Data shares'!$C:$FA,23)</f>
        <v>3.4</v>
      </c>
      <c r="E63" s="145">
        <f>VLOOKUP($A63,'Data shares'!$C:$FA,26)*100</f>
        <v>0.27</v>
      </c>
      <c r="F63" s="144">
        <f>VLOOKUP($A63,'Data shares'!$C:$FA,24)</f>
        <v>2.8</v>
      </c>
      <c r="G63" s="144">
        <f>VLOOKUP($A63,'Data shares'!$C:$FA,25)</f>
        <v>0.6</v>
      </c>
    </row>
    <row r="64" spans="1:7" x14ac:dyDescent="0.25">
      <c r="A64" s="101" t="str">
        <f>'Data shares'!C60</f>
        <v>EICHERMOT</v>
      </c>
      <c r="B64" s="144">
        <f>VLOOKUP($A64,'Data shares'!$C:$FA,7)</f>
        <v>7582.5</v>
      </c>
      <c r="C64" s="144">
        <f>VLOOKUP($A64,'Data shares'!$C:$FA,3)</f>
        <v>7617</v>
      </c>
      <c r="D64" s="144">
        <f>VLOOKUP($A64,'Data shares'!$C:$FA,23)</f>
        <v>34.5</v>
      </c>
      <c r="E64" s="145">
        <f>VLOOKUP($A64,'Data shares'!$C:$FA,26)*100</f>
        <v>0.44999999999999996</v>
      </c>
      <c r="F64" s="144">
        <f>VLOOKUP($A64,'Data shares'!$C:$FA,24)</f>
        <v>34.5</v>
      </c>
      <c r="G64" s="144">
        <f>VLOOKUP($A64,'Data shares'!$C:$FA,25)</f>
        <v>0</v>
      </c>
    </row>
    <row r="65" spans="1:7" x14ac:dyDescent="0.25">
      <c r="A65" s="101" t="str">
        <f>'Data shares'!C61</f>
        <v>ETERNAL</v>
      </c>
      <c r="B65" s="144">
        <f>VLOOKUP($A65,'Data shares'!$C:$FA,7)</f>
        <v>280.95</v>
      </c>
      <c r="C65" s="144">
        <f>VLOOKUP($A65,'Data shares'!$C:$FA,3)</f>
        <v>282.39999999999998</v>
      </c>
      <c r="D65" s="144">
        <f>VLOOKUP($A65,'Data shares'!$C:$FA,23)</f>
        <v>1.45</v>
      </c>
      <c r="E65" s="145">
        <f>VLOOKUP($A65,'Data shares'!$C:$FA,26)*100</f>
        <v>0.52</v>
      </c>
      <c r="F65" s="144">
        <f>VLOOKUP($A65,'Data shares'!$C:$FA,24)</f>
        <v>0.55000000000000004</v>
      </c>
      <c r="G65" s="144">
        <f>VLOOKUP($A65,'Data shares'!$C:$FA,25)</f>
        <v>0.9</v>
      </c>
    </row>
    <row r="66" spans="1:7" x14ac:dyDescent="0.25">
      <c r="A66" s="101" t="str">
        <f>'Data shares'!C62</f>
        <v>EXIDEIND</v>
      </c>
      <c r="B66" s="144">
        <f>VLOOKUP($A66,'Data shares'!$C:$FA,7)</f>
        <v>359.4</v>
      </c>
      <c r="C66" s="144">
        <f>VLOOKUP($A66,'Data shares'!$C:$FA,3)</f>
        <v>360.35</v>
      </c>
      <c r="D66" s="144">
        <f>VLOOKUP($A66,'Data shares'!$C:$FA,23)</f>
        <v>0.95</v>
      </c>
      <c r="E66" s="145">
        <f>VLOOKUP($A66,'Data shares'!$C:$FA,26)*100</f>
        <v>0.26</v>
      </c>
      <c r="F66" s="144">
        <f>VLOOKUP($A66,'Data shares'!$C:$FA,24)</f>
        <v>1.1000000000000001</v>
      </c>
      <c r="G66" s="144">
        <f>VLOOKUP($A66,'Data shares'!$C:$FA,25)</f>
        <v>-0.15</v>
      </c>
    </row>
    <row r="67" spans="1:7" x14ac:dyDescent="0.25">
      <c r="A67" s="101" t="str">
        <f>'Data shares'!C63</f>
        <v>FEDERALBNK</v>
      </c>
      <c r="B67" s="144">
        <f>VLOOKUP($A67,'Data shares'!$C:$FA,7)</f>
        <v>258.55</v>
      </c>
      <c r="C67" s="144">
        <f>VLOOKUP($A67,'Data shares'!$C:$FA,3)</f>
        <v>258.89999999999998</v>
      </c>
      <c r="D67" s="144">
        <f>VLOOKUP($A67,'Data shares'!$C:$FA,23)</f>
        <v>0.35</v>
      </c>
      <c r="E67" s="145">
        <f>VLOOKUP($A67,'Data shares'!$C:$FA,26)*100</f>
        <v>0.13999999999999999</v>
      </c>
      <c r="F67" s="144">
        <f>VLOOKUP($A67,'Data shares'!$C:$FA,24)</f>
        <v>1.35</v>
      </c>
      <c r="G67" s="144">
        <f>VLOOKUP($A67,'Data shares'!$C:$FA,25)</f>
        <v>-1</v>
      </c>
    </row>
    <row r="68" spans="1:7" x14ac:dyDescent="0.25">
      <c r="A68" s="101" t="str">
        <f>'Data shares'!C64</f>
        <v>FINNIFTY</v>
      </c>
      <c r="B68" s="144">
        <f>VLOOKUP($A68,'Data shares'!$C:$FA,7)</f>
        <v>27853.35</v>
      </c>
      <c r="C68" s="144">
        <f>VLOOKUP($A68,'Data shares'!$C:$FA,3)</f>
        <v>27955.3</v>
      </c>
      <c r="D68" s="144">
        <f>VLOOKUP($A68,'Data shares'!$C:$FA,23)</f>
        <v>101.95</v>
      </c>
      <c r="E68" s="145">
        <f>VLOOKUP($A68,'Data shares'!$C:$FA,26)*100</f>
        <v>0.37</v>
      </c>
      <c r="F68" s="144">
        <f>VLOOKUP($A68,'Data shares'!$C:$FA,24)</f>
        <v>96</v>
      </c>
      <c r="G68" s="144">
        <f>VLOOKUP($A68,'Data shares'!$C:$FA,25)</f>
        <v>5.95</v>
      </c>
    </row>
    <row r="69" spans="1:7" x14ac:dyDescent="0.25">
      <c r="A69" s="101" t="str">
        <f>'Data shares'!C65</f>
        <v>FORTIS</v>
      </c>
      <c r="B69" s="144">
        <f>VLOOKUP($A69,'Data shares'!$C:$FA,7)</f>
        <v>940.85</v>
      </c>
      <c r="C69" s="144">
        <f>VLOOKUP($A69,'Data shares'!$C:$FA,3)</f>
        <v>942.6</v>
      </c>
      <c r="D69" s="144">
        <f>VLOOKUP($A69,'Data shares'!$C:$FA,23)</f>
        <v>1.75</v>
      </c>
      <c r="E69" s="145">
        <f>VLOOKUP($A69,'Data shares'!$C:$FA,26)*100</f>
        <v>0.19</v>
      </c>
      <c r="F69" s="144">
        <f>VLOOKUP($A69,'Data shares'!$C:$FA,24)</f>
        <v>2.5</v>
      </c>
      <c r="G69" s="144">
        <f>VLOOKUP($A69,'Data shares'!$C:$FA,25)</f>
        <v>-0.75</v>
      </c>
    </row>
    <row r="70" spans="1:7" x14ac:dyDescent="0.25">
      <c r="A70" s="101" t="str">
        <f>'Data shares'!C66</f>
        <v>GAIL</v>
      </c>
      <c r="B70" s="144">
        <f>VLOOKUP($A70,'Data shares'!$C:$FA,7)</f>
        <v>168.48</v>
      </c>
      <c r="C70" s="144">
        <f>VLOOKUP($A70,'Data shares'!$C:$FA,3)</f>
        <v>169.05</v>
      </c>
      <c r="D70" s="144">
        <f>VLOOKUP($A70,'Data shares'!$C:$FA,23)</f>
        <v>0.56999999999999995</v>
      </c>
      <c r="E70" s="145">
        <f>VLOOKUP($A70,'Data shares'!$C:$FA,26)*100</f>
        <v>0.33999999999999997</v>
      </c>
      <c r="F70" s="144">
        <f>VLOOKUP($A70,'Data shares'!$C:$FA,24)</f>
        <v>0.68</v>
      </c>
      <c r="G70" s="144">
        <f>VLOOKUP($A70,'Data shares'!$C:$FA,25)</f>
        <v>-0.11</v>
      </c>
    </row>
    <row r="71" spans="1:7" x14ac:dyDescent="0.25">
      <c r="A71" s="101" t="str">
        <f>'Data shares'!C67</f>
        <v>GLENMARK</v>
      </c>
      <c r="B71" s="144">
        <f>VLOOKUP($A71,'Data shares'!$C:$FA,7)</f>
        <v>2113.1</v>
      </c>
      <c r="C71" s="144">
        <f>VLOOKUP($A71,'Data shares'!$C:$FA,3)</f>
        <v>2122.5</v>
      </c>
      <c r="D71" s="144">
        <f>VLOOKUP($A71,'Data shares'!$C:$FA,23)</f>
        <v>9.4</v>
      </c>
      <c r="E71" s="145">
        <f>VLOOKUP($A71,'Data shares'!$C:$FA,26)*100</f>
        <v>0.44</v>
      </c>
      <c r="F71" s="144">
        <f>VLOOKUP($A71,'Data shares'!$C:$FA,24)</f>
        <v>10.9</v>
      </c>
      <c r="G71" s="144">
        <f>VLOOKUP($A71,'Data shares'!$C:$FA,25)</f>
        <v>-1.5</v>
      </c>
    </row>
    <row r="72" spans="1:7" x14ac:dyDescent="0.25">
      <c r="A72" s="101" t="str">
        <f>'Data shares'!C68</f>
        <v>GMRAIRPORT</v>
      </c>
      <c r="B72" s="144">
        <f>VLOOKUP($A72,'Data shares'!$C:$FA,7)</f>
        <v>104.51</v>
      </c>
      <c r="C72" s="144">
        <f>VLOOKUP($A72,'Data shares'!$C:$FA,3)</f>
        <v>105.03</v>
      </c>
      <c r="D72" s="144">
        <f>VLOOKUP($A72,'Data shares'!$C:$FA,23)</f>
        <v>0.52</v>
      </c>
      <c r="E72" s="145">
        <f>VLOOKUP($A72,'Data shares'!$C:$FA,26)*100</f>
        <v>0.5</v>
      </c>
      <c r="F72" s="144">
        <f>VLOOKUP($A72,'Data shares'!$C:$FA,24)</f>
        <v>0.48</v>
      </c>
      <c r="G72" s="144">
        <f>VLOOKUP($A72,'Data shares'!$C:$FA,25)</f>
        <v>0.04</v>
      </c>
    </row>
    <row r="73" spans="1:7" x14ac:dyDescent="0.25">
      <c r="A73" s="101" t="str">
        <f>'Data shares'!C69</f>
        <v>GODREJCP</v>
      </c>
      <c r="B73" s="144">
        <f>VLOOKUP($A73,'Data shares'!$C:$FA,7)</f>
        <v>1247.7</v>
      </c>
      <c r="C73" s="144">
        <f>VLOOKUP($A73,'Data shares'!$C:$FA,3)</f>
        <v>1250.5999999999999</v>
      </c>
      <c r="D73" s="144">
        <f>VLOOKUP($A73,'Data shares'!$C:$FA,23)</f>
        <v>2.9</v>
      </c>
      <c r="E73" s="145">
        <f>VLOOKUP($A73,'Data shares'!$C:$FA,26)*100</f>
        <v>0.22999999999999998</v>
      </c>
      <c r="F73" s="144">
        <f>VLOOKUP($A73,'Data shares'!$C:$FA,24)</f>
        <v>6.2</v>
      </c>
      <c r="G73" s="144">
        <f>VLOOKUP($A73,'Data shares'!$C:$FA,25)</f>
        <v>-3.3</v>
      </c>
    </row>
    <row r="74" spans="1:7" x14ac:dyDescent="0.25">
      <c r="A74" s="101" t="str">
        <f>'Data shares'!C70</f>
        <v>GODREJPROP</v>
      </c>
      <c r="B74" s="144">
        <f>VLOOKUP($A74,'Data shares'!$C:$FA,7)</f>
        <v>2138.1999999999998</v>
      </c>
      <c r="C74" s="144">
        <f>VLOOKUP($A74,'Data shares'!$C:$FA,3)</f>
        <v>2148.6999999999998</v>
      </c>
      <c r="D74" s="144">
        <f>VLOOKUP($A74,'Data shares'!$C:$FA,23)</f>
        <v>10.5</v>
      </c>
      <c r="E74" s="145">
        <f>VLOOKUP($A74,'Data shares'!$C:$FA,26)*100</f>
        <v>0.49</v>
      </c>
      <c r="F74" s="144">
        <f>VLOOKUP($A74,'Data shares'!$C:$FA,24)</f>
        <v>7</v>
      </c>
      <c r="G74" s="144">
        <f>VLOOKUP($A74,'Data shares'!$C:$FA,25)</f>
        <v>3.5</v>
      </c>
    </row>
    <row r="75" spans="1:7" x14ac:dyDescent="0.25">
      <c r="A75" s="101" t="str">
        <f>'Data shares'!C71</f>
        <v>GRASIM</v>
      </c>
      <c r="B75" s="144">
        <f>VLOOKUP($A75,'Data shares'!$C:$FA,7)</f>
        <v>2837.1</v>
      </c>
      <c r="C75" s="144">
        <f>VLOOKUP($A75,'Data shares'!$C:$FA,3)</f>
        <v>2848.6</v>
      </c>
      <c r="D75" s="144">
        <f>VLOOKUP($A75,'Data shares'!$C:$FA,23)</f>
        <v>11.5</v>
      </c>
      <c r="E75" s="145">
        <f>VLOOKUP($A75,'Data shares'!$C:$FA,26)*100</f>
        <v>0.41000000000000003</v>
      </c>
      <c r="F75" s="144">
        <f>VLOOKUP($A75,'Data shares'!$C:$FA,24)</f>
        <v>14.4</v>
      </c>
      <c r="G75" s="144">
        <f>VLOOKUP($A75,'Data shares'!$C:$FA,25)</f>
        <v>-2.9</v>
      </c>
    </row>
    <row r="76" spans="1:7" x14ac:dyDescent="0.25">
      <c r="A76" s="101" t="str">
        <f>'Data shares'!C72</f>
        <v>HAL</v>
      </c>
      <c r="B76" s="144">
        <f>VLOOKUP($A76,'Data shares'!$C:$FA,7)</f>
        <v>4525.1000000000004</v>
      </c>
      <c r="C76" s="144">
        <f>VLOOKUP($A76,'Data shares'!$C:$FA,3)</f>
        <v>4535.1000000000004</v>
      </c>
      <c r="D76" s="144">
        <f>VLOOKUP($A76,'Data shares'!$C:$FA,23)</f>
        <v>10</v>
      </c>
      <c r="E76" s="145">
        <f>VLOOKUP($A76,'Data shares'!$C:$FA,26)*100</f>
        <v>0.22</v>
      </c>
      <c r="F76" s="144">
        <f>VLOOKUP($A76,'Data shares'!$C:$FA,24)</f>
        <v>12.3</v>
      </c>
      <c r="G76" s="144">
        <f>VLOOKUP($A76,'Data shares'!$C:$FA,25)</f>
        <v>-2.2999999999999998</v>
      </c>
    </row>
    <row r="77" spans="1:7" x14ac:dyDescent="0.25">
      <c r="A77" s="101" t="str">
        <f>'Data shares'!C73</f>
        <v>HAVELLS</v>
      </c>
      <c r="B77" s="144">
        <f>VLOOKUP($A77,'Data shares'!$C:$FA,7)</f>
        <v>1496.2</v>
      </c>
      <c r="C77" s="144">
        <f>VLOOKUP($A77,'Data shares'!$C:$FA,3)</f>
        <v>1499.6</v>
      </c>
      <c r="D77" s="144">
        <f>VLOOKUP($A77,'Data shares'!$C:$FA,23)</f>
        <v>3.4</v>
      </c>
      <c r="E77" s="145">
        <f>VLOOKUP($A77,'Data shares'!$C:$FA,26)*100</f>
        <v>0.22999999999999998</v>
      </c>
      <c r="F77" s="144">
        <f>VLOOKUP($A77,'Data shares'!$C:$FA,24)</f>
        <v>6.7</v>
      </c>
      <c r="G77" s="144">
        <f>VLOOKUP($A77,'Data shares'!$C:$FA,25)</f>
        <v>-3.3</v>
      </c>
    </row>
    <row r="78" spans="1:7" x14ac:dyDescent="0.25">
      <c r="A78" s="101" t="str">
        <f>'Data shares'!C74</f>
        <v>HCLTECH</v>
      </c>
      <c r="B78" s="144">
        <f>VLOOKUP($A78,'Data shares'!$C:$FA,7)</f>
        <v>1647.7</v>
      </c>
      <c r="C78" s="144">
        <f>VLOOKUP($A78,'Data shares'!$C:$FA,3)</f>
        <v>1643.4</v>
      </c>
      <c r="D78" s="144">
        <f>VLOOKUP($A78,'Data shares'!$C:$FA,23)</f>
        <v>-4.3</v>
      </c>
      <c r="E78" s="145">
        <f>VLOOKUP($A78,'Data shares'!$C:$FA,26)*100</f>
        <v>-0.26</v>
      </c>
      <c r="F78" s="144">
        <f>VLOOKUP($A78,'Data shares'!$C:$FA,24)</f>
        <v>-5.3</v>
      </c>
      <c r="G78" s="144">
        <f>VLOOKUP($A78,'Data shares'!$C:$FA,25)</f>
        <v>1</v>
      </c>
    </row>
    <row r="79" spans="1:7" x14ac:dyDescent="0.25">
      <c r="A79" s="101" t="str">
        <f>'Data shares'!C75</f>
        <v>HDFCAMC</v>
      </c>
      <c r="B79" s="144">
        <f>VLOOKUP($A79,'Data shares'!$C:$FA,7)</f>
        <v>2624.6</v>
      </c>
      <c r="C79" s="144">
        <f>VLOOKUP($A79,'Data shares'!$C:$FA,3)</f>
        <v>2636.3</v>
      </c>
      <c r="D79" s="144">
        <f>VLOOKUP($A79,'Data shares'!$C:$FA,23)</f>
        <v>11.7</v>
      </c>
      <c r="E79" s="145">
        <f>VLOOKUP($A79,'Data shares'!$C:$FA,26)*100</f>
        <v>0.44999999999999996</v>
      </c>
      <c r="F79" s="144">
        <f>VLOOKUP($A79,'Data shares'!$C:$FA,24)</f>
        <v>12.5</v>
      </c>
      <c r="G79" s="144">
        <f>VLOOKUP($A79,'Data shares'!$C:$FA,25)</f>
        <v>-0.8</v>
      </c>
    </row>
    <row r="80" spans="1:7" x14ac:dyDescent="0.25">
      <c r="A80" s="101" t="str">
        <f>'Data shares'!C76</f>
        <v>HDFCBANK</v>
      </c>
      <c r="B80" s="144">
        <f>VLOOKUP($A80,'Data shares'!$C:$FA,7)</f>
        <v>949.05</v>
      </c>
      <c r="C80" s="144">
        <f>VLOOKUP($A80,'Data shares'!$C:$FA,3)</f>
        <v>952.55</v>
      </c>
      <c r="D80" s="144">
        <f>VLOOKUP($A80,'Data shares'!$C:$FA,23)</f>
        <v>3.5</v>
      </c>
      <c r="E80" s="145">
        <f>VLOOKUP($A80,'Data shares'!$C:$FA,26)*100</f>
        <v>0.37</v>
      </c>
      <c r="F80" s="144">
        <f>VLOOKUP($A80,'Data shares'!$C:$FA,24)</f>
        <v>4.75</v>
      </c>
      <c r="G80" s="144">
        <f>VLOOKUP($A80,'Data shares'!$C:$FA,25)</f>
        <v>-1.25</v>
      </c>
    </row>
    <row r="81" spans="1:7" x14ac:dyDescent="0.25">
      <c r="A81" s="101" t="str">
        <f>'Data shares'!C77</f>
        <v>HDFCLIFE</v>
      </c>
      <c r="B81" s="144">
        <f>VLOOKUP($A81,'Data shares'!$C:$FA,7)</f>
        <v>772.35</v>
      </c>
      <c r="C81" s="144">
        <f>VLOOKUP($A81,'Data shares'!$C:$FA,3)</f>
        <v>775.35</v>
      </c>
      <c r="D81" s="144">
        <f>VLOOKUP($A81,'Data shares'!$C:$FA,23)</f>
        <v>3</v>
      </c>
      <c r="E81" s="145">
        <f>VLOOKUP($A81,'Data shares'!$C:$FA,26)*100</f>
        <v>0.38999999999999996</v>
      </c>
      <c r="F81" s="144">
        <f>VLOOKUP($A81,'Data shares'!$C:$FA,24)</f>
        <v>1.7</v>
      </c>
      <c r="G81" s="144">
        <f>VLOOKUP($A81,'Data shares'!$C:$FA,25)</f>
        <v>1.3</v>
      </c>
    </row>
    <row r="82" spans="1:7" x14ac:dyDescent="0.25">
      <c r="A82" s="101" t="str">
        <f>'Data shares'!C78</f>
        <v>HEROMOTOCO</v>
      </c>
      <c r="B82" s="144">
        <f>VLOOKUP($A82,'Data shares'!$C:$FA,7)</f>
        <v>5981</v>
      </c>
      <c r="C82" s="144">
        <f>VLOOKUP($A82,'Data shares'!$C:$FA,3)</f>
        <v>6009</v>
      </c>
      <c r="D82" s="144">
        <f>VLOOKUP($A82,'Data shares'!$C:$FA,23)</f>
        <v>28</v>
      </c>
      <c r="E82" s="145">
        <f>VLOOKUP($A82,'Data shares'!$C:$FA,26)*100</f>
        <v>0.47000000000000003</v>
      </c>
      <c r="F82" s="144">
        <f>VLOOKUP($A82,'Data shares'!$C:$FA,24)</f>
        <v>30</v>
      </c>
      <c r="G82" s="144">
        <f>VLOOKUP($A82,'Data shares'!$C:$FA,25)</f>
        <v>-2</v>
      </c>
    </row>
    <row r="83" spans="1:7" x14ac:dyDescent="0.25">
      <c r="A83" s="101" t="str">
        <f>'Data shares'!C79</f>
        <v>HINDALCO</v>
      </c>
      <c r="B83" s="144">
        <f>VLOOKUP($A83,'Data shares'!$C:$FA,7)</f>
        <v>938.45</v>
      </c>
      <c r="C83" s="144">
        <f>VLOOKUP($A83,'Data shares'!$C:$FA,3)</f>
        <v>940.2</v>
      </c>
      <c r="D83" s="144">
        <f>VLOOKUP($A83,'Data shares'!$C:$FA,23)</f>
        <v>1.75</v>
      </c>
      <c r="E83" s="145">
        <f>VLOOKUP($A83,'Data shares'!$C:$FA,26)*100</f>
        <v>0.19</v>
      </c>
      <c r="F83" s="144">
        <f>VLOOKUP($A83,'Data shares'!$C:$FA,24)</f>
        <v>3.55</v>
      </c>
      <c r="G83" s="144">
        <f>VLOOKUP($A83,'Data shares'!$C:$FA,25)</f>
        <v>-1.8</v>
      </c>
    </row>
    <row r="84" spans="1:7" x14ac:dyDescent="0.25">
      <c r="A84" s="101" t="str">
        <f>'Data shares'!C80</f>
        <v>HINDPETRO</v>
      </c>
      <c r="B84" s="144">
        <f>VLOOKUP($A84,'Data shares'!$C:$FA,7)</f>
        <v>476.45</v>
      </c>
      <c r="C84" s="144">
        <f>VLOOKUP($A84,'Data shares'!$C:$FA,3)</f>
        <v>478.2</v>
      </c>
      <c r="D84" s="144">
        <f>VLOOKUP($A84,'Data shares'!$C:$FA,23)</f>
        <v>1.75</v>
      </c>
      <c r="E84" s="145">
        <f>VLOOKUP($A84,'Data shares'!$C:$FA,26)*100</f>
        <v>0.37</v>
      </c>
      <c r="F84" s="144">
        <f>VLOOKUP($A84,'Data shares'!$C:$FA,24)</f>
        <v>1.75</v>
      </c>
      <c r="G84" s="144">
        <f>VLOOKUP($A84,'Data shares'!$C:$FA,25)</f>
        <v>0</v>
      </c>
    </row>
    <row r="85" spans="1:7" x14ac:dyDescent="0.25">
      <c r="A85" s="101" t="str">
        <f>'Data shares'!C81</f>
        <v>HINDUNILVR</v>
      </c>
      <c r="B85" s="144">
        <f>VLOOKUP($A85,'Data shares'!$C:$FA,7)</f>
        <v>2399.4</v>
      </c>
      <c r="C85" s="144">
        <f>VLOOKUP($A85,'Data shares'!$C:$FA,3)</f>
        <v>2398.4</v>
      </c>
      <c r="D85" s="144">
        <f>VLOOKUP($A85,'Data shares'!$C:$FA,23)</f>
        <v>-1</v>
      </c>
      <c r="E85" s="145">
        <f>VLOOKUP($A85,'Data shares'!$C:$FA,26)*100</f>
        <v>-0.04</v>
      </c>
      <c r="F85" s="144">
        <f>VLOOKUP($A85,'Data shares'!$C:$FA,24)</f>
        <v>3.9</v>
      </c>
      <c r="G85" s="144">
        <f>VLOOKUP($A85,'Data shares'!$C:$FA,25)</f>
        <v>-4.9000000000000004</v>
      </c>
    </row>
    <row r="86" spans="1:7" x14ac:dyDescent="0.25">
      <c r="A86" s="101" t="str">
        <f>'Data shares'!C82</f>
        <v>HINDZINC</v>
      </c>
      <c r="B86" s="144">
        <f>VLOOKUP($A86,'Data shares'!$C:$FA,7)</f>
        <v>630</v>
      </c>
      <c r="C86" s="144">
        <f>VLOOKUP($A86,'Data shares'!$C:$FA,3)</f>
        <v>631.20000000000005</v>
      </c>
      <c r="D86" s="144">
        <f>VLOOKUP($A86,'Data shares'!$C:$FA,23)</f>
        <v>1.2</v>
      </c>
      <c r="E86" s="145">
        <f>VLOOKUP($A86,'Data shares'!$C:$FA,26)*100</f>
        <v>0.19</v>
      </c>
      <c r="F86" s="144">
        <f>VLOOKUP($A86,'Data shares'!$C:$FA,24)</f>
        <v>1.25</v>
      </c>
      <c r="G86" s="144">
        <f>VLOOKUP($A86,'Data shares'!$C:$FA,25)</f>
        <v>-0.05</v>
      </c>
    </row>
    <row r="87" spans="1:7" x14ac:dyDescent="0.25">
      <c r="A87" s="101" t="str">
        <f>'Data shares'!C83</f>
        <v>HUDCO</v>
      </c>
      <c r="B87" s="144">
        <f>VLOOKUP($A87,'Data shares'!$C:$FA,7)</f>
        <v>226.82</v>
      </c>
      <c r="C87" s="144">
        <f>VLOOKUP($A87,'Data shares'!$C:$FA,3)</f>
        <v>227.86</v>
      </c>
      <c r="D87" s="144">
        <f>VLOOKUP($A87,'Data shares'!$C:$FA,23)</f>
        <v>1.04</v>
      </c>
      <c r="E87" s="145">
        <f>VLOOKUP($A87,'Data shares'!$C:$FA,26)*100</f>
        <v>0.45999999999999996</v>
      </c>
      <c r="F87" s="144">
        <f>VLOOKUP($A87,'Data shares'!$C:$FA,24)</f>
        <v>1.1399999999999999</v>
      </c>
      <c r="G87" s="144">
        <f>VLOOKUP($A87,'Data shares'!$C:$FA,25)</f>
        <v>-0.1</v>
      </c>
    </row>
    <row r="88" spans="1:7" x14ac:dyDescent="0.25">
      <c r="A88" s="101" t="str">
        <f>'Data shares'!C84</f>
        <v>ICICIBANK</v>
      </c>
      <c r="B88" s="144">
        <f>VLOOKUP($A88,'Data shares'!$C:$FA,7)</f>
        <v>1427.7</v>
      </c>
      <c r="C88" s="144">
        <f>VLOOKUP($A88,'Data shares'!$C:$FA,3)</f>
        <v>1430.7</v>
      </c>
      <c r="D88" s="144">
        <f>VLOOKUP($A88,'Data shares'!$C:$FA,23)</f>
        <v>3</v>
      </c>
      <c r="E88" s="145">
        <f>VLOOKUP($A88,'Data shares'!$C:$FA,26)*100</f>
        <v>0.21</v>
      </c>
      <c r="F88" s="144">
        <f>VLOOKUP($A88,'Data shares'!$C:$FA,24)</f>
        <v>3.4</v>
      </c>
      <c r="G88" s="144">
        <f>VLOOKUP($A88,'Data shares'!$C:$FA,25)</f>
        <v>-0.4</v>
      </c>
    </row>
    <row r="89" spans="1:7" x14ac:dyDescent="0.25">
      <c r="A89" s="101" t="str">
        <f>'Data shares'!C85</f>
        <v>ICICIGI</v>
      </c>
      <c r="B89" s="144">
        <f>VLOOKUP($A89,'Data shares'!$C:$FA,7)</f>
        <v>1966.2</v>
      </c>
      <c r="C89" s="144">
        <f>VLOOKUP($A89,'Data shares'!$C:$FA,3)</f>
        <v>1974</v>
      </c>
      <c r="D89" s="144">
        <f>VLOOKUP($A89,'Data shares'!$C:$FA,23)</f>
        <v>7.8</v>
      </c>
      <c r="E89" s="145">
        <f>VLOOKUP($A89,'Data shares'!$C:$FA,26)*100</f>
        <v>0.4</v>
      </c>
      <c r="F89" s="144">
        <f>VLOOKUP($A89,'Data shares'!$C:$FA,24)</f>
        <v>8.3000000000000007</v>
      </c>
      <c r="G89" s="144">
        <f>VLOOKUP($A89,'Data shares'!$C:$FA,25)</f>
        <v>-0.5</v>
      </c>
    </row>
    <row r="90" spans="1:7" x14ac:dyDescent="0.25">
      <c r="A90" s="101" t="str">
        <f>'Data shares'!C86</f>
        <v>ICICIPRULI</v>
      </c>
      <c r="B90" s="144">
        <f>VLOOKUP($A90,'Data shares'!$C:$FA,7)</f>
        <v>684.6</v>
      </c>
      <c r="C90" s="144">
        <f>VLOOKUP($A90,'Data shares'!$C:$FA,3)</f>
        <v>686.15</v>
      </c>
      <c r="D90" s="144">
        <f>VLOOKUP($A90,'Data shares'!$C:$FA,23)</f>
        <v>1.55</v>
      </c>
      <c r="E90" s="145">
        <f>VLOOKUP($A90,'Data shares'!$C:$FA,26)*100</f>
        <v>0.22999999999999998</v>
      </c>
      <c r="F90" s="144">
        <f>VLOOKUP($A90,'Data shares'!$C:$FA,24)</f>
        <v>2.8</v>
      </c>
      <c r="G90" s="144">
        <f>VLOOKUP($A90,'Data shares'!$C:$FA,25)</f>
        <v>-1.25</v>
      </c>
    </row>
    <row r="91" spans="1:7" x14ac:dyDescent="0.25">
      <c r="A91" s="101" t="str">
        <f>'Data shares'!C87</f>
        <v>IDEA</v>
      </c>
      <c r="B91" s="144">
        <f>VLOOKUP($A91,'Data shares'!$C:$FA,7)</f>
        <v>11.46</v>
      </c>
      <c r="C91" s="144">
        <f>VLOOKUP($A91,'Data shares'!$C:$FA,3)</f>
        <v>11.52</v>
      </c>
      <c r="D91" s="144">
        <f>VLOOKUP($A91,'Data shares'!$C:$FA,23)</f>
        <v>0.06</v>
      </c>
      <c r="E91" s="145">
        <f>VLOOKUP($A91,'Data shares'!$C:$FA,26)*100</f>
        <v>0.52</v>
      </c>
      <c r="F91" s="144">
        <f>VLOOKUP($A91,'Data shares'!$C:$FA,24)</f>
        <v>7.0000000000000007E-2</v>
      </c>
      <c r="G91" s="144">
        <f>VLOOKUP($A91,'Data shares'!$C:$FA,25)</f>
        <v>-0.01</v>
      </c>
    </row>
    <row r="92" spans="1:7" x14ac:dyDescent="0.25">
      <c r="A92" s="101" t="str">
        <f>'Data shares'!C88</f>
        <v>IDFCFIRSTB</v>
      </c>
      <c r="B92" s="144">
        <f>VLOOKUP($A92,'Data shares'!$C:$FA,7)</f>
        <v>84.4</v>
      </c>
      <c r="C92" s="144">
        <f>VLOOKUP($A92,'Data shares'!$C:$FA,3)</f>
        <v>84.79</v>
      </c>
      <c r="D92" s="144">
        <f>VLOOKUP($A92,'Data shares'!$C:$FA,23)</f>
        <v>0.39</v>
      </c>
      <c r="E92" s="145">
        <f>VLOOKUP($A92,'Data shares'!$C:$FA,26)*100</f>
        <v>0.45999999999999996</v>
      </c>
      <c r="F92" s="144">
        <f>VLOOKUP($A92,'Data shares'!$C:$FA,24)</f>
        <v>0.4</v>
      </c>
      <c r="G92" s="144">
        <f>VLOOKUP($A92,'Data shares'!$C:$FA,25)</f>
        <v>-0.01</v>
      </c>
    </row>
    <row r="93" spans="1:7" x14ac:dyDescent="0.25">
      <c r="A93" s="101" t="str">
        <f>'Data shares'!C89</f>
        <v>IEX</v>
      </c>
      <c r="B93" s="144">
        <f>VLOOKUP($A93,'Data shares'!$C:$FA,7)</f>
        <v>154.78</v>
      </c>
      <c r="C93" s="144">
        <f>VLOOKUP($A93,'Data shares'!$C:$FA,3)</f>
        <v>155.34</v>
      </c>
      <c r="D93" s="144">
        <f>VLOOKUP($A93,'Data shares'!$C:$FA,23)</f>
        <v>0.56000000000000005</v>
      </c>
      <c r="E93" s="145">
        <f>VLOOKUP($A93,'Data shares'!$C:$FA,26)*100</f>
        <v>0.36</v>
      </c>
      <c r="F93" s="144">
        <f>VLOOKUP($A93,'Data shares'!$C:$FA,24)</f>
        <v>0.4</v>
      </c>
      <c r="G93" s="144">
        <f>VLOOKUP($A93,'Data shares'!$C:$FA,25)</f>
        <v>0.16</v>
      </c>
    </row>
    <row r="94" spans="1:7" x14ac:dyDescent="0.25">
      <c r="A94" s="101" t="str">
        <f>'Data shares'!C90</f>
        <v>IIFL</v>
      </c>
      <c r="B94" s="144">
        <f>VLOOKUP($A94,'Data shares'!$C:$FA,7)</f>
        <v>656.95</v>
      </c>
      <c r="C94" s="144">
        <f>VLOOKUP($A94,'Data shares'!$C:$FA,3)</f>
        <v>660.45</v>
      </c>
      <c r="D94" s="144">
        <f>VLOOKUP($A94,'Data shares'!$C:$FA,23)</f>
        <v>3.5</v>
      </c>
      <c r="E94" s="145">
        <f>VLOOKUP($A94,'Data shares'!$C:$FA,26)*100</f>
        <v>0.53</v>
      </c>
      <c r="F94" s="144">
        <f>VLOOKUP($A94,'Data shares'!$C:$FA,24)</f>
        <v>3.6</v>
      </c>
      <c r="G94" s="144">
        <f>VLOOKUP($A94,'Data shares'!$C:$FA,25)</f>
        <v>-0.1</v>
      </c>
    </row>
    <row r="95" spans="1:7" x14ac:dyDescent="0.25">
      <c r="A95" s="101" t="str">
        <f>'Data shares'!C91</f>
        <v>INDHOTEL</v>
      </c>
      <c r="B95" s="144">
        <f>VLOOKUP($A95,'Data shares'!$C:$FA,7)</f>
        <v>715.35</v>
      </c>
      <c r="C95" s="144">
        <f>VLOOKUP($A95,'Data shares'!$C:$FA,3)</f>
        <v>717.15</v>
      </c>
      <c r="D95" s="144">
        <f>VLOOKUP($A95,'Data shares'!$C:$FA,23)</f>
        <v>1.8</v>
      </c>
      <c r="E95" s="145">
        <f>VLOOKUP($A95,'Data shares'!$C:$FA,26)*100</f>
        <v>0.25</v>
      </c>
      <c r="F95" s="144">
        <f>VLOOKUP($A95,'Data shares'!$C:$FA,24)</f>
        <v>2.8</v>
      </c>
      <c r="G95" s="144">
        <f>VLOOKUP($A95,'Data shares'!$C:$FA,25)</f>
        <v>-1</v>
      </c>
    </row>
    <row r="96" spans="1:7" x14ac:dyDescent="0.25">
      <c r="A96" s="101" t="str">
        <f>'Data shares'!C92</f>
        <v>INDIANB</v>
      </c>
      <c r="B96" s="144">
        <f>VLOOKUP($A96,'Data shares'!$C:$FA,7)</f>
        <v>864.6</v>
      </c>
      <c r="C96" s="144">
        <f>VLOOKUP($A96,'Data shares'!$C:$FA,3)</f>
        <v>865.9</v>
      </c>
      <c r="D96" s="144">
        <f>VLOOKUP($A96,'Data shares'!$C:$FA,23)</f>
        <v>1.3</v>
      </c>
      <c r="E96" s="145">
        <f>VLOOKUP($A96,'Data shares'!$C:$FA,26)*100</f>
        <v>0.15</v>
      </c>
      <c r="F96" s="144">
        <f>VLOOKUP($A96,'Data shares'!$C:$FA,24)</f>
        <v>4.1500000000000004</v>
      </c>
      <c r="G96" s="144">
        <f>VLOOKUP($A96,'Data shares'!$C:$FA,25)</f>
        <v>-2.85</v>
      </c>
    </row>
    <row r="97" spans="1:7" x14ac:dyDescent="0.25">
      <c r="A97" s="101" t="str">
        <f>'Data shares'!C93</f>
        <v>INDIAVIX</v>
      </c>
      <c r="B97" s="144">
        <f>VLOOKUP($A97,'Data shares'!$C:$FA,7)</f>
        <v>9.9499999999999993</v>
      </c>
      <c r="C97" s="144">
        <f>VLOOKUP($A97,'Data shares'!$C:$FA,3)</f>
        <v>9.9499999999999993</v>
      </c>
      <c r="D97" s="144">
        <f>VLOOKUP($A97,'Data shares'!$C:$FA,23)</f>
        <v>0</v>
      </c>
      <c r="E97" s="145">
        <f>VLOOKUP($A97,'Data shares'!$C:$FA,26)*100</f>
        <v>0</v>
      </c>
      <c r="F97" s="144">
        <f>VLOOKUP($A97,'Data shares'!$C:$FA,24)</f>
        <v>0</v>
      </c>
      <c r="G97" s="144">
        <f>VLOOKUP($A97,'Data shares'!$C:$FA,25)</f>
        <v>0</v>
      </c>
    </row>
    <row r="98" spans="1:7" x14ac:dyDescent="0.25">
      <c r="A98" s="101" t="str">
        <f>'Data shares'!C94</f>
        <v>INDIGO</v>
      </c>
      <c r="B98" s="144">
        <f>VLOOKUP($A98,'Data shares'!$C:$FA,7)</f>
        <v>4951</v>
      </c>
      <c r="C98" s="144">
        <f>VLOOKUP($A98,'Data shares'!$C:$FA,3)</f>
        <v>4975.5</v>
      </c>
      <c r="D98" s="144">
        <f>VLOOKUP($A98,'Data shares'!$C:$FA,23)</f>
        <v>24.5</v>
      </c>
      <c r="E98" s="145">
        <f>VLOOKUP($A98,'Data shares'!$C:$FA,26)*100</f>
        <v>0.49</v>
      </c>
      <c r="F98" s="144">
        <f>VLOOKUP($A98,'Data shares'!$C:$FA,24)</f>
        <v>27</v>
      </c>
      <c r="G98" s="144">
        <f>VLOOKUP($A98,'Data shares'!$C:$FA,25)</f>
        <v>-2.5</v>
      </c>
    </row>
    <row r="99" spans="1:7" x14ac:dyDescent="0.25">
      <c r="A99" s="101" t="str">
        <f>'Data shares'!C95</f>
        <v>INDUSINDBK</v>
      </c>
      <c r="B99" s="144">
        <f>VLOOKUP($A99,'Data shares'!$C:$FA,7)</f>
        <v>897.85</v>
      </c>
      <c r="C99" s="144">
        <f>VLOOKUP($A99,'Data shares'!$C:$FA,3)</f>
        <v>900.3</v>
      </c>
      <c r="D99" s="144">
        <f>VLOOKUP($A99,'Data shares'!$C:$FA,23)</f>
        <v>2.4500000000000002</v>
      </c>
      <c r="E99" s="145">
        <f>VLOOKUP($A99,'Data shares'!$C:$FA,26)*100</f>
        <v>0.27</v>
      </c>
      <c r="F99" s="144">
        <f>VLOOKUP($A99,'Data shares'!$C:$FA,24)</f>
        <v>2.15</v>
      </c>
      <c r="G99" s="144">
        <f>VLOOKUP($A99,'Data shares'!$C:$FA,25)</f>
        <v>0.3</v>
      </c>
    </row>
    <row r="100" spans="1:7" x14ac:dyDescent="0.25">
      <c r="A100" s="101" t="str">
        <f>'Data shares'!C96</f>
        <v>INDUSTOWER</v>
      </c>
      <c r="B100" s="144">
        <f>VLOOKUP($A100,'Data shares'!$C:$FA,7)</f>
        <v>429</v>
      </c>
      <c r="C100" s="144">
        <f>VLOOKUP($A100,'Data shares'!$C:$FA,3)</f>
        <v>430.3</v>
      </c>
      <c r="D100" s="144">
        <f>VLOOKUP($A100,'Data shares'!$C:$FA,23)</f>
        <v>1.3</v>
      </c>
      <c r="E100" s="145">
        <f>VLOOKUP($A100,'Data shares'!$C:$FA,26)*100</f>
        <v>0.3</v>
      </c>
      <c r="F100" s="144">
        <f>VLOOKUP($A100,'Data shares'!$C:$FA,24)</f>
        <v>2.1</v>
      </c>
      <c r="G100" s="144">
        <f>VLOOKUP($A100,'Data shares'!$C:$FA,25)</f>
        <v>-0.8</v>
      </c>
    </row>
    <row r="101" spans="1:7" x14ac:dyDescent="0.25">
      <c r="A101" s="101" t="str">
        <f>'Data shares'!C97</f>
        <v>INFY</v>
      </c>
      <c r="B101" s="144">
        <f>VLOOKUP($A101,'Data shares'!$C:$FA,7)</f>
        <v>1639</v>
      </c>
      <c r="C101" s="144">
        <f>VLOOKUP($A101,'Data shares'!$C:$FA,3)</f>
        <v>1644.6</v>
      </c>
      <c r="D101" s="144">
        <f>VLOOKUP($A101,'Data shares'!$C:$FA,23)</f>
        <v>5.6</v>
      </c>
      <c r="E101" s="145">
        <f>VLOOKUP($A101,'Data shares'!$C:$FA,26)*100</f>
        <v>0.33999999999999997</v>
      </c>
      <c r="F101" s="144">
        <f>VLOOKUP($A101,'Data shares'!$C:$FA,24)</f>
        <v>4.5999999999999996</v>
      </c>
      <c r="G101" s="144">
        <f>VLOOKUP($A101,'Data shares'!$C:$FA,25)</f>
        <v>1</v>
      </c>
    </row>
    <row r="102" spans="1:7" x14ac:dyDescent="0.25">
      <c r="A102" s="101" t="str">
        <f>'Data shares'!C98</f>
        <v>INOXWIND</v>
      </c>
      <c r="B102" s="144">
        <f>VLOOKUP($A102,'Data shares'!$C:$FA,7)</f>
        <v>122.94</v>
      </c>
      <c r="C102" s="144">
        <f>VLOOKUP($A102,'Data shares'!$C:$FA,3)</f>
        <v>123.23</v>
      </c>
      <c r="D102" s="144">
        <f>VLOOKUP($A102,'Data shares'!$C:$FA,23)</f>
        <v>0.28999999999999998</v>
      </c>
      <c r="E102" s="145">
        <f>VLOOKUP($A102,'Data shares'!$C:$FA,26)*100</f>
        <v>0.24</v>
      </c>
      <c r="F102" s="144">
        <f>VLOOKUP($A102,'Data shares'!$C:$FA,24)</f>
        <v>0.76</v>
      </c>
      <c r="G102" s="144">
        <f>VLOOKUP($A102,'Data shares'!$C:$FA,25)</f>
        <v>-0.47</v>
      </c>
    </row>
    <row r="103" spans="1:7" x14ac:dyDescent="0.25">
      <c r="A103" s="101" t="str">
        <f>'Data shares'!C99</f>
        <v>IOC</v>
      </c>
      <c r="B103" s="144">
        <f>VLOOKUP($A103,'Data shares'!$C:$FA,7)</f>
        <v>162.66999999999999</v>
      </c>
      <c r="C103" s="144">
        <f>VLOOKUP($A103,'Data shares'!$C:$FA,3)</f>
        <v>163.31</v>
      </c>
      <c r="D103" s="144">
        <f>VLOOKUP($A103,'Data shares'!$C:$FA,23)</f>
        <v>0.64</v>
      </c>
      <c r="E103" s="145">
        <f>VLOOKUP($A103,'Data shares'!$C:$FA,26)*100</f>
        <v>0.38999999999999996</v>
      </c>
      <c r="F103" s="144">
        <f>VLOOKUP($A103,'Data shares'!$C:$FA,24)</f>
        <v>0.39</v>
      </c>
      <c r="G103" s="144">
        <f>VLOOKUP($A103,'Data shares'!$C:$FA,25)</f>
        <v>0.25</v>
      </c>
    </row>
    <row r="104" spans="1:7" x14ac:dyDescent="0.25">
      <c r="A104" s="101" t="str">
        <f>'Data shares'!C100</f>
        <v>IRCTC</v>
      </c>
      <c r="B104" s="144">
        <f>VLOOKUP($A104,'Data shares'!$C:$FA,7)</f>
        <v>672.8</v>
      </c>
      <c r="C104" s="144">
        <f>VLOOKUP($A104,'Data shares'!$C:$FA,3)</f>
        <v>674.6</v>
      </c>
      <c r="D104" s="144">
        <f>VLOOKUP($A104,'Data shares'!$C:$FA,23)</f>
        <v>1.8</v>
      </c>
      <c r="E104" s="145">
        <f>VLOOKUP($A104,'Data shares'!$C:$FA,26)*100</f>
        <v>0.27</v>
      </c>
      <c r="F104" s="144">
        <f>VLOOKUP($A104,'Data shares'!$C:$FA,24)</f>
        <v>1.3</v>
      </c>
      <c r="G104" s="144">
        <f>VLOOKUP($A104,'Data shares'!$C:$FA,25)</f>
        <v>0.5</v>
      </c>
    </row>
    <row r="105" spans="1:7" x14ac:dyDescent="0.25">
      <c r="A105" s="101" t="str">
        <f>'Data shares'!C101</f>
        <v>IREDA</v>
      </c>
      <c r="B105" s="144">
        <f>VLOOKUP($A105,'Data shares'!$C:$FA,7)</f>
        <v>146.03</v>
      </c>
      <c r="C105" s="144">
        <f>VLOOKUP($A105,'Data shares'!$C:$FA,3)</f>
        <v>145.9</v>
      </c>
      <c r="D105" s="144">
        <f>VLOOKUP($A105,'Data shares'!$C:$FA,23)</f>
        <v>-0.13</v>
      </c>
      <c r="E105" s="145">
        <f>VLOOKUP($A105,'Data shares'!$C:$FA,26)*100</f>
        <v>-0.09</v>
      </c>
      <c r="F105" s="144">
        <f>VLOOKUP($A105,'Data shares'!$C:$FA,24)</f>
        <v>0.27</v>
      </c>
      <c r="G105" s="144">
        <f>VLOOKUP($A105,'Data shares'!$C:$FA,25)</f>
        <v>-0.4</v>
      </c>
    </row>
    <row r="106" spans="1:7" x14ac:dyDescent="0.25">
      <c r="A106" s="101" t="str">
        <f>'Data shares'!C102</f>
        <v>IRFC</v>
      </c>
      <c r="B106" s="144">
        <f>VLOOKUP($A106,'Data shares'!$C:$FA,7)</f>
        <v>128.04</v>
      </c>
      <c r="C106" s="144">
        <f>VLOOKUP($A106,'Data shares'!$C:$FA,3)</f>
        <v>128.65</v>
      </c>
      <c r="D106" s="144">
        <f>VLOOKUP($A106,'Data shares'!$C:$FA,23)</f>
        <v>0.61</v>
      </c>
      <c r="E106" s="145">
        <f>VLOOKUP($A106,'Data shares'!$C:$FA,26)*100</f>
        <v>0.48</v>
      </c>
      <c r="F106" s="144">
        <f>VLOOKUP($A106,'Data shares'!$C:$FA,24)</f>
        <v>0.61</v>
      </c>
      <c r="G106" s="144">
        <f>VLOOKUP($A106,'Data shares'!$C:$FA,25)</f>
        <v>0</v>
      </c>
    </row>
    <row r="107" spans="1:7" x14ac:dyDescent="0.25">
      <c r="A107" s="101" t="str">
        <f>'Data shares'!C103</f>
        <v>ITC</v>
      </c>
      <c r="B107" s="144">
        <f>VLOOKUP($A107,'Data shares'!$C:$FA,7)</f>
        <v>341.25</v>
      </c>
      <c r="C107" s="144">
        <f>VLOOKUP($A107,'Data shares'!$C:$FA,3)</f>
        <v>342.9</v>
      </c>
      <c r="D107" s="144">
        <f>VLOOKUP($A107,'Data shares'!$C:$FA,23)</f>
        <v>1.65</v>
      </c>
      <c r="E107" s="145">
        <f>VLOOKUP($A107,'Data shares'!$C:$FA,26)*100</f>
        <v>0.48</v>
      </c>
      <c r="F107" s="144">
        <f>VLOOKUP($A107,'Data shares'!$C:$FA,24)</f>
        <v>1.75</v>
      </c>
      <c r="G107" s="144">
        <f>VLOOKUP($A107,'Data shares'!$C:$FA,25)</f>
        <v>-0.1</v>
      </c>
    </row>
    <row r="108" spans="1:7" x14ac:dyDescent="0.25">
      <c r="A108" s="101" t="str">
        <f>'Data shares'!C104</f>
        <v>JINDALSTEL</v>
      </c>
      <c r="B108" s="144">
        <f>VLOOKUP($A108,'Data shares'!$C:$FA,7)</f>
        <v>1074.7</v>
      </c>
      <c r="C108" s="144">
        <f>VLOOKUP($A108,'Data shares'!$C:$FA,3)</f>
        <v>1077.3</v>
      </c>
      <c r="D108" s="144">
        <f>VLOOKUP($A108,'Data shares'!$C:$FA,23)</f>
        <v>2.6</v>
      </c>
      <c r="E108" s="145">
        <f>VLOOKUP($A108,'Data shares'!$C:$FA,26)*100</f>
        <v>0.24</v>
      </c>
      <c r="F108" s="144">
        <f>VLOOKUP($A108,'Data shares'!$C:$FA,24)</f>
        <v>3.8</v>
      </c>
      <c r="G108" s="144">
        <f>VLOOKUP($A108,'Data shares'!$C:$FA,25)</f>
        <v>-1.2</v>
      </c>
    </row>
    <row r="109" spans="1:7" x14ac:dyDescent="0.25">
      <c r="A109" s="101" t="str">
        <f>'Data shares'!C105</f>
        <v>JIOFIN</v>
      </c>
      <c r="B109" s="144">
        <f>VLOOKUP($A109,'Data shares'!$C:$FA,7)</f>
        <v>303.5</v>
      </c>
      <c r="C109" s="144">
        <f>VLOOKUP($A109,'Data shares'!$C:$FA,3)</f>
        <v>305.10000000000002</v>
      </c>
      <c r="D109" s="144">
        <f>VLOOKUP($A109,'Data shares'!$C:$FA,23)</f>
        <v>1.6</v>
      </c>
      <c r="E109" s="145">
        <f>VLOOKUP($A109,'Data shares'!$C:$FA,26)*100</f>
        <v>0.53</v>
      </c>
      <c r="F109" s="144">
        <f>VLOOKUP($A109,'Data shares'!$C:$FA,24)</f>
        <v>0.65</v>
      </c>
      <c r="G109" s="144">
        <f>VLOOKUP($A109,'Data shares'!$C:$FA,25)</f>
        <v>0.95</v>
      </c>
    </row>
    <row r="110" spans="1:7" x14ac:dyDescent="0.25">
      <c r="A110" s="101" t="str">
        <f>'Data shares'!C106</f>
        <v>JSWENERGY</v>
      </c>
      <c r="B110" s="144">
        <f>VLOOKUP($A110,'Data shares'!$C:$FA,7)</f>
        <v>512.6</v>
      </c>
      <c r="C110" s="144">
        <f>VLOOKUP($A110,'Data shares'!$C:$FA,3)</f>
        <v>513.6</v>
      </c>
      <c r="D110" s="144">
        <f>VLOOKUP($A110,'Data shares'!$C:$FA,23)</f>
        <v>1</v>
      </c>
      <c r="E110" s="145">
        <f>VLOOKUP($A110,'Data shares'!$C:$FA,26)*100</f>
        <v>0.2</v>
      </c>
      <c r="F110" s="144">
        <f>VLOOKUP($A110,'Data shares'!$C:$FA,24)</f>
        <v>1.85</v>
      </c>
      <c r="G110" s="144">
        <f>VLOOKUP($A110,'Data shares'!$C:$FA,25)</f>
        <v>-0.85</v>
      </c>
    </row>
    <row r="111" spans="1:7" x14ac:dyDescent="0.25">
      <c r="A111" s="101" t="str">
        <f>'Data shares'!C107</f>
        <v>JSWSTEEL</v>
      </c>
      <c r="B111" s="144">
        <f>VLOOKUP($A111,'Data shares'!$C:$FA,7)</f>
        <v>1189.8</v>
      </c>
      <c r="C111" s="144">
        <f>VLOOKUP($A111,'Data shares'!$C:$FA,3)</f>
        <v>1192.4000000000001</v>
      </c>
      <c r="D111" s="144">
        <f>VLOOKUP($A111,'Data shares'!$C:$FA,23)</f>
        <v>2.6</v>
      </c>
      <c r="E111" s="145">
        <f>VLOOKUP($A111,'Data shares'!$C:$FA,26)*100</f>
        <v>0.22</v>
      </c>
      <c r="F111" s="144">
        <f>VLOOKUP($A111,'Data shares'!$C:$FA,24)</f>
        <v>5.4</v>
      </c>
      <c r="G111" s="144">
        <f>VLOOKUP($A111,'Data shares'!$C:$FA,25)</f>
        <v>-2.8</v>
      </c>
    </row>
    <row r="112" spans="1:7" x14ac:dyDescent="0.25">
      <c r="A112" s="101" t="str">
        <f>'Data shares'!C108</f>
        <v>JUBLFOOD</v>
      </c>
      <c r="B112" s="144">
        <f>VLOOKUP($A112,'Data shares'!$C:$FA,7)</f>
        <v>537.4</v>
      </c>
      <c r="C112" s="144">
        <f>VLOOKUP($A112,'Data shares'!$C:$FA,3)</f>
        <v>539.45000000000005</v>
      </c>
      <c r="D112" s="144">
        <f>VLOOKUP($A112,'Data shares'!$C:$FA,23)</f>
        <v>2.0499999999999998</v>
      </c>
      <c r="E112" s="145">
        <f>VLOOKUP($A112,'Data shares'!$C:$FA,26)*100</f>
        <v>0.38</v>
      </c>
      <c r="F112" s="144">
        <f>VLOOKUP($A112,'Data shares'!$C:$FA,24)</f>
        <v>-0.95</v>
      </c>
      <c r="G112" s="144">
        <f>VLOOKUP($A112,'Data shares'!$C:$FA,25)</f>
        <v>3</v>
      </c>
    </row>
    <row r="113" spans="1:7" x14ac:dyDescent="0.25">
      <c r="A113" s="101" t="str">
        <f>'Data shares'!C109</f>
        <v>KALYANKJIL</v>
      </c>
      <c r="B113" s="144">
        <f>VLOOKUP($A113,'Data shares'!$C:$FA,7)</f>
        <v>520.75</v>
      </c>
      <c r="C113" s="144">
        <f>VLOOKUP($A113,'Data shares'!$C:$FA,3)</f>
        <v>523.29999999999995</v>
      </c>
      <c r="D113" s="144">
        <f>VLOOKUP($A113,'Data shares'!$C:$FA,23)</f>
        <v>2.5499999999999998</v>
      </c>
      <c r="E113" s="145">
        <f>VLOOKUP($A113,'Data shares'!$C:$FA,26)*100</f>
        <v>0.49</v>
      </c>
      <c r="F113" s="144">
        <f>VLOOKUP($A113,'Data shares'!$C:$FA,24)</f>
        <v>2.2999999999999998</v>
      </c>
      <c r="G113" s="144">
        <f>VLOOKUP($A113,'Data shares'!$C:$FA,25)</f>
        <v>0.25</v>
      </c>
    </row>
    <row r="114" spans="1:7" x14ac:dyDescent="0.25">
      <c r="A114" s="101" t="str">
        <f>'Data shares'!C110</f>
        <v>KAYNES</v>
      </c>
      <c r="B114" s="144">
        <f>VLOOKUP($A114,'Data shares'!$C:$FA,7)</f>
        <v>3831.3</v>
      </c>
      <c r="C114" s="144">
        <f>VLOOKUP($A114,'Data shares'!$C:$FA,3)</f>
        <v>3850.8</v>
      </c>
      <c r="D114" s="144">
        <f>VLOOKUP($A114,'Data shares'!$C:$FA,23)</f>
        <v>19.5</v>
      </c>
      <c r="E114" s="145">
        <f>VLOOKUP($A114,'Data shares'!$C:$FA,26)*100</f>
        <v>0.51</v>
      </c>
      <c r="F114" s="144">
        <f>VLOOKUP($A114,'Data shares'!$C:$FA,24)</f>
        <v>3.1</v>
      </c>
      <c r="G114" s="144">
        <f>VLOOKUP($A114,'Data shares'!$C:$FA,25)</f>
        <v>16.399999999999999</v>
      </c>
    </row>
    <row r="115" spans="1:7" x14ac:dyDescent="0.25">
      <c r="A115" s="101" t="str">
        <f>'Data shares'!C111</f>
        <v>KEI</v>
      </c>
      <c r="B115" s="144">
        <f>VLOOKUP($A115,'Data shares'!$C:$FA,7)</f>
        <v>4538.2</v>
      </c>
      <c r="C115" s="144">
        <f>VLOOKUP($A115,'Data shares'!$C:$FA,3)</f>
        <v>4559.6000000000004</v>
      </c>
      <c r="D115" s="144">
        <f>VLOOKUP($A115,'Data shares'!$C:$FA,23)</f>
        <v>21.4</v>
      </c>
      <c r="E115" s="145">
        <f>VLOOKUP($A115,'Data shares'!$C:$FA,26)*100</f>
        <v>0.47000000000000003</v>
      </c>
      <c r="F115" s="144">
        <f>VLOOKUP($A115,'Data shares'!$C:$FA,24)</f>
        <v>18.899999999999999</v>
      </c>
      <c r="G115" s="144">
        <f>VLOOKUP($A115,'Data shares'!$C:$FA,25)</f>
        <v>2.5</v>
      </c>
    </row>
    <row r="116" spans="1:7" x14ac:dyDescent="0.25">
      <c r="A116" s="101" t="str">
        <f>'Data shares'!C112</f>
        <v>KFINTECH</v>
      </c>
      <c r="B116" s="144">
        <f>VLOOKUP($A116,'Data shares'!$C:$FA,7)</f>
        <v>1074.4000000000001</v>
      </c>
      <c r="C116" s="144">
        <f>VLOOKUP($A116,'Data shares'!$C:$FA,3)</f>
        <v>1068.8</v>
      </c>
      <c r="D116" s="144">
        <f>VLOOKUP($A116,'Data shares'!$C:$FA,23)</f>
        <v>-5.6</v>
      </c>
      <c r="E116" s="145">
        <f>VLOOKUP($A116,'Data shares'!$C:$FA,26)*100</f>
        <v>-0.52</v>
      </c>
      <c r="F116" s="144">
        <f>VLOOKUP($A116,'Data shares'!$C:$FA,24)</f>
        <v>-12.5</v>
      </c>
      <c r="G116" s="144">
        <f>VLOOKUP($A116,'Data shares'!$C:$FA,25)</f>
        <v>6.9</v>
      </c>
    </row>
    <row r="117" spans="1:7" x14ac:dyDescent="0.25">
      <c r="A117" s="101" t="str">
        <f>'Data shares'!C113</f>
        <v>KOTAKBANK</v>
      </c>
      <c r="B117" s="144">
        <f>VLOOKUP($A117,'Data shares'!$C:$FA,7)</f>
        <v>2144</v>
      </c>
      <c r="C117" s="144">
        <f>VLOOKUP($A117,'Data shares'!$C:$FA,3)</f>
        <v>2149.8000000000002</v>
      </c>
      <c r="D117" s="144">
        <f>VLOOKUP($A117,'Data shares'!$C:$FA,23)</f>
        <v>5.8</v>
      </c>
      <c r="E117" s="145">
        <f>VLOOKUP($A117,'Data shares'!$C:$FA,26)*100</f>
        <v>0.27</v>
      </c>
      <c r="F117" s="144">
        <f>VLOOKUP($A117,'Data shares'!$C:$FA,24)</f>
        <v>5.2</v>
      </c>
      <c r="G117" s="144">
        <f>VLOOKUP($A117,'Data shares'!$C:$FA,25)</f>
        <v>0.6</v>
      </c>
    </row>
    <row r="118" spans="1:7" x14ac:dyDescent="0.25">
      <c r="A118" s="101" t="str">
        <f>'Data shares'!C114</f>
        <v>KPITTECH</v>
      </c>
      <c r="B118" s="144">
        <f>VLOOKUP($A118,'Data shares'!$C:$FA,7)</f>
        <v>1208.5</v>
      </c>
      <c r="C118" s="144">
        <f>VLOOKUP($A118,'Data shares'!$C:$FA,3)</f>
        <v>1212.5999999999999</v>
      </c>
      <c r="D118" s="144">
        <f>VLOOKUP($A118,'Data shares'!$C:$FA,23)</f>
        <v>4.0999999999999996</v>
      </c>
      <c r="E118" s="145">
        <f>VLOOKUP($A118,'Data shares'!$C:$FA,26)*100</f>
        <v>0.33999999999999997</v>
      </c>
      <c r="F118" s="144">
        <f>VLOOKUP($A118,'Data shares'!$C:$FA,24)</f>
        <v>1.2</v>
      </c>
      <c r="G118" s="144">
        <f>VLOOKUP($A118,'Data shares'!$C:$FA,25)</f>
        <v>2.9</v>
      </c>
    </row>
    <row r="119" spans="1:7" x14ac:dyDescent="0.25">
      <c r="A119" s="101" t="str">
        <f>'Data shares'!C115</f>
        <v>LAURUSLABS</v>
      </c>
      <c r="B119" s="144">
        <f>VLOOKUP($A119,'Data shares'!$C:$FA,7)</f>
        <v>1128.5</v>
      </c>
      <c r="C119" s="144">
        <f>VLOOKUP($A119,'Data shares'!$C:$FA,3)</f>
        <v>1134.4000000000001</v>
      </c>
      <c r="D119" s="144">
        <f>VLOOKUP($A119,'Data shares'!$C:$FA,23)</f>
        <v>5.9</v>
      </c>
      <c r="E119" s="145">
        <f>VLOOKUP($A119,'Data shares'!$C:$FA,26)*100</f>
        <v>0.52</v>
      </c>
      <c r="F119" s="144">
        <f>VLOOKUP($A119,'Data shares'!$C:$FA,24)</f>
        <v>5.7</v>
      </c>
      <c r="G119" s="144">
        <f>VLOOKUP($A119,'Data shares'!$C:$FA,25)</f>
        <v>0.2</v>
      </c>
    </row>
    <row r="120" spans="1:7" x14ac:dyDescent="0.25">
      <c r="A120" s="101" t="str">
        <f>'Data shares'!C116</f>
        <v>LICHSGFIN</v>
      </c>
      <c r="B120" s="144">
        <f>VLOOKUP($A120,'Data shares'!$C:$FA,7)</f>
        <v>538.20000000000005</v>
      </c>
      <c r="C120" s="144">
        <f>VLOOKUP($A120,'Data shares'!$C:$FA,3)</f>
        <v>539.6</v>
      </c>
      <c r="D120" s="144">
        <f>VLOOKUP($A120,'Data shares'!$C:$FA,23)</f>
        <v>1.4</v>
      </c>
      <c r="E120" s="145">
        <f>VLOOKUP($A120,'Data shares'!$C:$FA,26)*100</f>
        <v>0.26</v>
      </c>
      <c r="F120" s="144">
        <f>VLOOKUP($A120,'Data shares'!$C:$FA,24)</f>
        <v>2.15</v>
      </c>
      <c r="G120" s="144">
        <f>VLOOKUP($A120,'Data shares'!$C:$FA,25)</f>
        <v>-0.75</v>
      </c>
    </row>
    <row r="121" spans="1:7" x14ac:dyDescent="0.25">
      <c r="A121" s="101" t="str">
        <f>'Data shares'!C117</f>
        <v>LICI</v>
      </c>
      <c r="B121" s="144">
        <f>VLOOKUP($A121,'Data shares'!$C:$FA,7)</f>
        <v>851.95</v>
      </c>
      <c r="C121" s="144">
        <f>VLOOKUP($A121,'Data shares'!$C:$FA,3)</f>
        <v>853.7</v>
      </c>
      <c r="D121" s="144">
        <f>VLOOKUP($A121,'Data shares'!$C:$FA,23)</f>
        <v>1.75</v>
      </c>
      <c r="E121" s="145">
        <f>VLOOKUP($A121,'Data shares'!$C:$FA,26)*100</f>
        <v>0.21</v>
      </c>
      <c r="F121" s="144">
        <f>VLOOKUP($A121,'Data shares'!$C:$FA,24)</f>
        <v>4.3</v>
      </c>
      <c r="G121" s="144">
        <f>VLOOKUP($A121,'Data shares'!$C:$FA,25)</f>
        <v>-2.5499999999999998</v>
      </c>
    </row>
    <row r="122" spans="1:7" x14ac:dyDescent="0.25">
      <c r="A122" s="101" t="str">
        <f>'Data shares'!C118</f>
        <v>LODHA</v>
      </c>
      <c r="B122" s="144">
        <f>VLOOKUP($A122,'Data shares'!$C:$FA,7)</f>
        <v>1110.9000000000001</v>
      </c>
      <c r="C122" s="144">
        <f>VLOOKUP($A122,'Data shares'!$C:$FA,3)</f>
        <v>1114.7</v>
      </c>
      <c r="D122" s="144">
        <f>VLOOKUP($A122,'Data shares'!$C:$FA,23)</f>
        <v>3.8</v>
      </c>
      <c r="E122" s="145">
        <f>VLOOKUP($A122,'Data shares'!$C:$FA,26)*100</f>
        <v>0.33999999999999997</v>
      </c>
      <c r="F122" s="144">
        <f>VLOOKUP($A122,'Data shares'!$C:$FA,24)</f>
        <v>2.4</v>
      </c>
      <c r="G122" s="144">
        <f>VLOOKUP($A122,'Data shares'!$C:$FA,25)</f>
        <v>1.4</v>
      </c>
    </row>
    <row r="123" spans="1:7" x14ac:dyDescent="0.25">
      <c r="A123" s="101" t="str">
        <f>'Data shares'!C119</f>
        <v>LT</v>
      </c>
      <c r="B123" s="144">
        <f>VLOOKUP($A123,'Data shares'!$C:$FA,7)</f>
        <v>4157</v>
      </c>
      <c r="C123" s="144">
        <f>VLOOKUP($A123,'Data shares'!$C:$FA,3)</f>
        <v>4164.3</v>
      </c>
      <c r="D123" s="144">
        <f>VLOOKUP($A123,'Data shares'!$C:$FA,23)</f>
        <v>7.3</v>
      </c>
      <c r="E123" s="145">
        <f>VLOOKUP($A123,'Data shares'!$C:$FA,26)*100</f>
        <v>0.18</v>
      </c>
      <c r="F123" s="144">
        <f>VLOOKUP($A123,'Data shares'!$C:$FA,24)</f>
        <v>19.5</v>
      </c>
      <c r="G123" s="144">
        <f>VLOOKUP($A123,'Data shares'!$C:$FA,25)</f>
        <v>-12.2</v>
      </c>
    </row>
    <row r="124" spans="1:7" x14ac:dyDescent="0.25">
      <c r="A124" s="101" t="str">
        <f>'Data shares'!C120</f>
        <v>LTF</v>
      </c>
      <c r="B124" s="144">
        <f>VLOOKUP($A124,'Data shares'!$C:$FA,7)</f>
        <v>313.95</v>
      </c>
      <c r="C124" s="144">
        <f>VLOOKUP($A124,'Data shares'!$C:$FA,3)</f>
        <v>314.2</v>
      </c>
      <c r="D124" s="144">
        <f>VLOOKUP($A124,'Data shares'!$C:$FA,23)</f>
        <v>0.25</v>
      </c>
      <c r="E124" s="145">
        <f>VLOOKUP($A124,'Data shares'!$C:$FA,26)*100</f>
        <v>0.08</v>
      </c>
      <c r="F124" s="144">
        <f>VLOOKUP($A124,'Data shares'!$C:$FA,24)</f>
        <v>0.4</v>
      </c>
      <c r="G124" s="144">
        <f>VLOOKUP($A124,'Data shares'!$C:$FA,25)</f>
        <v>-0.15</v>
      </c>
    </row>
    <row r="125" spans="1:7" x14ac:dyDescent="0.25">
      <c r="A125" s="101" t="str">
        <f>'Data shares'!C121</f>
        <v>LTIM</v>
      </c>
      <c r="B125" s="144">
        <f>VLOOKUP($A125,'Data shares'!$C:$FA,7)</f>
        <v>6102</v>
      </c>
      <c r="C125" s="144">
        <f>VLOOKUP($A125,'Data shares'!$C:$FA,3)</f>
        <v>6133</v>
      </c>
      <c r="D125" s="144">
        <f>VLOOKUP($A125,'Data shares'!$C:$FA,23)</f>
        <v>31</v>
      </c>
      <c r="E125" s="145">
        <f>VLOOKUP($A125,'Data shares'!$C:$FA,26)*100</f>
        <v>0.51</v>
      </c>
      <c r="F125" s="144">
        <f>VLOOKUP($A125,'Data shares'!$C:$FA,24)</f>
        <v>31</v>
      </c>
      <c r="G125" s="144">
        <f>VLOOKUP($A125,'Data shares'!$C:$FA,25)</f>
        <v>0</v>
      </c>
    </row>
    <row r="126" spans="1:7" x14ac:dyDescent="0.25">
      <c r="A126" s="101" t="str">
        <f>'Data shares'!C122</f>
        <v>LUPIN</v>
      </c>
      <c r="B126" s="144">
        <f>VLOOKUP($A126,'Data shares'!$C:$FA,7)</f>
        <v>2214.3000000000002</v>
      </c>
      <c r="C126" s="144">
        <f>VLOOKUP($A126,'Data shares'!$C:$FA,3)</f>
        <v>2223.9</v>
      </c>
      <c r="D126" s="144">
        <f>VLOOKUP($A126,'Data shares'!$C:$FA,23)</f>
        <v>9.6</v>
      </c>
      <c r="E126" s="145">
        <f>VLOOKUP($A126,'Data shares'!$C:$FA,26)*100</f>
        <v>0.43</v>
      </c>
      <c r="F126" s="144">
        <f>VLOOKUP($A126,'Data shares'!$C:$FA,24)</f>
        <v>12.2</v>
      </c>
      <c r="G126" s="144">
        <f>VLOOKUP($A126,'Data shares'!$C:$FA,25)</f>
        <v>-2.6</v>
      </c>
    </row>
    <row r="127" spans="1:7" x14ac:dyDescent="0.25">
      <c r="A127" s="101" t="str">
        <f>'Data shares'!C123</f>
        <v>M&amp;M</v>
      </c>
      <c r="B127" s="144">
        <f>VLOOKUP($A127,'Data shares'!$C:$FA,7)</f>
        <v>3748.8</v>
      </c>
      <c r="C127" s="144">
        <f>VLOOKUP($A127,'Data shares'!$C:$FA,3)</f>
        <v>3758.5</v>
      </c>
      <c r="D127" s="144">
        <f>VLOOKUP($A127,'Data shares'!$C:$FA,23)</f>
        <v>9.6999999999999993</v>
      </c>
      <c r="E127" s="145">
        <f>VLOOKUP($A127,'Data shares'!$C:$FA,26)*100</f>
        <v>0.26</v>
      </c>
      <c r="F127" s="144">
        <f>VLOOKUP($A127,'Data shares'!$C:$FA,24)</f>
        <v>17.3</v>
      </c>
      <c r="G127" s="144">
        <f>VLOOKUP($A127,'Data shares'!$C:$FA,25)</f>
        <v>-7.6</v>
      </c>
    </row>
    <row r="128" spans="1:7" x14ac:dyDescent="0.25">
      <c r="A128" s="101" t="str">
        <f>'Data shares'!C124</f>
        <v>MANAPPURAM</v>
      </c>
      <c r="B128" s="144">
        <f>VLOOKUP($A128,'Data shares'!$C:$FA,7)</f>
        <v>319.89999999999998</v>
      </c>
      <c r="C128" s="144">
        <f>VLOOKUP($A128,'Data shares'!$C:$FA,3)</f>
        <v>320.55</v>
      </c>
      <c r="D128" s="144">
        <f>VLOOKUP($A128,'Data shares'!$C:$FA,23)</f>
        <v>0.65</v>
      </c>
      <c r="E128" s="145">
        <f>VLOOKUP($A128,'Data shares'!$C:$FA,26)*100</f>
        <v>0.2</v>
      </c>
      <c r="F128" s="144">
        <f>VLOOKUP($A128,'Data shares'!$C:$FA,24)</f>
        <v>0.6</v>
      </c>
      <c r="G128" s="144">
        <f>VLOOKUP($A128,'Data shares'!$C:$FA,25)</f>
        <v>0.05</v>
      </c>
    </row>
    <row r="129" spans="1:7" x14ac:dyDescent="0.25">
      <c r="A129" s="101" t="str">
        <f>'Data shares'!C125</f>
        <v>MANKIND</v>
      </c>
      <c r="B129" s="144">
        <f>VLOOKUP($A129,'Data shares'!$C:$FA,7)</f>
        <v>2311.8000000000002</v>
      </c>
      <c r="C129" s="144">
        <f>VLOOKUP($A129,'Data shares'!$C:$FA,3)</f>
        <v>2312.4</v>
      </c>
      <c r="D129" s="144">
        <f>VLOOKUP($A129,'Data shares'!$C:$FA,23)</f>
        <v>0.6</v>
      </c>
      <c r="E129" s="145">
        <f>VLOOKUP($A129,'Data shares'!$C:$FA,26)*100</f>
        <v>0.03</v>
      </c>
      <c r="F129" s="144">
        <f>VLOOKUP($A129,'Data shares'!$C:$FA,24)</f>
        <v>4.4000000000000004</v>
      </c>
      <c r="G129" s="144">
        <f>VLOOKUP($A129,'Data shares'!$C:$FA,25)</f>
        <v>-3.8</v>
      </c>
    </row>
    <row r="130" spans="1:7" x14ac:dyDescent="0.25">
      <c r="A130" s="101" t="str">
        <f>'Data shares'!C126</f>
        <v>MARICO</v>
      </c>
      <c r="B130" s="144">
        <f>VLOOKUP($A130,'Data shares'!$C:$FA,7)</f>
        <v>773.8</v>
      </c>
      <c r="C130" s="144">
        <f>VLOOKUP($A130,'Data shares'!$C:$FA,3)</f>
        <v>775.15</v>
      </c>
      <c r="D130" s="144">
        <f>VLOOKUP($A130,'Data shares'!$C:$FA,23)</f>
        <v>1.35</v>
      </c>
      <c r="E130" s="145">
        <f>VLOOKUP($A130,'Data shares'!$C:$FA,26)*100</f>
        <v>0.16999999999999998</v>
      </c>
      <c r="F130" s="144">
        <f>VLOOKUP($A130,'Data shares'!$C:$FA,24)</f>
        <v>2</v>
      </c>
      <c r="G130" s="144">
        <f>VLOOKUP($A130,'Data shares'!$C:$FA,25)</f>
        <v>-0.65</v>
      </c>
    </row>
    <row r="131" spans="1:7" x14ac:dyDescent="0.25">
      <c r="A131" s="101" t="str">
        <f>'Data shares'!C127</f>
        <v>MARUTI</v>
      </c>
      <c r="B131" s="144">
        <f>VLOOKUP($A131,'Data shares'!$C:$FA,7)</f>
        <v>16809</v>
      </c>
      <c r="C131" s="144">
        <f>VLOOKUP($A131,'Data shares'!$C:$FA,3)</f>
        <v>16875</v>
      </c>
      <c r="D131" s="144">
        <f>VLOOKUP($A131,'Data shares'!$C:$FA,23)</f>
        <v>66</v>
      </c>
      <c r="E131" s="145">
        <f>VLOOKUP($A131,'Data shares'!$C:$FA,26)*100</f>
        <v>0.38999999999999996</v>
      </c>
      <c r="F131" s="144">
        <f>VLOOKUP($A131,'Data shares'!$C:$FA,24)</f>
        <v>38</v>
      </c>
      <c r="G131" s="144">
        <f>VLOOKUP($A131,'Data shares'!$C:$FA,25)</f>
        <v>28</v>
      </c>
    </row>
    <row r="132" spans="1:7" x14ac:dyDescent="0.25">
      <c r="A132" s="101" t="str">
        <f>'Data shares'!C128</f>
        <v>MAXHEALTH</v>
      </c>
      <c r="B132" s="144">
        <f>VLOOKUP($A132,'Data shares'!$C:$FA,7)</f>
        <v>1034.7</v>
      </c>
      <c r="C132" s="144">
        <f>VLOOKUP($A132,'Data shares'!$C:$FA,3)</f>
        <v>1038.2</v>
      </c>
      <c r="D132" s="144">
        <f>VLOOKUP($A132,'Data shares'!$C:$FA,23)</f>
        <v>3.5</v>
      </c>
      <c r="E132" s="145">
        <f>VLOOKUP($A132,'Data shares'!$C:$FA,26)*100</f>
        <v>0.33999999999999997</v>
      </c>
      <c r="F132" s="144">
        <f>VLOOKUP($A132,'Data shares'!$C:$FA,24)</f>
        <v>5</v>
      </c>
      <c r="G132" s="144">
        <f>VLOOKUP($A132,'Data shares'!$C:$FA,25)</f>
        <v>-1.5</v>
      </c>
    </row>
    <row r="133" spans="1:7" x14ac:dyDescent="0.25">
      <c r="A133" s="101" t="str">
        <f>'Data shares'!C129</f>
        <v>MAZDOCK</v>
      </c>
      <c r="B133" s="144">
        <f>VLOOKUP($A133,'Data shares'!$C:$FA,7)</f>
        <v>2511.4</v>
      </c>
      <c r="C133" s="144">
        <f>VLOOKUP($A133,'Data shares'!$C:$FA,3)</f>
        <v>2523</v>
      </c>
      <c r="D133" s="144">
        <f>VLOOKUP($A133,'Data shares'!$C:$FA,23)</f>
        <v>11.6</v>
      </c>
      <c r="E133" s="145">
        <f>VLOOKUP($A133,'Data shares'!$C:$FA,26)*100</f>
        <v>0.45999999999999996</v>
      </c>
      <c r="F133" s="144">
        <f>VLOOKUP($A133,'Data shares'!$C:$FA,24)</f>
        <v>8.6</v>
      </c>
      <c r="G133" s="144">
        <f>VLOOKUP($A133,'Data shares'!$C:$FA,25)</f>
        <v>3</v>
      </c>
    </row>
    <row r="134" spans="1:7" x14ac:dyDescent="0.25">
      <c r="A134" s="101" t="str">
        <f>'Data shares'!C130</f>
        <v>MCX</v>
      </c>
      <c r="B134" s="144">
        <f>VLOOKUP($A134,'Data shares'!$C:$FA,7)</f>
        <v>2305</v>
      </c>
      <c r="C134" s="144">
        <f>VLOOKUP($A134,'Data shares'!$C:$FA,3)</f>
        <v>2310</v>
      </c>
      <c r="D134" s="144">
        <f>VLOOKUP($A134,'Data shares'!$C:$FA,23)</f>
        <v>5</v>
      </c>
      <c r="E134" s="145">
        <f>VLOOKUP($A134,'Data shares'!$C:$FA,26)*100</f>
        <v>0.22</v>
      </c>
      <c r="F134" s="144">
        <f>VLOOKUP($A134,'Data shares'!$C:$FA,24)</f>
        <v>14</v>
      </c>
      <c r="G134" s="144">
        <f>VLOOKUP($A134,'Data shares'!$C:$FA,25)</f>
        <v>-9</v>
      </c>
    </row>
    <row r="135" spans="1:7" x14ac:dyDescent="0.25">
      <c r="A135" s="101" t="str">
        <f>'Data shares'!C131</f>
        <v>MFSL</v>
      </c>
      <c r="B135" s="144">
        <f>VLOOKUP($A135,'Data shares'!$C:$FA,7)</f>
        <v>1727.1</v>
      </c>
      <c r="C135" s="144">
        <f>VLOOKUP($A135,'Data shares'!$C:$FA,3)</f>
        <v>1735.2</v>
      </c>
      <c r="D135" s="144">
        <f>VLOOKUP($A135,'Data shares'!$C:$FA,23)</f>
        <v>8.1</v>
      </c>
      <c r="E135" s="145">
        <f>VLOOKUP($A135,'Data shares'!$C:$FA,26)*100</f>
        <v>0.47000000000000003</v>
      </c>
      <c r="F135" s="144">
        <f>VLOOKUP($A135,'Data shares'!$C:$FA,24)</f>
        <v>9.3000000000000007</v>
      </c>
      <c r="G135" s="144">
        <f>VLOOKUP($A135,'Data shares'!$C:$FA,25)</f>
        <v>-1.2</v>
      </c>
    </row>
    <row r="136" spans="1:7" x14ac:dyDescent="0.25">
      <c r="A136" s="101" t="str">
        <f>'Data shares'!C132</f>
        <v>MIDCPNIFTY</v>
      </c>
      <c r="B136" s="144">
        <f>VLOOKUP($A136,'Data shares'!$C:$FA,7)</f>
        <v>14053.4</v>
      </c>
      <c r="C136" s="144">
        <f>VLOOKUP($A136,'Data shares'!$C:$FA,3)</f>
        <v>14113.4</v>
      </c>
      <c r="D136" s="144">
        <f>VLOOKUP($A136,'Data shares'!$C:$FA,23)</f>
        <v>60</v>
      </c>
      <c r="E136" s="145">
        <f>VLOOKUP($A136,'Data shares'!$C:$FA,26)*100</f>
        <v>0.43</v>
      </c>
      <c r="F136" s="144">
        <f>VLOOKUP($A136,'Data shares'!$C:$FA,24)</f>
        <v>50.55</v>
      </c>
      <c r="G136" s="144">
        <f>VLOOKUP($A136,'Data shares'!$C:$FA,25)</f>
        <v>9.4499999999999993</v>
      </c>
    </row>
    <row r="137" spans="1:7" x14ac:dyDescent="0.25">
      <c r="A137" s="101" t="str">
        <f>'Data shares'!C133</f>
        <v>MOTHERSON</v>
      </c>
      <c r="B137" s="144">
        <f>VLOOKUP($A137,'Data shares'!$C:$FA,7)</f>
        <v>119.35</v>
      </c>
      <c r="C137" s="144">
        <f>VLOOKUP($A137,'Data shares'!$C:$FA,3)</f>
        <v>119.82</v>
      </c>
      <c r="D137" s="144">
        <f>VLOOKUP($A137,'Data shares'!$C:$FA,23)</f>
        <v>0.47</v>
      </c>
      <c r="E137" s="145">
        <f>VLOOKUP($A137,'Data shares'!$C:$FA,26)*100</f>
        <v>0.38999999999999996</v>
      </c>
      <c r="F137" s="144">
        <f>VLOOKUP($A137,'Data shares'!$C:$FA,24)</f>
        <v>0.57999999999999996</v>
      </c>
      <c r="G137" s="144">
        <f>VLOOKUP($A137,'Data shares'!$C:$FA,25)</f>
        <v>-0.11</v>
      </c>
    </row>
    <row r="138" spans="1:7" x14ac:dyDescent="0.25">
      <c r="A138" s="101" t="str">
        <f>'Data shares'!C134</f>
        <v>MPHASIS</v>
      </c>
      <c r="B138" s="144">
        <f>VLOOKUP($A138,'Data shares'!$C:$FA,7)</f>
        <v>2874.8</v>
      </c>
      <c r="C138" s="144">
        <f>VLOOKUP($A138,'Data shares'!$C:$FA,3)</f>
        <v>2886.6</v>
      </c>
      <c r="D138" s="144">
        <f>VLOOKUP($A138,'Data shares'!$C:$FA,23)</f>
        <v>11.8</v>
      </c>
      <c r="E138" s="145">
        <f>VLOOKUP($A138,'Data shares'!$C:$FA,26)*100</f>
        <v>0.41000000000000003</v>
      </c>
      <c r="F138" s="144">
        <f>VLOOKUP($A138,'Data shares'!$C:$FA,24)</f>
        <v>12.8</v>
      </c>
      <c r="G138" s="144">
        <f>VLOOKUP($A138,'Data shares'!$C:$FA,25)</f>
        <v>-1</v>
      </c>
    </row>
    <row r="139" spans="1:7" x14ac:dyDescent="0.25">
      <c r="A139" s="101" t="str">
        <f>'Data shares'!C135</f>
        <v>MUTHOOTFIN</v>
      </c>
      <c r="B139" s="144">
        <f>VLOOKUP($A139,'Data shares'!$C:$FA,7)</f>
        <v>3960.1</v>
      </c>
      <c r="C139" s="144">
        <f>VLOOKUP($A139,'Data shares'!$C:$FA,3)</f>
        <v>3973.1</v>
      </c>
      <c r="D139" s="144">
        <f>VLOOKUP($A139,'Data shares'!$C:$FA,23)</f>
        <v>13</v>
      </c>
      <c r="E139" s="145">
        <f>VLOOKUP($A139,'Data shares'!$C:$FA,26)*100</f>
        <v>0.33</v>
      </c>
      <c r="F139" s="144">
        <f>VLOOKUP($A139,'Data shares'!$C:$FA,24)</f>
        <v>19.7</v>
      </c>
      <c r="G139" s="144">
        <f>VLOOKUP($A139,'Data shares'!$C:$FA,25)</f>
        <v>-6.7</v>
      </c>
    </row>
    <row r="140" spans="1:7" x14ac:dyDescent="0.25">
      <c r="A140" s="101" t="str">
        <f>'Data shares'!C136</f>
        <v>NATIONALUM</v>
      </c>
      <c r="B140" s="144">
        <f>VLOOKUP($A140,'Data shares'!$C:$FA,7)</f>
        <v>352.6</v>
      </c>
      <c r="C140" s="144">
        <f>VLOOKUP($A140,'Data shares'!$C:$FA,3)</f>
        <v>351.8</v>
      </c>
      <c r="D140" s="144">
        <f>VLOOKUP($A140,'Data shares'!$C:$FA,23)</f>
        <v>-0.8</v>
      </c>
      <c r="E140" s="145">
        <f>VLOOKUP($A140,'Data shares'!$C:$FA,26)*100</f>
        <v>-0.22999999999999998</v>
      </c>
      <c r="F140" s="144">
        <f>VLOOKUP($A140,'Data shares'!$C:$FA,24)</f>
        <v>0.9</v>
      </c>
      <c r="G140" s="144">
        <f>VLOOKUP($A140,'Data shares'!$C:$FA,25)</f>
        <v>-1.7</v>
      </c>
    </row>
    <row r="141" spans="1:7" x14ac:dyDescent="0.25">
      <c r="A141" s="101" t="str">
        <f>'Data shares'!C137</f>
        <v>NAUKRI</v>
      </c>
      <c r="B141" s="144">
        <f>VLOOKUP($A141,'Data shares'!$C:$FA,7)</f>
        <v>1359.4</v>
      </c>
      <c r="C141" s="144">
        <f>VLOOKUP($A141,'Data shares'!$C:$FA,3)</f>
        <v>1360.6</v>
      </c>
      <c r="D141" s="144">
        <f>VLOOKUP($A141,'Data shares'!$C:$FA,23)</f>
        <v>1.2</v>
      </c>
      <c r="E141" s="145">
        <f>VLOOKUP($A141,'Data shares'!$C:$FA,26)*100</f>
        <v>0.09</v>
      </c>
      <c r="F141" s="144">
        <f>VLOOKUP($A141,'Data shares'!$C:$FA,24)</f>
        <v>6.9</v>
      </c>
      <c r="G141" s="144">
        <f>VLOOKUP($A141,'Data shares'!$C:$FA,25)</f>
        <v>-5.7</v>
      </c>
    </row>
    <row r="142" spans="1:7" x14ac:dyDescent="0.25">
      <c r="A142" s="101" t="str">
        <f>'Data shares'!C138</f>
        <v>NBCC</v>
      </c>
      <c r="B142" s="144">
        <f>VLOOKUP($A142,'Data shares'!$C:$FA,7)</f>
        <v>116.05</v>
      </c>
      <c r="C142" s="144">
        <f>VLOOKUP($A142,'Data shares'!$C:$FA,3)</f>
        <v>116.32</v>
      </c>
      <c r="D142" s="144">
        <f>VLOOKUP($A142,'Data shares'!$C:$FA,23)</f>
        <v>0.27</v>
      </c>
      <c r="E142" s="145">
        <f>VLOOKUP($A142,'Data shares'!$C:$FA,26)*100</f>
        <v>0.22999999999999998</v>
      </c>
      <c r="F142" s="144">
        <f>VLOOKUP($A142,'Data shares'!$C:$FA,24)</f>
        <v>0.45</v>
      </c>
      <c r="G142" s="144">
        <f>VLOOKUP($A142,'Data shares'!$C:$FA,25)</f>
        <v>-0.18</v>
      </c>
    </row>
    <row r="143" spans="1:7" x14ac:dyDescent="0.25">
      <c r="A143" s="101" t="str">
        <f>'Data shares'!C139</f>
        <v>NESTLEIND</v>
      </c>
      <c r="B143" s="144">
        <f>VLOOKUP($A143,'Data shares'!$C:$FA,7)</f>
        <v>1314.8</v>
      </c>
      <c r="C143" s="144">
        <f>VLOOKUP($A143,'Data shares'!$C:$FA,3)</f>
        <v>1319.9</v>
      </c>
      <c r="D143" s="144">
        <f>VLOOKUP($A143,'Data shares'!$C:$FA,23)</f>
        <v>5.0999999999999996</v>
      </c>
      <c r="E143" s="145">
        <f>VLOOKUP($A143,'Data shares'!$C:$FA,26)*100</f>
        <v>0.38999999999999996</v>
      </c>
      <c r="F143" s="144">
        <f>VLOOKUP($A143,'Data shares'!$C:$FA,24)</f>
        <v>3.7</v>
      </c>
      <c r="G143" s="144">
        <f>VLOOKUP($A143,'Data shares'!$C:$FA,25)</f>
        <v>1.4</v>
      </c>
    </row>
    <row r="144" spans="1:7" x14ac:dyDescent="0.25">
      <c r="A144" s="101" t="str">
        <f>'Data shares'!C140</f>
        <v>NHPC</v>
      </c>
      <c r="B144" s="144">
        <f>VLOOKUP($A144,'Data shares'!$C:$FA,7)</f>
        <v>83.66</v>
      </c>
      <c r="C144" s="144">
        <f>VLOOKUP($A144,'Data shares'!$C:$FA,3)</f>
        <v>83.77</v>
      </c>
      <c r="D144" s="144">
        <f>VLOOKUP($A144,'Data shares'!$C:$FA,23)</f>
        <v>0.11</v>
      </c>
      <c r="E144" s="145">
        <f>VLOOKUP($A144,'Data shares'!$C:$FA,26)*100</f>
        <v>0.13</v>
      </c>
      <c r="F144" s="144">
        <f>VLOOKUP($A144,'Data shares'!$C:$FA,24)</f>
        <v>0.17</v>
      </c>
      <c r="G144" s="144">
        <f>VLOOKUP($A144,'Data shares'!$C:$FA,25)</f>
        <v>-0.06</v>
      </c>
    </row>
    <row r="145" spans="1:7" x14ac:dyDescent="0.25">
      <c r="A145" s="101" t="str">
        <f>'Data shares'!C141</f>
        <v>NIFTY</v>
      </c>
      <c r="B145" s="144">
        <f>VLOOKUP($A145,'Data shares'!$C:$FA,7)</f>
        <v>26140.75</v>
      </c>
      <c r="C145" s="144">
        <f>VLOOKUP($A145,'Data shares'!$C:$FA,3)</f>
        <v>26235.3</v>
      </c>
      <c r="D145" s="144">
        <f>VLOOKUP($A145,'Data shares'!$C:$FA,23)</f>
        <v>94.55</v>
      </c>
      <c r="E145" s="145">
        <f>VLOOKUP($A145,'Data shares'!$C:$FA,26)*100</f>
        <v>0.36</v>
      </c>
      <c r="F145" s="144">
        <f>VLOOKUP($A145,'Data shares'!$C:$FA,24)</f>
        <v>106.4</v>
      </c>
      <c r="G145" s="144">
        <f>VLOOKUP($A145,'Data shares'!$C:$FA,25)</f>
        <v>-11.85</v>
      </c>
    </row>
    <row r="146" spans="1:7" x14ac:dyDescent="0.25">
      <c r="A146" s="101" t="str">
        <f>'Data shares'!C142</f>
        <v>NIFTYNXT50</v>
      </c>
      <c r="B146" s="144">
        <f>VLOOKUP($A146,'Data shares'!$C:$FA,7)</f>
        <v>70690.600000000006</v>
      </c>
      <c r="C146" s="144">
        <f>VLOOKUP($A146,'Data shares'!$C:$FA,3)</f>
        <v>70906</v>
      </c>
      <c r="D146" s="144">
        <f>VLOOKUP($A146,'Data shares'!$C:$FA,23)</f>
        <v>215.4</v>
      </c>
      <c r="E146" s="145">
        <f>VLOOKUP($A146,'Data shares'!$C:$FA,26)*100</f>
        <v>0.3</v>
      </c>
      <c r="F146" s="144">
        <f>VLOOKUP($A146,'Data shares'!$C:$FA,24)</f>
        <v>239.3</v>
      </c>
      <c r="G146" s="144">
        <f>VLOOKUP($A146,'Data shares'!$C:$FA,25)</f>
        <v>-23.9</v>
      </c>
    </row>
    <row r="147" spans="1:7" x14ac:dyDescent="0.25">
      <c r="A147" s="101" t="str">
        <f>'Data shares'!C143</f>
        <v>NMDC</v>
      </c>
      <c r="B147" s="144">
        <f>VLOOKUP($A147,'Data shares'!$C:$FA,7)</f>
        <v>86.16</v>
      </c>
      <c r="C147" s="144">
        <f>VLOOKUP($A147,'Data shares'!$C:$FA,3)</f>
        <v>86.51</v>
      </c>
      <c r="D147" s="144">
        <f>VLOOKUP($A147,'Data shares'!$C:$FA,23)</f>
        <v>0.35</v>
      </c>
      <c r="E147" s="145">
        <f>VLOOKUP($A147,'Data shares'!$C:$FA,26)*100</f>
        <v>0.41000000000000003</v>
      </c>
      <c r="F147" s="144">
        <f>VLOOKUP($A147,'Data shares'!$C:$FA,24)</f>
        <v>0.38</v>
      </c>
      <c r="G147" s="144">
        <f>VLOOKUP($A147,'Data shares'!$C:$FA,25)</f>
        <v>-0.03</v>
      </c>
    </row>
    <row r="148" spans="1:7" x14ac:dyDescent="0.25">
      <c r="A148" s="101" t="str">
        <f>'Data shares'!C144</f>
        <v>NTPC</v>
      </c>
      <c r="B148" s="144">
        <f>VLOOKUP($A148,'Data shares'!$C:$FA,7)</f>
        <v>348.85</v>
      </c>
      <c r="C148" s="144">
        <f>VLOOKUP($A148,'Data shares'!$C:$FA,3)</f>
        <v>349.65</v>
      </c>
      <c r="D148" s="144">
        <f>VLOOKUP($A148,'Data shares'!$C:$FA,23)</f>
        <v>0.8</v>
      </c>
      <c r="E148" s="145">
        <f>VLOOKUP($A148,'Data shares'!$C:$FA,26)*100</f>
        <v>0.22999999999999998</v>
      </c>
      <c r="F148" s="144">
        <f>VLOOKUP($A148,'Data shares'!$C:$FA,24)</f>
        <v>0.65</v>
      </c>
      <c r="G148" s="144">
        <f>VLOOKUP($A148,'Data shares'!$C:$FA,25)</f>
        <v>0.15</v>
      </c>
    </row>
    <row r="149" spans="1:7" x14ac:dyDescent="0.25">
      <c r="A149" s="101" t="str">
        <f>'Data shares'!C145</f>
        <v>NUVAMA</v>
      </c>
      <c r="B149" s="144">
        <f>VLOOKUP($A149,'Data shares'!$C:$FA,7)</f>
        <v>1478.9</v>
      </c>
      <c r="C149" s="144">
        <f>VLOOKUP($A149,'Data shares'!$C:$FA,3)</f>
        <v>1487</v>
      </c>
      <c r="D149" s="144">
        <f>VLOOKUP($A149,'Data shares'!$C:$FA,23)</f>
        <v>8.1</v>
      </c>
      <c r="E149" s="145">
        <f>VLOOKUP($A149,'Data shares'!$C:$FA,26)*100</f>
        <v>0.54999999999999993</v>
      </c>
      <c r="F149" s="144">
        <f>VLOOKUP($A149,'Data shares'!$C:$FA,24)</f>
        <v>8.3000000000000007</v>
      </c>
      <c r="G149" s="144">
        <f>VLOOKUP($A149,'Data shares'!$C:$FA,25)</f>
        <v>-0.2</v>
      </c>
    </row>
    <row r="150" spans="1:7" x14ac:dyDescent="0.25">
      <c r="A150" s="101" t="str">
        <f>'Data shares'!C146</f>
        <v>NYKAA</v>
      </c>
      <c r="B150" s="144">
        <f>VLOOKUP($A150,'Data shares'!$C:$FA,7)</f>
        <v>266.35000000000002</v>
      </c>
      <c r="C150" s="144">
        <f>VLOOKUP($A150,'Data shares'!$C:$FA,3)</f>
        <v>267.55</v>
      </c>
      <c r="D150" s="144">
        <f>VLOOKUP($A150,'Data shares'!$C:$FA,23)</f>
        <v>1.2</v>
      </c>
      <c r="E150" s="145">
        <f>VLOOKUP($A150,'Data shares'!$C:$FA,26)*100</f>
        <v>0.44999999999999996</v>
      </c>
      <c r="F150" s="144">
        <f>VLOOKUP($A150,'Data shares'!$C:$FA,24)</f>
        <v>0.85</v>
      </c>
      <c r="G150" s="144">
        <f>VLOOKUP($A150,'Data shares'!$C:$FA,25)</f>
        <v>0.35</v>
      </c>
    </row>
    <row r="151" spans="1:7" x14ac:dyDescent="0.25">
      <c r="A151" s="101" t="str">
        <f>'Data shares'!C147</f>
        <v>OBEROIRLTY</v>
      </c>
      <c r="B151" s="144">
        <f>VLOOKUP($A151,'Data shares'!$C:$FA,7)</f>
        <v>1708.7</v>
      </c>
      <c r="C151" s="144">
        <f>VLOOKUP($A151,'Data shares'!$C:$FA,3)</f>
        <v>1713.6</v>
      </c>
      <c r="D151" s="144">
        <f>VLOOKUP($A151,'Data shares'!$C:$FA,23)</f>
        <v>4.9000000000000004</v>
      </c>
      <c r="E151" s="145">
        <f>VLOOKUP($A151,'Data shares'!$C:$FA,26)*100</f>
        <v>0.28999999999999998</v>
      </c>
      <c r="F151" s="144">
        <f>VLOOKUP($A151,'Data shares'!$C:$FA,24)</f>
        <v>-0.7</v>
      </c>
      <c r="G151" s="144">
        <f>VLOOKUP($A151,'Data shares'!$C:$FA,25)</f>
        <v>5.6</v>
      </c>
    </row>
    <row r="152" spans="1:7" x14ac:dyDescent="0.25">
      <c r="A152" s="101" t="str">
        <f>'Data shares'!C148</f>
        <v>OFSS</v>
      </c>
      <c r="B152" s="144">
        <f>VLOOKUP($A152,'Data shares'!$C:$FA,7)</f>
        <v>7832.5</v>
      </c>
      <c r="C152" s="144">
        <f>VLOOKUP($A152,'Data shares'!$C:$FA,3)</f>
        <v>7871</v>
      </c>
      <c r="D152" s="144">
        <f>VLOOKUP($A152,'Data shares'!$C:$FA,23)</f>
        <v>38.5</v>
      </c>
      <c r="E152" s="145">
        <f>VLOOKUP($A152,'Data shares'!$C:$FA,26)*100</f>
        <v>0.49</v>
      </c>
      <c r="F152" s="144">
        <f>VLOOKUP($A152,'Data shares'!$C:$FA,24)</f>
        <v>14.5</v>
      </c>
      <c r="G152" s="144">
        <f>VLOOKUP($A152,'Data shares'!$C:$FA,25)</f>
        <v>24</v>
      </c>
    </row>
    <row r="153" spans="1:7" x14ac:dyDescent="0.25">
      <c r="A153" s="101" t="str">
        <f>'Data shares'!C149</f>
        <v>OIL</v>
      </c>
      <c r="B153" s="144">
        <f>VLOOKUP($A153,'Data shares'!$C:$FA,7)</f>
        <v>418.4</v>
      </c>
      <c r="C153" s="144">
        <f>VLOOKUP($A153,'Data shares'!$C:$FA,3)</f>
        <v>418.7</v>
      </c>
      <c r="D153" s="144">
        <f>VLOOKUP($A153,'Data shares'!$C:$FA,23)</f>
        <v>0.3</v>
      </c>
      <c r="E153" s="145">
        <f>VLOOKUP($A153,'Data shares'!$C:$FA,26)*100</f>
        <v>6.9999999999999993E-2</v>
      </c>
      <c r="F153" s="144">
        <f>VLOOKUP($A153,'Data shares'!$C:$FA,24)</f>
        <v>1.25</v>
      </c>
      <c r="G153" s="144">
        <f>VLOOKUP($A153,'Data shares'!$C:$FA,25)</f>
        <v>-0.95</v>
      </c>
    </row>
    <row r="154" spans="1:7" x14ac:dyDescent="0.25">
      <c r="A154" s="101" t="str">
        <f>'Data shares'!C150</f>
        <v>ONGC</v>
      </c>
      <c r="B154" s="144">
        <f>VLOOKUP($A154,'Data shares'!$C:$FA,7)</f>
        <v>239.06</v>
      </c>
      <c r="C154" s="144">
        <f>VLOOKUP($A154,'Data shares'!$C:$FA,3)</f>
        <v>239.56</v>
      </c>
      <c r="D154" s="144">
        <f>VLOOKUP($A154,'Data shares'!$C:$FA,23)</f>
        <v>0.5</v>
      </c>
      <c r="E154" s="145">
        <f>VLOOKUP($A154,'Data shares'!$C:$FA,26)*100</f>
        <v>0.21</v>
      </c>
      <c r="F154" s="144">
        <f>VLOOKUP($A154,'Data shares'!$C:$FA,24)</f>
        <v>0.55000000000000004</v>
      </c>
      <c r="G154" s="144">
        <f>VLOOKUP($A154,'Data shares'!$C:$FA,25)</f>
        <v>-0.05</v>
      </c>
    </row>
    <row r="155" spans="1:7" x14ac:dyDescent="0.25">
      <c r="A155" s="101" t="str">
        <f>'Data shares'!C151</f>
        <v>PAGEIND</v>
      </c>
      <c r="B155" s="144">
        <f>VLOOKUP($A155,'Data shares'!$C:$FA,7)</f>
        <v>35380</v>
      </c>
      <c r="C155" s="144">
        <f>VLOOKUP($A155,'Data shares'!$C:$FA,3)</f>
        <v>35565</v>
      </c>
      <c r="D155" s="144">
        <f>VLOOKUP($A155,'Data shares'!$C:$FA,23)</f>
        <v>185</v>
      </c>
      <c r="E155" s="145">
        <f>VLOOKUP($A155,'Data shares'!$C:$FA,26)*100</f>
        <v>0.52</v>
      </c>
      <c r="F155" s="144">
        <f>VLOOKUP($A155,'Data shares'!$C:$FA,24)</f>
        <v>125</v>
      </c>
      <c r="G155" s="144">
        <f>VLOOKUP($A155,'Data shares'!$C:$FA,25)</f>
        <v>60</v>
      </c>
    </row>
    <row r="156" spans="1:7" x14ac:dyDescent="0.25">
      <c r="A156" s="101" t="str">
        <f>'Data shares'!C152</f>
        <v>PATANJALI</v>
      </c>
      <c r="B156" s="144">
        <f>VLOOKUP($A156,'Data shares'!$C:$FA,7)</f>
        <v>576.45000000000005</v>
      </c>
      <c r="C156" s="144">
        <f>VLOOKUP($A156,'Data shares'!$C:$FA,3)</f>
        <v>578.75</v>
      </c>
      <c r="D156" s="144">
        <f>VLOOKUP($A156,'Data shares'!$C:$FA,23)</f>
        <v>2.2999999999999998</v>
      </c>
      <c r="E156" s="145">
        <f>VLOOKUP($A156,'Data shares'!$C:$FA,26)*100</f>
        <v>0.4</v>
      </c>
      <c r="F156" s="144">
        <f>VLOOKUP($A156,'Data shares'!$C:$FA,24)</f>
        <v>1.1499999999999999</v>
      </c>
      <c r="G156" s="144">
        <f>VLOOKUP($A156,'Data shares'!$C:$FA,25)</f>
        <v>1.1499999999999999</v>
      </c>
    </row>
    <row r="157" spans="1:7" x14ac:dyDescent="0.25">
      <c r="A157" s="101" t="str">
        <f>'Data shares'!C153</f>
        <v>PAYTM</v>
      </c>
      <c r="B157" s="144">
        <f>VLOOKUP($A157,'Data shares'!$C:$FA,7)</f>
        <v>1318.8</v>
      </c>
      <c r="C157" s="144">
        <f>VLOOKUP($A157,'Data shares'!$C:$FA,3)</f>
        <v>1325.4</v>
      </c>
      <c r="D157" s="144">
        <f>VLOOKUP($A157,'Data shares'!$C:$FA,23)</f>
        <v>6.6</v>
      </c>
      <c r="E157" s="145">
        <f>VLOOKUP($A157,'Data shares'!$C:$FA,26)*100</f>
        <v>0.5</v>
      </c>
      <c r="F157" s="144">
        <f>VLOOKUP($A157,'Data shares'!$C:$FA,24)</f>
        <v>3</v>
      </c>
      <c r="G157" s="144">
        <f>VLOOKUP($A157,'Data shares'!$C:$FA,25)</f>
        <v>3.6</v>
      </c>
    </row>
    <row r="158" spans="1:7" x14ac:dyDescent="0.25">
      <c r="A158" s="101" t="str">
        <f>'Data shares'!C154</f>
        <v>PERSISTENT</v>
      </c>
      <c r="B158" s="144">
        <f>VLOOKUP($A158,'Data shares'!$C:$FA,7)</f>
        <v>6513.5</v>
      </c>
      <c r="C158" s="144">
        <f>VLOOKUP($A158,'Data shares'!$C:$FA,3)</f>
        <v>6539</v>
      </c>
      <c r="D158" s="144">
        <f>VLOOKUP($A158,'Data shares'!$C:$FA,23)</f>
        <v>25.5</v>
      </c>
      <c r="E158" s="145">
        <f>VLOOKUP($A158,'Data shares'!$C:$FA,26)*100</f>
        <v>0.38999999999999996</v>
      </c>
      <c r="F158" s="144">
        <f>VLOOKUP($A158,'Data shares'!$C:$FA,24)</f>
        <v>4</v>
      </c>
      <c r="G158" s="144">
        <f>VLOOKUP($A158,'Data shares'!$C:$FA,25)</f>
        <v>21.5</v>
      </c>
    </row>
    <row r="159" spans="1:7" x14ac:dyDescent="0.25">
      <c r="A159" s="101" t="str">
        <f>'Data shares'!C155</f>
        <v>PETRONET</v>
      </c>
      <c r="B159" s="144">
        <f>VLOOKUP($A159,'Data shares'!$C:$FA,7)</f>
        <v>294.35000000000002</v>
      </c>
      <c r="C159" s="144">
        <f>VLOOKUP($A159,'Data shares'!$C:$FA,3)</f>
        <v>294.75</v>
      </c>
      <c r="D159" s="144">
        <f>VLOOKUP($A159,'Data shares'!$C:$FA,23)</f>
        <v>0.4</v>
      </c>
      <c r="E159" s="145">
        <f>VLOOKUP($A159,'Data shares'!$C:$FA,26)*100</f>
        <v>0.13999999999999999</v>
      </c>
      <c r="F159" s="144">
        <f>VLOOKUP($A159,'Data shares'!$C:$FA,24)</f>
        <v>0.75</v>
      </c>
      <c r="G159" s="144">
        <f>VLOOKUP($A159,'Data shares'!$C:$FA,25)</f>
        <v>-0.35</v>
      </c>
    </row>
    <row r="160" spans="1:7" x14ac:dyDescent="0.25">
      <c r="A160" s="101" t="str">
        <f>'Data shares'!C156</f>
        <v>PFC</v>
      </c>
      <c r="B160" s="144">
        <f>VLOOKUP($A160,'Data shares'!$C:$FA,7)</f>
        <v>376.95</v>
      </c>
      <c r="C160" s="144">
        <f>VLOOKUP($A160,'Data shares'!$C:$FA,3)</f>
        <v>378.7</v>
      </c>
      <c r="D160" s="144">
        <f>VLOOKUP($A160,'Data shares'!$C:$FA,23)</f>
        <v>1.75</v>
      </c>
      <c r="E160" s="145">
        <f>VLOOKUP($A160,'Data shares'!$C:$FA,26)*100</f>
        <v>0.45999999999999996</v>
      </c>
      <c r="F160" s="144">
        <f>VLOOKUP($A160,'Data shares'!$C:$FA,24)</f>
        <v>1.4</v>
      </c>
      <c r="G160" s="144">
        <f>VLOOKUP($A160,'Data shares'!$C:$FA,25)</f>
        <v>0.35</v>
      </c>
    </row>
    <row r="161" spans="1:7" x14ac:dyDescent="0.25">
      <c r="A161" s="101" t="str">
        <f>'Data shares'!C157</f>
        <v>PGEL</v>
      </c>
      <c r="B161" s="144">
        <f>VLOOKUP($A161,'Data shares'!$C:$FA,7)</f>
        <v>622.4</v>
      </c>
      <c r="C161" s="144">
        <f>VLOOKUP($A161,'Data shares'!$C:$FA,3)</f>
        <v>623.9</v>
      </c>
      <c r="D161" s="144">
        <f>VLOOKUP($A161,'Data shares'!$C:$FA,23)</f>
        <v>1.5</v>
      </c>
      <c r="E161" s="145">
        <f>VLOOKUP($A161,'Data shares'!$C:$FA,26)*100</f>
        <v>0.24</v>
      </c>
      <c r="F161" s="144">
        <f>VLOOKUP($A161,'Data shares'!$C:$FA,24)</f>
        <v>2.65</v>
      </c>
      <c r="G161" s="144">
        <f>VLOOKUP($A161,'Data shares'!$C:$FA,25)</f>
        <v>-1.1499999999999999</v>
      </c>
    </row>
    <row r="162" spans="1:7" x14ac:dyDescent="0.25">
      <c r="A162" s="101" t="str">
        <f>'Data shares'!C158</f>
        <v>PHOENIXLTD</v>
      </c>
      <c r="B162" s="144">
        <f>VLOOKUP($A162,'Data shares'!$C:$FA,7)</f>
        <v>1942.6</v>
      </c>
      <c r="C162" s="144">
        <f>VLOOKUP($A162,'Data shares'!$C:$FA,3)</f>
        <v>1946.3</v>
      </c>
      <c r="D162" s="144">
        <f>VLOOKUP($A162,'Data shares'!$C:$FA,23)</f>
        <v>3.7</v>
      </c>
      <c r="E162" s="145">
        <f>VLOOKUP($A162,'Data shares'!$C:$FA,26)*100</f>
        <v>0.19</v>
      </c>
      <c r="F162" s="144">
        <f>VLOOKUP($A162,'Data shares'!$C:$FA,24)</f>
        <v>7.4</v>
      </c>
      <c r="G162" s="144">
        <f>VLOOKUP($A162,'Data shares'!$C:$FA,25)</f>
        <v>-3.7</v>
      </c>
    </row>
    <row r="163" spans="1:7" x14ac:dyDescent="0.25">
      <c r="A163" s="101" t="str">
        <f>'Data shares'!C159</f>
        <v>PIDILITIND</v>
      </c>
      <c r="B163" s="144">
        <f>VLOOKUP($A163,'Data shares'!$C:$FA,7)</f>
        <v>1514.8</v>
      </c>
      <c r="C163" s="144">
        <f>VLOOKUP($A163,'Data shares'!$C:$FA,3)</f>
        <v>1518.1</v>
      </c>
      <c r="D163" s="144">
        <f>VLOOKUP($A163,'Data shares'!$C:$FA,23)</f>
        <v>3.3</v>
      </c>
      <c r="E163" s="145">
        <f>VLOOKUP($A163,'Data shares'!$C:$FA,26)*100</f>
        <v>0.22</v>
      </c>
      <c r="F163" s="144">
        <f>VLOOKUP($A163,'Data shares'!$C:$FA,24)</f>
        <v>3.9</v>
      </c>
      <c r="G163" s="144">
        <f>VLOOKUP($A163,'Data shares'!$C:$FA,25)</f>
        <v>-0.6</v>
      </c>
    </row>
    <row r="164" spans="1:7" x14ac:dyDescent="0.25">
      <c r="A164" s="101" t="str">
        <f>'Data shares'!C160</f>
        <v>PIIND</v>
      </c>
      <c r="B164" s="144">
        <f>VLOOKUP($A164,'Data shares'!$C:$FA,7)</f>
        <v>3283.8</v>
      </c>
      <c r="C164" s="144">
        <f>VLOOKUP($A164,'Data shares'!$C:$FA,3)</f>
        <v>3301.7</v>
      </c>
      <c r="D164" s="144">
        <f>VLOOKUP($A164,'Data shares'!$C:$FA,23)</f>
        <v>17.899999999999999</v>
      </c>
      <c r="E164" s="145">
        <f>VLOOKUP($A164,'Data shares'!$C:$FA,26)*100</f>
        <v>0.54999999999999993</v>
      </c>
      <c r="F164" s="144">
        <f>VLOOKUP($A164,'Data shares'!$C:$FA,24)</f>
        <v>-0.6</v>
      </c>
      <c r="G164" s="144">
        <f>VLOOKUP($A164,'Data shares'!$C:$FA,25)</f>
        <v>18.5</v>
      </c>
    </row>
    <row r="165" spans="1:7" x14ac:dyDescent="0.25">
      <c r="A165" s="101" t="str">
        <f>'Data shares'!C161</f>
        <v>PNB</v>
      </c>
      <c r="B165" s="144">
        <f>VLOOKUP($A165,'Data shares'!$C:$FA,7)</f>
        <v>125.68</v>
      </c>
      <c r="C165" s="144">
        <f>VLOOKUP($A165,'Data shares'!$C:$FA,3)</f>
        <v>126.03</v>
      </c>
      <c r="D165" s="144">
        <f>VLOOKUP($A165,'Data shares'!$C:$FA,23)</f>
        <v>0.35</v>
      </c>
      <c r="E165" s="145">
        <f>VLOOKUP($A165,'Data shares'!$C:$FA,26)*100</f>
        <v>0.27999999999999997</v>
      </c>
      <c r="F165" s="144">
        <f>VLOOKUP($A165,'Data shares'!$C:$FA,24)</f>
        <v>0.32</v>
      </c>
      <c r="G165" s="144">
        <f>VLOOKUP($A165,'Data shares'!$C:$FA,25)</f>
        <v>0.03</v>
      </c>
    </row>
    <row r="166" spans="1:7" x14ac:dyDescent="0.25">
      <c r="A166" s="101" t="str">
        <f>'Data shares'!C162</f>
        <v>PNBHOUSING</v>
      </c>
      <c r="B166" s="144">
        <f>VLOOKUP($A166,'Data shares'!$C:$FA,7)</f>
        <v>1004.4</v>
      </c>
      <c r="C166" s="144">
        <f>VLOOKUP($A166,'Data shares'!$C:$FA,3)</f>
        <v>1006.5</v>
      </c>
      <c r="D166" s="144">
        <f>VLOOKUP($A166,'Data shares'!$C:$FA,23)</f>
        <v>2.1</v>
      </c>
      <c r="E166" s="145">
        <f>VLOOKUP($A166,'Data shares'!$C:$FA,26)*100</f>
        <v>0.21</v>
      </c>
      <c r="F166" s="144">
        <f>VLOOKUP($A166,'Data shares'!$C:$FA,24)</f>
        <v>3.15</v>
      </c>
      <c r="G166" s="144">
        <f>VLOOKUP($A166,'Data shares'!$C:$FA,25)</f>
        <v>-1.05</v>
      </c>
    </row>
    <row r="167" spans="1:7" x14ac:dyDescent="0.25">
      <c r="A167" s="101" t="str">
        <f>'Data shares'!C163</f>
        <v>POLICYBZR</v>
      </c>
      <c r="B167" s="144">
        <f>VLOOKUP($A167,'Data shares'!$C:$FA,7)</f>
        <v>1719.5</v>
      </c>
      <c r="C167" s="144">
        <f>VLOOKUP($A167,'Data shares'!$C:$FA,3)</f>
        <v>1726.4</v>
      </c>
      <c r="D167" s="144">
        <f>VLOOKUP($A167,'Data shares'!$C:$FA,23)</f>
        <v>6.9</v>
      </c>
      <c r="E167" s="145">
        <f>VLOOKUP($A167,'Data shares'!$C:$FA,26)*100</f>
        <v>0.4</v>
      </c>
      <c r="F167" s="144">
        <f>VLOOKUP($A167,'Data shares'!$C:$FA,24)</f>
        <v>5</v>
      </c>
      <c r="G167" s="144">
        <f>VLOOKUP($A167,'Data shares'!$C:$FA,25)</f>
        <v>1.9</v>
      </c>
    </row>
    <row r="168" spans="1:7" s="175" customFormat="1" x14ac:dyDescent="0.25">
      <c r="A168" s="101" t="str">
        <f>'Data shares'!C164</f>
        <v>POLYCAB</v>
      </c>
      <c r="B168" s="144">
        <f>VLOOKUP($A168,'Data shares'!$C:$FA,7)</f>
        <v>7897</v>
      </c>
      <c r="C168" s="144">
        <f>VLOOKUP($A168,'Data shares'!$C:$FA,3)</f>
        <v>7936.5</v>
      </c>
      <c r="D168" s="144">
        <f>VLOOKUP($A168,'Data shares'!$C:$FA,23)</f>
        <v>39.5</v>
      </c>
      <c r="E168" s="145">
        <f>VLOOKUP($A168,'Data shares'!$C:$FA,26)*100</f>
        <v>0.5</v>
      </c>
      <c r="F168" s="144">
        <f>VLOOKUP($A168,'Data shares'!$C:$FA,24)</f>
        <v>40.5</v>
      </c>
      <c r="G168" s="144">
        <f>VLOOKUP($A168,'Data shares'!$C:$FA,25)</f>
        <v>-1</v>
      </c>
    </row>
    <row r="169" spans="1:7" x14ac:dyDescent="0.25">
      <c r="A169" s="101" t="str">
        <f>'Data shares'!C165</f>
        <v>POWERGRID</v>
      </c>
      <c r="B169" s="144">
        <f>VLOOKUP($A169,'Data shares'!$C:$FA,7)</f>
        <v>264.10000000000002</v>
      </c>
      <c r="C169" s="144">
        <f>VLOOKUP($A169,'Data shares'!$C:$FA,3)</f>
        <v>265.39999999999998</v>
      </c>
      <c r="D169" s="144">
        <f>VLOOKUP($A169,'Data shares'!$C:$FA,23)</f>
        <v>1.3</v>
      </c>
      <c r="E169" s="145">
        <f>VLOOKUP($A169,'Data shares'!$C:$FA,26)*100</f>
        <v>0.49</v>
      </c>
      <c r="F169" s="144">
        <f>VLOOKUP($A169,'Data shares'!$C:$FA,24)</f>
        <v>1.3</v>
      </c>
      <c r="G169" s="144">
        <f>VLOOKUP($A169,'Data shares'!$C:$FA,25)</f>
        <v>0</v>
      </c>
    </row>
    <row r="170" spans="1:7" x14ac:dyDescent="0.25">
      <c r="A170" s="101" t="str">
        <f>'Data shares'!C166</f>
        <v>POWERINDIA</v>
      </c>
      <c r="B170" s="144">
        <f>VLOOKUP($A170,'Data shares'!$C:$FA,7)</f>
        <v>19582</v>
      </c>
      <c r="C170" s="144">
        <f>VLOOKUP($A170,'Data shares'!$C:$FA,3)</f>
        <v>19628</v>
      </c>
      <c r="D170" s="144">
        <f>VLOOKUP($A170,'Data shares'!$C:$FA,23)</f>
        <v>46</v>
      </c>
      <c r="E170" s="145">
        <f>VLOOKUP($A170,'Data shares'!$C:$FA,26)*100</f>
        <v>0.22999999999999998</v>
      </c>
      <c r="F170" s="144">
        <f>VLOOKUP($A170,'Data shares'!$C:$FA,24)</f>
        <v>20</v>
      </c>
      <c r="G170" s="144">
        <f>VLOOKUP($A170,'Data shares'!$C:$FA,25)</f>
        <v>26</v>
      </c>
    </row>
    <row r="171" spans="1:7" x14ac:dyDescent="0.25">
      <c r="A171" s="101" t="str">
        <f>'Data shares'!C167</f>
        <v>PPLPHARMA</v>
      </c>
      <c r="B171" s="144">
        <f>VLOOKUP($A171,'Data shares'!$C:$FA,7)</f>
        <v>180.81</v>
      </c>
      <c r="C171" s="144">
        <f>VLOOKUP($A171,'Data shares'!$C:$FA,3)</f>
        <v>181.82</v>
      </c>
      <c r="D171" s="144">
        <f>VLOOKUP($A171,'Data shares'!$C:$FA,23)</f>
        <v>1.01</v>
      </c>
      <c r="E171" s="145">
        <f>VLOOKUP($A171,'Data shares'!$C:$FA,26)*100</f>
        <v>0.55999999999999994</v>
      </c>
      <c r="F171" s="144">
        <f>VLOOKUP($A171,'Data shares'!$C:$FA,24)</f>
        <v>0.88</v>
      </c>
      <c r="G171" s="144">
        <f>VLOOKUP($A171,'Data shares'!$C:$FA,25)</f>
        <v>0.13</v>
      </c>
    </row>
    <row r="172" spans="1:7" x14ac:dyDescent="0.25">
      <c r="A172" s="101" t="str">
        <f>'Data shares'!C168</f>
        <v>PREMIERENE</v>
      </c>
      <c r="B172" s="144">
        <f>VLOOKUP($A172,'Data shares'!$C:$FA,7)</f>
        <v>752.05</v>
      </c>
      <c r="C172" s="144">
        <f>VLOOKUP($A172,'Data shares'!$C:$FA,3)</f>
        <v>755.55</v>
      </c>
      <c r="D172" s="144">
        <f>VLOOKUP($A172,'Data shares'!$C:$FA,23)</f>
        <v>3.5</v>
      </c>
      <c r="E172" s="145">
        <f>VLOOKUP($A172,'Data shares'!$C:$FA,26)*100</f>
        <v>0.47000000000000003</v>
      </c>
      <c r="F172" s="144">
        <f>VLOOKUP($A172,'Data shares'!$C:$FA,24)</f>
        <v>1.65</v>
      </c>
      <c r="G172" s="144">
        <f>VLOOKUP($A172,'Data shares'!$C:$FA,25)</f>
        <v>1.85</v>
      </c>
    </row>
    <row r="173" spans="1:7" x14ac:dyDescent="0.25">
      <c r="A173" s="101" t="str">
        <f>'Data shares'!C169</f>
        <v>PRESTIGE</v>
      </c>
      <c r="B173" s="144">
        <f>VLOOKUP($A173,'Data shares'!$C:$FA,7)</f>
        <v>1619.5</v>
      </c>
      <c r="C173" s="144">
        <f>VLOOKUP($A173,'Data shares'!$C:$FA,3)</f>
        <v>1623.8</v>
      </c>
      <c r="D173" s="144">
        <f>VLOOKUP($A173,'Data shares'!$C:$FA,23)</f>
        <v>4.3</v>
      </c>
      <c r="E173" s="145">
        <f>VLOOKUP($A173,'Data shares'!$C:$FA,26)*100</f>
        <v>0.27</v>
      </c>
      <c r="F173" s="144">
        <f>VLOOKUP($A173,'Data shares'!$C:$FA,24)</f>
        <v>9</v>
      </c>
      <c r="G173" s="144">
        <f>VLOOKUP($A173,'Data shares'!$C:$FA,25)</f>
        <v>-4.7</v>
      </c>
    </row>
    <row r="174" spans="1:7" x14ac:dyDescent="0.25">
      <c r="A174" s="101" t="str">
        <f>'Data shares'!C170</f>
        <v>RBLBANK</v>
      </c>
      <c r="B174" s="144">
        <f>VLOOKUP($A174,'Data shares'!$C:$FA,7)</f>
        <v>318.64999999999998</v>
      </c>
      <c r="C174" s="144">
        <f>VLOOKUP($A174,'Data shares'!$C:$FA,3)</f>
        <v>319.3</v>
      </c>
      <c r="D174" s="144">
        <f>VLOOKUP($A174,'Data shares'!$C:$FA,23)</f>
        <v>0.65</v>
      </c>
      <c r="E174" s="145">
        <f>VLOOKUP($A174,'Data shares'!$C:$FA,26)*100</f>
        <v>0.2</v>
      </c>
      <c r="F174" s="144">
        <f>VLOOKUP($A174,'Data shares'!$C:$FA,24)</f>
        <v>0.65</v>
      </c>
      <c r="G174" s="144">
        <f>VLOOKUP($A174,'Data shares'!$C:$FA,25)</f>
        <v>0</v>
      </c>
    </row>
    <row r="175" spans="1:7" x14ac:dyDescent="0.25">
      <c r="A175" s="101" t="str">
        <f>'Data shares'!C171</f>
        <v>RECLTD</v>
      </c>
      <c r="B175" s="144">
        <f>VLOOKUP($A175,'Data shares'!$C:$FA,7)</f>
        <v>385.25</v>
      </c>
      <c r="C175" s="144">
        <f>VLOOKUP($A175,'Data shares'!$C:$FA,3)</f>
        <v>385.45</v>
      </c>
      <c r="D175" s="144">
        <f>VLOOKUP($A175,'Data shares'!$C:$FA,23)</f>
        <v>0.2</v>
      </c>
      <c r="E175" s="145">
        <f>VLOOKUP($A175,'Data shares'!$C:$FA,26)*100</f>
        <v>0.05</v>
      </c>
      <c r="F175" s="144">
        <f>VLOOKUP($A175,'Data shares'!$C:$FA,24)</f>
        <v>0.35</v>
      </c>
      <c r="G175" s="144">
        <f>VLOOKUP($A175,'Data shares'!$C:$FA,25)</f>
        <v>-0.15</v>
      </c>
    </row>
    <row r="176" spans="1:7" x14ac:dyDescent="0.25">
      <c r="A176" s="101" t="str">
        <f>'Data shares'!C172</f>
        <v>RELIANCE</v>
      </c>
      <c r="B176" s="144">
        <f>VLOOKUP($A176,'Data shares'!$C:$FA,7)</f>
        <v>1504.2</v>
      </c>
      <c r="C176" s="144">
        <f>VLOOKUP($A176,'Data shares'!$C:$FA,3)</f>
        <v>1511.5</v>
      </c>
      <c r="D176" s="144">
        <f>VLOOKUP($A176,'Data shares'!$C:$FA,23)</f>
        <v>7.3</v>
      </c>
      <c r="E176" s="145">
        <f>VLOOKUP($A176,'Data shares'!$C:$FA,26)*100</f>
        <v>0.49</v>
      </c>
      <c r="F176" s="144">
        <f>VLOOKUP($A176,'Data shares'!$C:$FA,24)</f>
        <v>6.5</v>
      </c>
      <c r="G176" s="144">
        <f>VLOOKUP($A176,'Data shares'!$C:$FA,25)</f>
        <v>0.8</v>
      </c>
    </row>
    <row r="177" spans="1:7" x14ac:dyDescent="0.25">
      <c r="A177" s="101" t="str">
        <f>'Data shares'!C173</f>
        <v>RVNL</v>
      </c>
      <c r="B177" s="144">
        <f>VLOOKUP($A177,'Data shares'!$C:$FA,7)</f>
        <v>357.4</v>
      </c>
      <c r="C177" s="144">
        <f>VLOOKUP($A177,'Data shares'!$C:$FA,3)</f>
        <v>357.65</v>
      </c>
      <c r="D177" s="144">
        <f>VLOOKUP($A177,'Data shares'!$C:$FA,23)</f>
        <v>0.25</v>
      </c>
      <c r="E177" s="145">
        <f>VLOOKUP($A177,'Data shares'!$C:$FA,26)*100</f>
        <v>6.9999999999999993E-2</v>
      </c>
      <c r="F177" s="144">
        <f>VLOOKUP($A177,'Data shares'!$C:$FA,24)</f>
        <v>-2.0499999999999998</v>
      </c>
      <c r="G177" s="144">
        <f>VLOOKUP($A177,'Data shares'!$C:$FA,25)</f>
        <v>2.2999999999999998</v>
      </c>
    </row>
    <row r="178" spans="1:7" x14ac:dyDescent="0.25">
      <c r="A178" s="101" t="str">
        <f>'Data shares'!C174</f>
        <v>SAIL</v>
      </c>
      <c r="B178" s="144">
        <f>VLOOKUP($A178,'Data shares'!$C:$FA,7)</f>
        <v>150.37</v>
      </c>
      <c r="C178" s="144">
        <f>VLOOKUP($A178,'Data shares'!$C:$FA,3)</f>
        <v>150.61000000000001</v>
      </c>
      <c r="D178" s="144">
        <f>VLOOKUP($A178,'Data shares'!$C:$FA,23)</f>
        <v>0.24</v>
      </c>
      <c r="E178" s="145">
        <f>VLOOKUP($A178,'Data shares'!$C:$FA,26)*100</f>
        <v>0.16</v>
      </c>
      <c r="F178" s="144">
        <f>VLOOKUP($A178,'Data shares'!$C:$FA,24)</f>
        <v>1.43</v>
      </c>
      <c r="G178" s="144">
        <f>VLOOKUP($A178,'Data shares'!$C:$FA,25)</f>
        <v>-1.19</v>
      </c>
    </row>
    <row r="179" spans="1:7" x14ac:dyDescent="0.25">
      <c r="A179" s="101" t="str">
        <f>'Data shares'!C175</f>
        <v>SAMMAANCAP</v>
      </c>
      <c r="B179" s="144">
        <f>VLOOKUP($A179,'Data shares'!$C:$FA,7)</f>
        <v>149.94999999999999</v>
      </c>
      <c r="C179" s="144">
        <f>VLOOKUP($A179,'Data shares'!$C:$FA,3)</f>
        <v>150.74</v>
      </c>
      <c r="D179" s="144">
        <f>VLOOKUP($A179,'Data shares'!$C:$FA,23)</f>
        <v>0.79</v>
      </c>
      <c r="E179" s="145">
        <f>VLOOKUP($A179,'Data shares'!$C:$FA,26)*100</f>
        <v>0.53</v>
      </c>
      <c r="F179" s="144">
        <f>VLOOKUP($A179,'Data shares'!$C:$FA,24)</f>
        <v>1.41</v>
      </c>
      <c r="G179" s="144">
        <f>VLOOKUP($A179,'Data shares'!$C:$FA,25)</f>
        <v>-0.62</v>
      </c>
    </row>
    <row r="180" spans="1:7" x14ac:dyDescent="0.25">
      <c r="A180" s="101" t="str">
        <f>'Data shares'!C176</f>
        <v>SBICARD</v>
      </c>
      <c r="B180" s="144">
        <f>VLOOKUP($A180,'Data shares'!$C:$FA,7)</f>
        <v>885.6</v>
      </c>
      <c r="C180" s="144">
        <f>VLOOKUP($A180,'Data shares'!$C:$FA,3)</f>
        <v>886.9</v>
      </c>
      <c r="D180" s="144">
        <f>VLOOKUP($A180,'Data shares'!$C:$FA,23)</f>
        <v>1.3</v>
      </c>
      <c r="E180" s="145">
        <f>VLOOKUP($A180,'Data shares'!$C:$FA,26)*100</f>
        <v>0.15</v>
      </c>
      <c r="F180" s="144">
        <f>VLOOKUP($A180,'Data shares'!$C:$FA,24)</f>
        <v>1</v>
      </c>
      <c r="G180" s="144">
        <f>VLOOKUP($A180,'Data shares'!$C:$FA,25)</f>
        <v>0.3</v>
      </c>
    </row>
    <row r="181" spans="1:7" x14ac:dyDescent="0.25">
      <c r="A181" s="101" t="str">
        <f>'Data shares'!C177</f>
        <v>SBILIFE</v>
      </c>
      <c r="B181" s="144">
        <f>VLOOKUP($A181,'Data shares'!$C:$FA,7)</f>
        <v>2070.8000000000002</v>
      </c>
      <c r="C181" s="144">
        <f>VLOOKUP($A181,'Data shares'!$C:$FA,3)</f>
        <v>2079.1999999999998</v>
      </c>
      <c r="D181" s="144">
        <f>VLOOKUP($A181,'Data shares'!$C:$FA,23)</f>
        <v>8.4</v>
      </c>
      <c r="E181" s="145">
        <f>VLOOKUP($A181,'Data shares'!$C:$FA,26)*100</f>
        <v>0.41000000000000003</v>
      </c>
      <c r="F181" s="144">
        <f>VLOOKUP($A181,'Data shares'!$C:$FA,24)</f>
        <v>5.3</v>
      </c>
      <c r="G181" s="144">
        <f>VLOOKUP($A181,'Data shares'!$C:$FA,25)</f>
        <v>3.1</v>
      </c>
    </row>
    <row r="182" spans="1:7" x14ac:dyDescent="0.25">
      <c r="A182" s="101" t="str">
        <f>'Data shares'!C178</f>
        <v>SBIN</v>
      </c>
      <c r="B182" s="144">
        <f>VLOOKUP($A182,'Data shares'!$C:$FA,7)</f>
        <v>1007.15</v>
      </c>
      <c r="C182" s="144">
        <f>VLOOKUP($A182,'Data shares'!$C:$FA,3)</f>
        <v>1009.25</v>
      </c>
      <c r="D182" s="144">
        <f>VLOOKUP($A182,'Data shares'!$C:$FA,23)</f>
        <v>2.1</v>
      </c>
      <c r="E182" s="145">
        <f>VLOOKUP($A182,'Data shares'!$C:$FA,26)*100</f>
        <v>0.21</v>
      </c>
      <c r="F182" s="144">
        <f>VLOOKUP($A182,'Data shares'!$C:$FA,24)</f>
        <v>2.2999999999999998</v>
      </c>
      <c r="G182" s="144">
        <f>VLOOKUP($A182,'Data shares'!$C:$FA,25)</f>
        <v>-0.2</v>
      </c>
    </row>
    <row r="183" spans="1:7" x14ac:dyDescent="0.25">
      <c r="A183" s="101" t="str">
        <f>'Data shares'!C179</f>
        <v>SHREECEM</v>
      </c>
      <c r="B183" s="144">
        <f>VLOOKUP($A183,'Data shares'!$C:$FA,7)</f>
        <v>27320</v>
      </c>
      <c r="C183" s="144">
        <f>VLOOKUP($A183,'Data shares'!$C:$FA,3)</f>
        <v>27455</v>
      </c>
      <c r="D183" s="144">
        <f>VLOOKUP($A183,'Data shares'!$C:$FA,23)</f>
        <v>135</v>
      </c>
      <c r="E183" s="145">
        <f>VLOOKUP($A183,'Data shares'!$C:$FA,26)*100</f>
        <v>0.49</v>
      </c>
      <c r="F183" s="144">
        <f>VLOOKUP($A183,'Data shares'!$C:$FA,24)</f>
        <v>25</v>
      </c>
      <c r="G183" s="144">
        <f>VLOOKUP($A183,'Data shares'!$C:$FA,25)</f>
        <v>110</v>
      </c>
    </row>
    <row r="184" spans="1:7" x14ac:dyDescent="0.25">
      <c r="A184" s="101" t="str">
        <f>'Data shares'!C180</f>
        <v>SHRIRAMFIN</v>
      </c>
      <c r="B184" s="144">
        <f>VLOOKUP($A184,'Data shares'!$C:$FA,7)</f>
        <v>995.85</v>
      </c>
      <c r="C184" s="144">
        <f>VLOOKUP($A184,'Data shares'!$C:$FA,3)</f>
        <v>1000.8</v>
      </c>
      <c r="D184" s="144">
        <f>VLOOKUP($A184,'Data shares'!$C:$FA,23)</f>
        <v>4.95</v>
      </c>
      <c r="E184" s="145">
        <f>VLOOKUP($A184,'Data shares'!$C:$FA,26)*100</f>
        <v>0.5</v>
      </c>
      <c r="F184" s="144">
        <f>VLOOKUP($A184,'Data shares'!$C:$FA,24)</f>
        <v>4.3499999999999996</v>
      </c>
      <c r="G184" s="144">
        <f>VLOOKUP($A184,'Data shares'!$C:$FA,25)</f>
        <v>0.6</v>
      </c>
    </row>
    <row r="185" spans="1:7" x14ac:dyDescent="0.25">
      <c r="A185" s="101" t="str">
        <f>'Data shares'!C181</f>
        <v>SIEMENS</v>
      </c>
      <c r="B185" s="144">
        <f>VLOOKUP($A185,'Data shares'!$C:$FA,7)</f>
        <v>3133.6</v>
      </c>
      <c r="C185" s="144">
        <f>VLOOKUP($A185,'Data shares'!$C:$FA,3)</f>
        <v>3137.9</v>
      </c>
      <c r="D185" s="144">
        <f>VLOOKUP($A185,'Data shares'!$C:$FA,23)</f>
        <v>4.3</v>
      </c>
      <c r="E185" s="145">
        <f>VLOOKUP($A185,'Data shares'!$C:$FA,26)*100</f>
        <v>0.13999999999999999</v>
      </c>
      <c r="F185" s="144">
        <f>VLOOKUP($A185,'Data shares'!$C:$FA,24)</f>
        <v>6.4</v>
      </c>
      <c r="G185" s="144">
        <f>VLOOKUP($A185,'Data shares'!$C:$FA,25)</f>
        <v>-2.1</v>
      </c>
    </row>
    <row r="186" spans="1:7" x14ac:dyDescent="0.25">
      <c r="A186" s="101" t="str">
        <f>'Data shares'!C182</f>
        <v>SOLARINDS</v>
      </c>
      <c r="B186" s="144">
        <f>VLOOKUP($A186,'Data shares'!$C:$FA,7)</f>
        <v>13328</v>
      </c>
      <c r="C186" s="144">
        <f>VLOOKUP($A186,'Data shares'!$C:$FA,3)</f>
        <v>13391</v>
      </c>
      <c r="D186" s="144">
        <f>VLOOKUP($A186,'Data shares'!$C:$FA,23)</f>
        <v>63</v>
      </c>
      <c r="E186" s="145">
        <f>VLOOKUP($A186,'Data shares'!$C:$FA,26)*100</f>
        <v>0.47000000000000003</v>
      </c>
      <c r="F186" s="144">
        <f>VLOOKUP($A186,'Data shares'!$C:$FA,24)</f>
        <v>29</v>
      </c>
      <c r="G186" s="144">
        <f>VLOOKUP($A186,'Data shares'!$C:$FA,25)</f>
        <v>34</v>
      </c>
    </row>
    <row r="187" spans="1:7" x14ac:dyDescent="0.25">
      <c r="A187" s="101" t="str">
        <f>'Data shares'!C183</f>
        <v>SONACOMS</v>
      </c>
      <c r="B187" s="144">
        <f>VLOOKUP($A187,'Data shares'!$C:$FA,7)</f>
        <v>473.8</v>
      </c>
      <c r="C187" s="144">
        <f>VLOOKUP($A187,'Data shares'!$C:$FA,3)</f>
        <v>475.05</v>
      </c>
      <c r="D187" s="144">
        <f>VLOOKUP($A187,'Data shares'!$C:$FA,23)</f>
        <v>1.25</v>
      </c>
      <c r="E187" s="145">
        <f>VLOOKUP($A187,'Data shares'!$C:$FA,26)*100</f>
        <v>0.26</v>
      </c>
      <c r="F187" s="144">
        <f>VLOOKUP($A187,'Data shares'!$C:$FA,24)</f>
        <v>2.25</v>
      </c>
      <c r="G187" s="144">
        <f>VLOOKUP($A187,'Data shares'!$C:$FA,25)</f>
        <v>-1</v>
      </c>
    </row>
    <row r="188" spans="1:7" x14ac:dyDescent="0.25">
      <c r="A188" s="101" t="str">
        <f>'Data shares'!C184</f>
        <v>SRF</v>
      </c>
      <c r="B188" s="144">
        <f>VLOOKUP($A188,'Data shares'!$C:$FA,7)</f>
        <v>3097.6</v>
      </c>
      <c r="C188" s="144">
        <f>VLOOKUP($A188,'Data shares'!$C:$FA,3)</f>
        <v>3104.4</v>
      </c>
      <c r="D188" s="144">
        <f>VLOOKUP($A188,'Data shares'!$C:$FA,23)</f>
        <v>6.8</v>
      </c>
      <c r="E188" s="145">
        <f>VLOOKUP($A188,'Data shares'!$C:$FA,26)*100</f>
        <v>0.22</v>
      </c>
      <c r="F188" s="144">
        <f>VLOOKUP($A188,'Data shares'!$C:$FA,24)</f>
        <v>6.4</v>
      </c>
      <c r="G188" s="144">
        <f>VLOOKUP($A188,'Data shares'!$C:$FA,25)</f>
        <v>0.4</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shares'!C216</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19" activePane="bottomLeft" state="frozen"/>
      <selection pane="bottomLeft" activeCell="A33" sqref="A33"/>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shares'!C2</f>
        <v>360ONE</v>
      </c>
      <c r="B7" s="50">
        <f>VLOOKUP($A7,'Data shares'!$C:$FM,102)</f>
        <v>35.270000000000003</v>
      </c>
      <c r="C7" s="50">
        <f>VLOOKUP($A7,'Data shares'!$C:$FM,110)</f>
        <v>35.28</v>
      </c>
      <c r="D7" s="50">
        <f>VLOOKUP($A7,'Data shares'!$C:$FM,114)</f>
        <v>35.270000000000003</v>
      </c>
      <c r="E7" s="50">
        <f>VLOOKUP($A7,'Data shares'!$C:$FM,106)</f>
        <v>42.37</v>
      </c>
      <c r="F7" s="50">
        <f>VLOOKUP($A7,'Data shares'!$C:$FM,108)</f>
        <v>-7.1</v>
      </c>
      <c r="G7" s="50">
        <f t="shared" ref="G7:G38" si="0">B7/E7</f>
        <v>0.83242860514515005</v>
      </c>
    </row>
    <row r="8" spans="1:7" x14ac:dyDescent="0.25">
      <c r="A8" s="49" t="str">
        <f>'Data shares'!C3</f>
        <v>ABB</v>
      </c>
      <c r="B8" s="50">
        <f>VLOOKUP($A8,'Data shares'!$C:$FM,102)</f>
        <v>23.51</v>
      </c>
      <c r="C8" s="50">
        <f>VLOOKUP($A8,'Data shares'!$C:$FM,110)</f>
        <v>23.46</v>
      </c>
      <c r="D8" s="50">
        <f>VLOOKUP($A8,'Data shares'!$C:$FM,114)</f>
        <v>23.74</v>
      </c>
      <c r="E8" s="50">
        <f>VLOOKUP($A8,'Data shares'!$C:$FM,106)</f>
        <v>33.520000000000003</v>
      </c>
      <c r="F8" s="50">
        <f>VLOOKUP($A8,'Data shares'!$C:$FM,108)</f>
        <v>-10.01</v>
      </c>
      <c r="G8" s="50">
        <f t="shared" si="0"/>
        <v>0.70137231503579955</v>
      </c>
    </row>
    <row r="9" spans="1:7" x14ac:dyDescent="0.25">
      <c r="A9" s="49" t="str">
        <f>'Data shares'!C4</f>
        <v>ABCAPITAL</v>
      </c>
      <c r="B9" s="50">
        <f>VLOOKUP($A9,'Data shares'!$C:$FM,102)</f>
        <v>28.73</v>
      </c>
      <c r="C9" s="50">
        <f>VLOOKUP($A9,'Data shares'!$C:$FM,110)</f>
        <v>28.83</v>
      </c>
      <c r="D9" s="50">
        <f>VLOOKUP($A9,'Data shares'!$C:$FM,114)</f>
        <v>28.42</v>
      </c>
      <c r="E9" s="50">
        <f>VLOOKUP($A9,'Data shares'!$C:$FM,106)</f>
        <v>37.9</v>
      </c>
      <c r="F9" s="50">
        <f>VLOOKUP($A9,'Data shares'!$C:$FM,108)</f>
        <v>-9.17</v>
      </c>
      <c r="G9" s="50">
        <f t="shared" si="0"/>
        <v>0.75804749340369393</v>
      </c>
    </row>
    <row r="10" spans="1:7" x14ac:dyDescent="0.25">
      <c r="A10" s="49" t="str">
        <f>'Data shares'!C5</f>
        <v>ADANIENSOL</v>
      </c>
      <c r="B10" s="50">
        <f>VLOOKUP($A10,'Data shares'!$C:$FM,102)</f>
        <v>30.94</v>
      </c>
      <c r="C10" s="50">
        <f>VLOOKUP($A10,'Data shares'!$C:$FM,110)</f>
        <v>30.97</v>
      </c>
      <c r="D10" s="50">
        <f>VLOOKUP($A10,'Data shares'!$C:$FM,114)</f>
        <v>30.82</v>
      </c>
      <c r="E10" s="50">
        <f>VLOOKUP($A10,'Data shares'!$C:$FM,106)</f>
        <v>50.59</v>
      </c>
      <c r="F10" s="50">
        <f>VLOOKUP($A10,'Data shares'!$C:$FM,108)</f>
        <v>-19.649999999999999</v>
      </c>
      <c r="G10" s="50">
        <f t="shared" si="0"/>
        <v>0.61158331686103973</v>
      </c>
    </row>
    <row r="11" spans="1:7" x14ac:dyDescent="0.25">
      <c r="A11" s="49" t="str">
        <f>'Data shares'!C6</f>
        <v>ADANIENT</v>
      </c>
      <c r="B11" s="50">
        <f>VLOOKUP($A11,'Data shares'!$C:$FM,102)</f>
        <v>25.06</v>
      </c>
      <c r="C11" s="50">
        <f>VLOOKUP($A11,'Data shares'!$C:$FM,110)</f>
        <v>24.9</v>
      </c>
      <c r="D11" s="50">
        <f>VLOOKUP($A11,'Data shares'!$C:$FM,114)</f>
        <v>25.46</v>
      </c>
      <c r="E11" s="50">
        <f>VLOOKUP($A11,'Data shares'!$C:$FM,106)</f>
        <v>45.25</v>
      </c>
      <c r="F11" s="50">
        <f>VLOOKUP($A11,'Data shares'!$C:$FM,108)</f>
        <v>-20.190000000000001</v>
      </c>
      <c r="G11" s="50">
        <f t="shared" si="0"/>
        <v>0.55381215469613254</v>
      </c>
    </row>
    <row r="12" spans="1:7" x14ac:dyDescent="0.25">
      <c r="A12" s="49" t="str">
        <f>'Data shares'!C7</f>
        <v>ADANIGREEN</v>
      </c>
      <c r="B12" s="50">
        <f>VLOOKUP($A12,'Data shares'!$C:$FM,102)</f>
        <v>33.58</v>
      </c>
      <c r="C12" s="50">
        <f>VLOOKUP($A12,'Data shares'!$C:$FM,110)</f>
        <v>33.64</v>
      </c>
      <c r="D12" s="50">
        <f>VLOOKUP($A12,'Data shares'!$C:$FM,114)</f>
        <v>33.32</v>
      </c>
      <c r="E12" s="50">
        <f>VLOOKUP($A12,'Data shares'!$C:$FM,106)</f>
        <v>54</v>
      </c>
      <c r="F12" s="50">
        <f>VLOOKUP($A12,'Data shares'!$C:$FM,108)</f>
        <v>-20.420000000000002</v>
      </c>
      <c r="G12" s="50">
        <f t="shared" si="0"/>
        <v>0.62185185185185177</v>
      </c>
    </row>
    <row r="13" spans="1:7" x14ac:dyDescent="0.25">
      <c r="A13" s="49" t="str">
        <f>'Data shares'!C8</f>
        <v>ADANIPORTS</v>
      </c>
      <c r="B13" s="50">
        <f>VLOOKUP($A13,'Data shares'!$C:$FM,102)</f>
        <v>21.12</v>
      </c>
      <c r="C13" s="50">
        <f>VLOOKUP($A13,'Data shares'!$C:$FM,110)</f>
        <v>21.05</v>
      </c>
      <c r="D13" s="50">
        <f>VLOOKUP($A13,'Data shares'!$C:$FM,114)</f>
        <v>21.26</v>
      </c>
      <c r="E13" s="50">
        <f>VLOOKUP($A13,'Data shares'!$C:$FM,106)</f>
        <v>35.130000000000003</v>
      </c>
      <c r="F13" s="50">
        <f>VLOOKUP($A13,'Data shares'!$C:$FM,108)</f>
        <v>-14.01</v>
      </c>
      <c r="G13" s="50">
        <f t="shared" si="0"/>
        <v>0.60119555935098201</v>
      </c>
    </row>
    <row r="14" spans="1:7" x14ac:dyDescent="0.25">
      <c r="A14" s="49" t="str">
        <f>'Data shares'!C9</f>
        <v>ALKEM</v>
      </c>
      <c r="B14" s="50">
        <f>VLOOKUP($A14,'Data shares'!$C:$FM,102)</f>
        <v>22.57</v>
      </c>
      <c r="C14" s="50">
        <f>VLOOKUP($A14,'Data shares'!$C:$FM,110)</f>
        <v>22.36</v>
      </c>
      <c r="D14" s="50">
        <f>VLOOKUP($A14,'Data shares'!$C:$FM,114)</f>
        <v>23.82</v>
      </c>
      <c r="E14" s="50">
        <f>VLOOKUP($A14,'Data shares'!$C:$FM,106)</f>
        <v>25.95</v>
      </c>
      <c r="F14" s="50">
        <f>VLOOKUP($A14,'Data shares'!$C:$FM,108)</f>
        <v>-3.38</v>
      </c>
      <c r="G14" s="50">
        <f t="shared" si="0"/>
        <v>0.86974951830443159</v>
      </c>
    </row>
    <row r="15" spans="1:7" x14ac:dyDescent="0.25">
      <c r="A15" s="49" t="str">
        <f>'Data shares'!C10</f>
        <v>AMBER</v>
      </c>
      <c r="B15" s="50">
        <f>VLOOKUP($A15,'Data shares'!$C:$FM,102)</f>
        <v>30.98</v>
      </c>
      <c r="C15" s="50">
        <f>VLOOKUP($A15,'Data shares'!$C:$FM,110)</f>
        <v>30.54</v>
      </c>
      <c r="D15" s="50">
        <f>VLOOKUP($A15,'Data shares'!$C:$FM,114)</f>
        <v>31.89</v>
      </c>
      <c r="E15" s="50">
        <f>VLOOKUP($A15,'Data shares'!$C:$FM,106)</f>
        <v>51.39</v>
      </c>
      <c r="F15" s="50">
        <f>VLOOKUP($A15,'Data shares'!$C:$FM,108)</f>
        <v>-20.41</v>
      </c>
      <c r="G15" s="50">
        <f t="shared" si="0"/>
        <v>0.60284101965362913</v>
      </c>
    </row>
    <row r="16" spans="1:7" x14ac:dyDescent="0.25">
      <c r="A16" s="49" t="str">
        <f>'Data shares'!C11</f>
        <v>AMBUJACEM</v>
      </c>
      <c r="B16" s="50">
        <f>VLOOKUP($A16,'Data shares'!$C:$FM,102)</f>
        <v>19.309999999999999</v>
      </c>
      <c r="C16" s="50">
        <f>VLOOKUP($A16,'Data shares'!$C:$FM,110)</f>
        <v>19.45</v>
      </c>
      <c r="D16" s="50">
        <f>VLOOKUP($A16,'Data shares'!$C:$FM,114)</f>
        <v>18.989999999999998</v>
      </c>
      <c r="E16" s="50">
        <f>VLOOKUP($A16,'Data shares'!$C:$FM,106)</f>
        <v>30.93</v>
      </c>
      <c r="F16" s="50">
        <f>VLOOKUP($A16,'Data shares'!$C:$FM,108)</f>
        <v>-11.62</v>
      </c>
      <c r="G16" s="50">
        <f t="shared" si="0"/>
        <v>0.62431296475913345</v>
      </c>
    </row>
    <row r="17" spans="1:7" x14ac:dyDescent="0.25">
      <c r="A17" s="49" t="str">
        <f>'Data shares'!C12</f>
        <v>ANGELONE</v>
      </c>
      <c r="B17" s="50">
        <f>VLOOKUP($A17,'Data shares'!$C:$FM,102)</f>
        <v>41.86</v>
      </c>
      <c r="C17" s="50">
        <f>VLOOKUP($A17,'Data shares'!$C:$FM,110)</f>
        <v>41.18</v>
      </c>
      <c r="D17" s="50">
        <f>VLOOKUP($A17,'Data shares'!$C:$FM,114)</f>
        <v>42.96</v>
      </c>
      <c r="E17" s="50">
        <f>VLOOKUP($A17,'Data shares'!$C:$FM,106)</f>
        <v>51.64</v>
      </c>
      <c r="F17" s="50">
        <f>VLOOKUP($A17,'Data shares'!$C:$FM,108)</f>
        <v>-9.7799999999999994</v>
      </c>
      <c r="G17" s="50">
        <f t="shared" si="0"/>
        <v>0.81061192873741283</v>
      </c>
    </row>
    <row r="18" spans="1:7" x14ac:dyDescent="0.25">
      <c r="A18" s="49" t="str">
        <f>'Data shares'!C13</f>
        <v>APLAPOLLO</v>
      </c>
      <c r="B18" s="50">
        <f>VLOOKUP($A18,'Data shares'!$C:$FM,102)</f>
        <v>24.58</v>
      </c>
      <c r="C18" s="50">
        <f>VLOOKUP($A18,'Data shares'!$C:$FM,110)</f>
        <v>24.62</v>
      </c>
      <c r="D18" s="50">
        <f>VLOOKUP($A18,'Data shares'!$C:$FM,114)</f>
        <v>24.41</v>
      </c>
      <c r="E18" s="50">
        <f>VLOOKUP($A18,'Data shares'!$C:$FM,106)</f>
        <v>32.020000000000003</v>
      </c>
      <c r="F18" s="50">
        <f>VLOOKUP($A18,'Data shares'!$C:$FM,108)</f>
        <v>-7.44</v>
      </c>
      <c r="G18" s="50">
        <f t="shared" si="0"/>
        <v>0.76764522173641458</v>
      </c>
    </row>
    <row r="19" spans="1:7" x14ac:dyDescent="0.25">
      <c r="A19" s="49" t="str">
        <f>'Data shares'!C14</f>
        <v>APOLLOHOSP</v>
      </c>
      <c r="B19" s="50">
        <f>VLOOKUP($A19,'Data shares'!$C:$FM,102)</f>
        <v>18.11</v>
      </c>
      <c r="C19" s="50">
        <f>VLOOKUP($A19,'Data shares'!$C:$FM,110)</f>
        <v>17.920000000000002</v>
      </c>
      <c r="D19" s="50">
        <f>VLOOKUP($A19,'Data shares'!$C:$FM,114)</f>
        <v>18.600000000000001</v>
      </c>
      <c r="E19" s="50">
        <f>VLOOKUP($A19,'Data shares'!$C:$FM,106)</f>
        <v>24.99</v>
      </c>
      <c r="F19" s="50">
        <f>VLOOKUP($A19,'Data shares'!$C:$FM,108)</f>
        <v>-6.88</v>
      </c>
      <c r="G19" s="50">
        <f t="shared" si="0"/>
        <v>0.72468987595038015</v>
      </c>
    </row>
    <row r="20" spans="1:7" x14ac:dyDescent="0.25">
      <c r="A20" s="49" t="str">
        <f>'Data shares'!C15</f>
        <v>ASHOKLEY</v>
      </c>
      <c r="B20" s="50">
        <f>VLOOKUP($A20,'Data shares'!$C:$FM,102)</f>
        <v>26.62</v>
      </c>
      <c r="C20" s="50">
        <f>VLOOKUP($A20,'Data shares'!$C:$FM,110)</f>
        <v>26.58</v>
      </c>
      <c r="D20" s="50">
        <f>VLOOKUP($A20,'Data shares'!$C:$FM,114)</f>
        <v>26.7</v>
      </c>
      <c r="E20" s="50">
        <f>VLOOKUP($A20,'Data shares'!$C:$FM,106)</f>
        <v>34.86</v>
      </c>
      <c r="F20" s="50">
        <f>VLOOKUP($A20,'Data shares'!$C:$FM,108)</f>
        <v>-8.24</v>
      </c>
      <c r="G20" s="50">
        <f t="shared" si="0"/>
        <v>0.76362593230063114</v>
      </c>
    </row>
    <row r="21" spans="1:7" x14ac:dyDescent="0.25">
      <c r="A21" s="49" t="str">
        <f>'Data shares'!C16</f>
        <v>ASIANPAINT</v>
      </c>
      <c r="B21" s="50">
        <f>VLOOKUP($A21,'Data shares'!$C:$FM,102)</f>
        <v>20.440000000000001</v>
      </c>
      <c r="C21" s="50">
        <f>VLOOKUP($A21,'Data shares'!$C:$FM,110)</f>
        <v>20.36</v>
      </c>
      <c r="D21" s="50">
        <f>VLOOKUP($A21,'Data shares'!$C:$FM,114)</f>
        <v>20.58</v>
      </c>
      <c r="E21" s="50">
        <f>VLOOKUP($A21,'Data shares'!$C:$FM,106)</f>
        <v>24.81</v>
      </c>
      <c r="F21" s="50">
        <f>VLOOKUP($A21,'Data shares'!$C:$FM,108)</f>
        <v>-4.37</v>
      </c>
      <c r="G21" s="50">
        <f t="shared" si="0"/>
        <v>0.82386134623135843</v>
      </c>
    </row>
    <row r="22" spans="1:7" x14ac:dyDescent="0.25">
      <c r="A22" s="49" t="str">
        <f>'Data shares'!C17</f>
        <v>ASTRAL</v>
      </c>
      <c r="B22" s="50">
        <f>VLOOKUP($A22,'Data shares'!$C:$FM,102)</f>
        <v>23.91</v>
      </c>
      <c r="C22" s="50">
        <f>VLOOKUP($A22,'Data shares'!$C:$FM,110)</f>
        <v>23.76</v>
      </c>
      <c r="D22" s="50">
        <f>VLOOKUP($A22,'Data shares'!$C:$FM,114)</f>
        <v>24.18</v>
      </c>
      <c r="E22" s="50">
        <f>VLOOKUP($A22,'Data shares'!$C:$FM,106)</f>
        <v>33.49</v>
      </c>
      <c r="F22" s="50">
        <f>VLOOKUP($A22,'Data shares'!$C:$FM,108)</f>
        <v>-9.58</v>
      </c>
      <c r="G22" s="50">
        <f t="shared" si="0"/>
        <v>0.71394446103314413</v>
      </c>
    </row>
    <row r="23" spans="1:7" x14ac:dyDescent="0.25">
      <c r="A23" s="49" t="str">
        <f>'Data shares'!C18</f>
        <v>AUBANK</v>
      </c>
      <c r="B23" s="50">
        <f>VLOOKUP($A23,'Data shares'!$C:$FM,102)</f>
        <v>27.73</v>
      </c>
      <c r="C23" s="50">
        <f>VLOOKUP($A23,'Data shares'!$C:$FM,110)</f>
        <v>27.64</v>
      </c>
      <c r="D23" s="50">
        <f>VLOOKUP($A23,'Data shares'!$C:$FM,114)</f>
        <v>27.87</v>
      </c>
      <c r="E23" s="50">
        <f>VLOOKUP($A23,'Data shares'!$C:$FM,106)</f>
        <v>34.630000000000003</v>
      </c>
      <c r="F23" s="50">
        <f>VLOOKUP($A23,'Data shares'!$C:$FM,108)</f>
        <v>-6.9</v>
      </c>
      <c r="G23" s="50">
        <f t="shared" si="0"/>
        <v>0.80075079410915384</v>
      </c>
    </row>
    <row r="24" spans="1:7" x14ac:dyDescent="0.25">
      <c r="A24" s="49" t="str">
        <f>'Data shares'!C19</f>
        <v>AUROPHARMA</v>
      </c>
      <c r="B24" s="50">
        <f>VLOOKUP($A24,'Data shares'!$C:$FM,102)</f>
        <v>27.33</v>
      </c>
      <c r="C24" s="50">
        <f>VLOOKUP($A24,'Data shares'!$C:$FM,110)</f>
        <v>27.41</v>
      </c>
      <c r="D24" s="50">
        <f>VLOOKUP($A24,'Data shares'!$C:$FM,114)</f>
        <v>26.98</v>
      </c>
      <c r="E24" s="50">
        <f>VLOOKUP($A24,'Data shares'!$C:$FM,106)</f>
        <v>32.409999999999997</v>
      </c>
      <c r="F24" s="50">
        <f>VLOOKUP($A24,'Data shares'!$C:$FM,108)</f>
        <v>-5.08</v>
      </c>
      <c r="G24" s="50">
        <f t="shared" si="0"/>
        <v>0.84325825362542428</v>
      </c>
    </row>
    <row r="25" spans="1:7" x14ac:dyDescent="0.25">
      <c r="A25" s="49" t="str">
        <f>'Data shares'!C20</f>
        <v>AXISBANK</v>
      </c>
      <c r="B25" s="50">
        <f>VLOOKUP($A25,'Data shares'!$C:$FM,102)</f>
        <v>19.37</v>
      </c>
      <c r="C25" s="50">
        <f>VLOOKUP($A25,'Data shares'!$C:$FM,110)</f>
        <v>18.72</v>
      </c>
      <c r="D25" s="50">
        <f>VLOOKUP($A25,'Data shares'!$C:$FM,114)</f>
        <v>20.55</v>
      </c>
      <c r="E25" s="50">
        <f>VLOOKUP($A25,'Data shares'!$C:$FM,106)</f>
        <v>25.61</v>
      </c>
      <c r="F25" s="50">
        <f>VLOOKUP($A25,'Data shares'!$C:$FM,108)</f>
        <v>-6.24</v>
      </c>
      <c r="G25" s="50">
        <f t="shared" si="0"/>
        <v>0.75634517766497467</v>
      </c>
    </row>
    <row r="26" spans="1:7" x14ac:dyDescent="0.25">
      <c r="A26" s="49" t="str">
        <f>'Data shares'!C21</f>
        <v>BAJAJ-AUTO</v>
      </c>
      <c r="B26" s="50">
        <f>VLOOKUP($A26,'Data shares'!$C:$FM,102)</f>
        <v>22.24</v>
      </c>
      <c r="C26" s="50">
        <f>VLOOKUP($A26,'Data shares'!$C:$FM,110)</f>
        <v>21.71</v>
      </c>
      <c r="D26" s="50">
        <f>VLOOKUP($A26,'Data shares'!$C:$FM,114)</f>
        <v>23.16</v>
      </c>
      <c r="E26" s="50">
        <f>VLOOKUP($A26,'Data shares'!$C:$FM,106)</f>
        <v>28.08</v>
      </c>
      <c r="F26" s="50">
        <f>VLOOKUP($A26,'Data shares'!$C:$FM,108)</f>
        <v>-5.84</v>
      </c>
      <c r="G26" s="50">
        <f t="shared" si="0"/>
        <v>0.79202279202279202</v>
      </c>
    </row>
    <row r="27" spans="1:7" x14ac:dyDescent="0.25">
      <c r="A27" s="49" t="str">
        <f>'Data shares'!C22</f>
        <v>BAJAJFINSV</v>
      </c>
      <c r="B27" s="50">
        <f>VLOOKUP($A27,'Data shares'!$C:$FM,102)</f>
        <v>20.99</v>
      </c>
      <c r="C27" s="50">
        <f>VLOOKUP($A27,'Data shares'!$C:$FM,110)</f>
        <v>20.89</v>
      </c>
      <c r="D27" s="50">
        <f>VLOOKUP($A27,'Data shares'!$C:$FM,114)</f>
        <v>21.19</v>
      </c>
      <c r="E27" s="50">
        <f>VLOOKUP($A27,'Data shares'!$C:$FM,106)</f>
        <v>27.88</v>
      </c>
      <c r="F27" s="50">
        <f>VLOOKUP($A27,'Data shares'!$C:$FM,108)</f>
        <v>-6.89</v>
      </c>
      <c r="G27" s="50">
        <f t="shared" si="0"/>
        <v>0.75286944045911042</v>
      </c>
    </row>
    <row r="28" spans="1:7" x14ac:dyDescent="0.25">
      <c r="A28" s="49" t="str">
        <f>'Data shares'!C23</f>
        <v>BAJAJHLDNG</v>
      </c>
      <c r="B28" s="50">
        <f>VLOOKUP($A28,'Data shares'!$C:$FM,102)</f>
        <v>31.14</v>
      </c>
      <c r="C28" s="50">
        <f>VLOOKUP($A28,'Data shares'!$C:$FM,110)</f>
        <v>31.01</v>
      </c>
      <c r="D28" s="50">
        <f>VLOOKUP($A28,'Data shares'!$C:$FM,114)</f>
        <v>32.18</v>
      </c>
      <c r="E28" s="50">
        <f>VLOOKUP($A28,'Data shares'!$C:$FM,106)</f>
        <v>39.130000000000003</v>
      </c>
      <c r="F28" s="50">
        <f>VLOOKUP($A28,'Data shares'!$C:$FM,108)</f>
        <v>-7.99</v>
      </c>
      <c r="G28" s="50">
        <f t="shared" si="0"/>
        <v>0.79580884232047022</v>
      </c>
    </row>
    <row r="29" spans="1:7" x14ac:dyDescent="0.25">
      <c r="A29" s="49" t="str">
        <f>'Data shares'!C24</f>
        <v>BAJFINANCE</v>
      </c>
      <c r="B29" s="50">
        <f>VLOOKUP($A29,'Data shares'!$C:$FM,102)</f>
        <v>25.86</v>
      </c>
      <c r="C29" s="50">
        <f>VLOOKUP($A29,'Data shares'!$C:$FM,110)</f>
        <v>26.18</v>
      </c>
      <c r="D29" s="50">
        <f>VLOOKUP($A29,'Data shares'!$C:$FM,114)</f>
        <v>25.09</v>
      </c>
      <c r="E29" s="50">
        <f>VLOOKUP($A29,'Data shares'!$C:$FM,106)</f>
        <v>30.81</v>
      </c>
      <c r="F29" s="50">
        <f>VLOOKUP($A29,'Data shares'!$C:$FM,108)</f>
        <v>-4.95</v>
      </c>
      <c r="G29" s="50">
        <f t="shared" si="0"/>
        <v>0.83933787731256082</v>
      </c>
    </row>
    <row r="30" spans="1:7" x14ac:dyDescent="0.25">
      <c r="A30" s="49" t="str">
        <f>'Data shares'!C25</f>
        <v>BANDHANBNK</v>
      </c>
      <c r="B30" s="50">
        <f>VLOOKUP($A30,'Data shares'!$C:$FM,102)</f>
        <v>32.4</v>
      </c>
      <c r="C30" s="50">
        <f>VLOOKUP($A30,'Data shares'!$C:$FM,110)</f>
        <v>32.4</v>
      </c>
      <c r="D30" s="50">
        <f>VLOOKUP($A30,'Data shares'!$C:$FM,114)</f>
        <v>32.39</v>
      </c>
      <c r="E30" s="50">
        <f>VLOOKUP($A30,'Data shares'!$C:$FM,106)</f>
        <v>41.18</v>
      </c>
      <c r="F30" s="50">
        <f>VLOOKUP($A30,'Data shares'!$C:$FM,108)</f>
        <v>-8.7799999999999994</v>
      </c>
      <c r="G30" s="50">
        <f t="shared" si="0"/>
        <v>0.78678970373967938</v>
      </c>
    </row>
    <row r="31" spans="1:7" x14ac:dyDescent="0.25">
      <c r="A31" s="49" t="str">
        <f>'Data shares'!C26</f>
        <v>BANKBARODA</v>
      </c>
      <c r="B31" s="50">
        <f>VLOOKUP($A31,'Data shares'!$C:$FM,102)</f>
        <v>25.79</v>
      </c>
      <c r="C31" s="50">
        <f>VLOOKUP($A31,'Data shares'!$C:$FM,110)</f>
        <v>26.05</v>
      </c>
      <c r="D31" s="50">
        <f>VLOOKUP($A31,'Data shares'!$C:$FM,114)</f>
        <v>24.84</v>
      </c>
      <c r="E31" s="50">
        <f>VLOOKUP($A31,'Data shares'!$C:$FM,106)</f>
        <v>33.22</v>
      </c>
      <c r="F31" s="50">
        <f>VLOOKUP($A31,'Data shares'!$C:$FM,108)</f>
        <v>-7.43</v>
      </c>
      <c r="G31" s="50">
        <f t="shared" si="0"/>
        <v>0.77633955448524983</v>
      </c>
    </row>
    <row r="32" spans="1:7" x14ac:dyDescent="0.25">
      <c r="A32" s="49" t="str">
        <f>'Data shares'!C27</f>
        <v>BANKINDIA</v>
      </c>
      <c r="B32" s="50">
        <f>VLOOKUP($A32,'Data shares'!$C:$FM,102)</f>
        <v>30.1</v>
      </c>
      <c r="C32" s="50">
        <f>VLOOKUP($A32,'Data shares'!$C:$FM,110)</f>
        <v>30.12</v>
      </c>
      <c r="D32" s="50">
        <f>VLOOKUP($A32,'Data shares'!$C:$FM,114)</f>
        <v>30.06</v>
      </c>
      <c r="E32" s="50">
        <f>VLOOKUP($A32,'Data shares'!$C:$FM,106)</f>
        <v>37.659999999999997</v>
      </c>
      <c r="F32" s="50">
        <f>VLOOKUP($A32,'Data shares'!$C:$FM,108)</f>
        <v>-7.56</v>
      </c>
      <c r="G32" s="50">
        <f t="shared" si="0"/>
        <v>0.79925650557620831</v>
      </c>
    </row>
    <row r="33" spans="1:7" x14ac:dyDescent="0.25">
      <c r="A33" s="49" t="str">
        <f>'Data shares'!C28</f>
        <v>BANKNIFTY</v>
      </c>
      <c r="B33" s="50">
        <f>VLOOKUP($A33,'Data shares'!$C:$FM,102)</f>
        <v>10.18</v>
      </c>
      <c r="C33" s="50">
        <f>VLOOKUP($A33,'Data shares'!$C:$FM,110)</f>
        <v>9.8699999999999992</v>
      </c>
      <c r="D33" s="50">
        <f>VLOOKUP($A33,'Data shares'!$C:$FM,114)</f>
        <v>10.48</v>
      </c>
      <c r="E33" s="50">
        <f>VLOOKUP($A33,'Data shares'!$C:$FM,106)</f>
        <v>15.56</v>
      </c>
      <c r="F33" s="50">
        <f>VLOOKUP($A33,'Data shares'!$C:$FM,108)</f>
        <v>-5.38</v>
      </c>
      <c r="G33" s="50">
        <f t="shared" si="0"/>
        <v>0.65424164524421591</v>
      </c>
    </row>
    <row r="34" spans="1:7" x14ac:dyDescent="0.25">
      <c r="A34" s="49" t="str">
        <f>'Data shares'!C29</f>
        <v>BDL</v>
      </c>
      <c r="B34" s="50">
        <f>VLOOKUP($A34,'Data shares'!$C:$FM,102)</f>
        <v>33.9</v>
      </c>
      <c r="C34" s="50">
        <f>VLOOKUP($A34,'Data shares'!$C:$FM,110)</f>
        <v>34.04</v>
      </c>
      <c r="D34" s="50">
        <f>VLOOKUP($A34,'Data shares'!$C:$FM,114)</f>
        <v>33.6</v>
      </c>
      <c r="E34" s="50">
        <f>VLOOKUP($A34,'Data shares'!$C:$FM,106)</f>
        <v>50.43</v>
      </c>
      <c r="F34" s="50">
        <f>VLOOKUP($A34,'Data shares'!$C:$FM,108)</f>
        <v>-16.53</v>
      </c>
      <c r="G34" s="50">
        <f t="shared" si="0"/>
        <v>0.67221891731112426</v>
      </c>
    </row>
    <row r="35" spans="1:7" x14ac:dyDescent="0.25">
      <c r="A35" s="49" t="str">
        <f>'Data shares'!C30</f>
        <v>BEL</v>
      </c>
      <c r="B35" s="50">
        <f>VLOOKUP($A35,'Data shares'!$C:$FM,102)</f>
        <v>23.23</v>
      </c>
      <c r="C35" s="50">
        <f>VLOOKUP($A35,'Data shares'!$C:$FM,110)</f>
        <v>23.13</v>
      </c>
      <c r="D35" s="50">
        <f>VLOOKUP($A35,'Data shares'!$C:$FM,114)</f>
        <v>23.42</v>
      </c>
      <c r="E35" s="50">
        <f>VLOOKUP($A35,'Data shares'!$C:$FM,106)</f>
        <v>35.479999999999997</v>
      </c>
      <c r="F35" s="50">
        <f>VLOOKUP($A35,'Data shares'!$C:$FM,108)</f>
        <v>-12.25</v>
      </c>
      <c r="G35" s="50">
        <f t="shared" si="0"/>
        <v>0.65473506200676446</v>
      </c>
    </row>
    <row r="36" spans="1:7" x14ac:dyDescent="0.25">
      <c r="A36" s="49" t="str">
        <f>'Data shares'!C31</f>
        <v>BHARATFORG</v>
      </c>
      <c r="B36" s="50">
        <f>VLOOKUP($A36,'Data shares'!$C:$FM,102)</f>
        <v>25.36</v>
      </c>
      <c r="C36" s="50">
        <f>VLOOKUP($A36,'Data shares'!$C:$FM,110)</f>
        <v>25.64</v>
      </c>
      <c r="D36" s="50">
        <f>VLOOKUP($A36,'Data shares'!$C:$FM,114)</f>
        <v>24.7</v>
      </c>
      <c r="E36" s="50">
        <f>VLOOKUP($A36,'Data shares'!$C:$FM,106)</f>
        <v>36.1</v>
      </c>
      <c r="F36" s="50">
        <f>VLOOKUP($A36,'Data shares'!$C:$FM,108)</f>
        <v>-10.74</v>
      </c>
      <c r="G36" s="50">
        <f t="shared" si="0"/>
        <v>0.70249307479224377</v>
      </c>
    </row>
    <row r="37" spans="1:7" x14ac:dyDescent="0.25">
      <c r="A37" s="49" t="str">
        <f>'Data shares'!C32</f>
        <v>BHARTIARTL</v>
      </c>
      <c r="B37" s="50">
        <f>VLOOKUP($A37,'Data shares'!$C:$FM,102)</f>
        <v>16.53</v>
      </c>
      <c r="C37" s="50">
        <f>VLOOKUP($A37,'Data shares'!$C:$FM,110)</f>
        <v>16.77</v>
      </c>
      <c r="D37" s="50">
        <f>VLOOKUP($A37,'Data shares'!$C:$FM,114)</f>
        <v>16.13</v>
      </c>
      <c r="E37" s="50">
        <f>VLOOKUP($A37,'Data shares'!$C:$FM,106)</f>
        <v>24.16</v>
      </c>
      <c r="F37" s="50">
        <f>VLOOKUP($A37,'Data shares'!$C:$FM,108)</f>
        <v>-7.63</v>
      </c>
      <c r="G37" s="50">
        <f t="shared" si="0"/>
        <v>0.6841887417218544</v>
      </c>
    </row>
    <row r="38" spans="1:7" x14ac:dyDescent="0.25">
      <c r="A38" s="49" t="str">
        <f>'Data shares'!C33</f>
        <v>BHEL</v>
      </c>
      <c r="B38" s="50">
        <f>VLOOKUP($A38,'Data shares'!$C:$FM,102)</f>
        <v>34.57</v>
      </c>
      <c r="C38" s="50">
        <f>VLOOKUP($A38,'Data shares'!$C:$FM,110)</f>
        <v>34.53</v>
      </c>
      <c r="D38" s="50">
        <f>VLOOKUP($A38,'Data shares'!$C:$FM,114)</f>
        <v>34.72</v>
      </c>
      <c r="E38" s="50">
        <f>VLOOKUP($A38,'Data shares'!$C:$FM,106)</f>
        <v>43.39</v>
      </c>
      <c r="F38" s="50">
        <f>VLOOKUP($A38,'Data shares'!$C:$FM,108)</f>
        <v>-8.82</v>
      </c>
      <c r="G38" s="50">
        <f t="shared" si="0"/>
        <v>0.79672735653376359</v>
      </c>
    </row>
    <row r="39" spans="1:7" x14ac:dyDescent="0.25">
      <c r="A39" s="49" t="str">
        <f>'Data shares'!C34</f>
        <v>BIOCON</v>
      </c>
      <c r="B39" s="50">
        <f>VLOOKUP($A39,'Data shares'!$C:$FM,102)</f>
        <v>28.62</v>
      </c>
      <c r="C39" s="50">
        <f>VLOOKUP($A39,'Data shares'!$C:$FM,110)</f>
        <v>28.88</v>
      </c>
      <c r="D39" s="50">
        <f>VLOOKUP($A39,'Data shares'!$C:$FM,114)</f>
        <v>27.64</v>
      </c>
      <c r="E39" s="50">
        <f>VLOOKUP($A39,'Data shares'!$C:$FM,106)</f>
        <v>37.6</v>
      </c>
      <c r="F39" s="50">
        <f>VLOOKUP($A39,'Data shares'!$C:$FM,108)</f>
        <v>-8.98</v>
      </c>
      <c r="G39" s="50">
        <f t="shared" ref="G39:G70" si="1">B39/E39</f>
        <v>0.76117021276595742</v>
      </c>
    </row>
    <row r="40" spans="1:7" x14ac:dyDescent="0.25">
      <c r="A40" s="49" t="str">
        <f>'Data shares'!C35</f>
        <v>BLUESTARCO</v>
      </c>
      <c r="B40" s="50">
        <f>VLOOKUP($A40,'Data shares'!$C:$FM,102)</f>
        <v>24.58</v>
      </c>
      <c r="C40" s="50">
        <f>VLOOKUP($A40,'Data shares'!$C:$FM,110)</f>
        <v>24.52</v>
      </c>
      <c r="D40" s="50">
        <f>VLOOKUP($A40,'Data shares'!$C:$FM,114)</f>
        <v>24.71</v>
      </c>
      <c r="E40" s="50">
        <f>VLOOKUP($A40,'Data shares'!$C:$FM,106)</f>
        <v>39.51</v>
      </c>
      <c r="F40" s="50">
        <f>VLOOKUP($A40,'Data shares'!$C:$FM,108)</f>
        <v>-14.93</v>
      </c>
      <c r="G40" s="50">
        <f t="shared" si="1"/>
        <v>0.62212098202986588</v>
      </c>
    </row>
    <row r="41" spans="1:7" x14ac:dyDescent="0.25">
      <c r="A41" s="49" t="str">
        <f>'Data shares'!C36</f>
        <v>BOSCHLTD</v>
      </c>
      <c r="B41" s="50">
        <f>VLOOKUP($A41,'Data shares'!$C:$FM,102)</f>
        <v>26.73</v>
      </c>
      <c r="C41" s="50">
        <f>VLOOKUP($A41,'Data shares'!$C:$FM,110)</f>
        <v>26.36</v>
      </c>
      <c r="D41" s="50">
        <f>VLOOKUP($A41,'Data shares'!$C:$FM,114)</f>
        <v>27.15</v>
      </c>
      <c r="E41" s="50">
        <f>VLOOKUP($A41,'Data shares'!$C:$FM,106)</f>
        <v>29.22</v>
      </c>
      <c r="F41" s="50">
        <f>VLOOKUP($A41,'Data shares'!$C:$FM,108)</f>
        <v>-2.4900000000000002</v>
      </c>
      <c r="G41" s="50">
        <f t="shared" si="1"/>
        <v>0.91478439425051339</v>
      </c>
    </row>
    <row r="42" spans="1:7" x14ac:dyDescent="0.25">
      <c r="A42" s="49" t="str">
        <f>'Data shares'!C37</f>
        <v>BPCL</v>
      </c>
      <c r="B42" s="50">
        <f>VLOOKUP($A42,'Data shares'!$C:$FM,102)</f>
        <v>28.18</v>
      </c>
      <c r="C42" s="50">
        <f>VLOOKUP($A42,'Data shares'!$C:$FM,110)</f>
        <v>28.36</v>
      </c>
      <c r="D42" s="50">
        <f>VLOOKUP($A42,'Data shares'!$C:$FM,114)</f>
        <v>27.85</v>
      </c>
      <c r="E42" s="50">
        <f>VLOOKUP($A42,'Data shares'!$C:$FM,106)</f>
        <v>32.159999999999997</v>
      </c>
      <c r="F42" s="50">
        <f>VLOOKUP($A42,'Data shares'!$C:$FM,108)</f>
        <v>-3.98</v>
      </c>
      <c r="G42" s="50">
        <f t="shared" si="1"/>
        <v>0.8762437810945275</v>
      </c>
    </row>
    <row r="43" spans="1:7" x14ac:dyDescent="0.25">
      <c r="A43" s="49" t="str">
        <f>'Data shares'!C38</f>
        <v>BRITANNIA</v>
      </c>
      <c r="B43" s="50">
        <f>VLOOKUP($A43,'Data shares'!$C:$FM,102)</f>
        <v>20.95</v>
      </c>
      <c r="C43" s="50">
        <f>VLOOKUP($A43,'Data shares'!$C:$FM,110)</f>
        <v>20.84</v>
      </c>
      <c r="D43" s="50">
        <f>VLOOKUP($A43,'Data shares'!$C:$FM,114)</f>
        <v>21.27</v>
      </c>
      <c r="E43" s="50">
        <f>VLOOKUP($A43,'Data shares'!$C:$FM,106)</f>
        <v>23.6</v>
      </c>
      <c r="F43" s="50">
        <f>VLOOKUP($A43,'Data shares'!$C:$FM,108)</f>
        <v>-2.65</v>
      </c>
      <c r="G43" s="50">
        <f t="shared" si="1"/>
        <v>0.88771186440677963</v>
      </c>
    </row>
    <row r="44" spans="1:7" x14ac:dyDescent="0.25">
      <c r="A44" s="49" t="str">
        <f>'Data shares'!C39</f>
        <v>BSE</v>
      </c>
      <c r="B44" s="50">
        <f>VLOOKUP($A44,'Data shares'!$C:$FM,102)</f>
        <v>36.04</v>
      </c>
      <c r="C44" s="50">
        <f>VLOOKUP($A44,'Data shares'!$C:$FM,110)</f>
        <v>35.64</v>
      </c>
      <c r="D44" s="50">
        <f>VLOOKUP($A44,'Data shares'!$C:$FM,114)</f>
        <v>36.82</v>
      </c>
      <c r="E44" s="50">
        <f>VLOOKUP($A44,'Data shares'!$C:$FM,106)</f>
        <v>59.08</v>
      </c>
      <c r="F44" s="50">
        <f>VLOOKUP($A44,'Data shares'!$C:$FM,108)</f>
        <v>-23.04</v>
      </c>
      <c r="G44" s="50">
        <f t="shared" si="1"/>
        <v>0.61002031144211244</v>
      </c>
    </row>
    <row r="45" spans="1:7" x14ac:dyDescent="0.25">
      <c r="A45" s="49" t="str">
        <f>'Data shares'!C40</f>
        <v>CAMS</v>
      </c>
      <c r="B45" s="50">
        <f>VLOOKUP($A45,'Data shares'!$C:$FM,102)</f>
        <v>28.54</v>
      </c>
      <c r="C45" s="50">
        <f>VLOOKUP($A45,'Data shares'!$C:$FM,110)</f>
        <v>28.44</v>
      </c>
      <c r="D45" s="50">
        <f>VLOOKUP($A45,'Data shares'!$C:$FM,114)</f>
        <v>28.83</v>
      </c>
      <c r="E45" s="50">
        <f>VLOOKUP($A45,'Data shares'!$C:$FM,106)</f>
        <v>39.74</v>
      </c>
      <c r="F45" s="50">
        <f>VLOOKUP($A45,'Data shares'!$C:$FM,108)</f>
        <v>-11.2</v>
      </c>
      <c r="G45" s="50">
        <f t="shared" si="1"/>
        <v>0.71816809260191239</v>
      </c>
    </row>
    <row r="46" spans="1:7" x14ac:dyDescent="0.25">
      <c r="A46" s="49" t="str">
        <f>'Data shares'!C41</f>
        <v>CANBK</v>
      </c>
      <c r="B46" s="50">
        <f>VLOOKUP($A46,'Data shares'!$C:$FM,102)</f>
        <v>29.48</v>
      </c>
      <c r="C46" s="50">
        <f>VLOOKUP($A46,'Data shares'!$C:$FM,110)</f>
        <v>29.56</v>
      </c>
      <c r="D46" s="50">
        <f>VLOOKUP($A46,'Data shares'!$C:$FM,114)</f>
        <v>29.37</v>
      </c>
      <c r="E46" s="50">
        <f>VLOOKUP($A46,'Data shares'!$C:$FM,106)</f>
        <v>35.06</v>
      </c>
      <c r="F46" s="50">
        <f>VLOOKUP($A46,'Data shares'!$C:$FM,108)</f>
        <v>-5.58</v>
      </c>
      <c r="G46" s="50">
        <f t="shared" si="1"/>
        <v>0.84084426697090697</v>
      </c>
    </row>
    <row r="47" spans="1:7" x14ac:dyDescent="0.25">
      <c r="A47" s="49" t="str">
        <f>'Data shares'!C42</f>
        <v>CDSL</v>
      </c>
      <c r="B47" s="50">
        <f>VLOOKUP($A47,'Data shares'!$C:$FM,102)</f>
        <v>27.25</v>
      </c>
      <c r="C47" s="50">
        <f>VLOOKUP($A47,'Data shares'!$C:$FM,110)</f>
        <v>27.11</v>
      </c>
      <c r="D47" s="50">
        <f>VLOOKUP($A47,'Data shares'!$C:$FM,114)</f>
        <v>27.53</v>
      </c>
      <c r="E47" s="50">
        <f>VLOOKUP($A47,'Data shares'!$C:$FM,106)</f>
        <v>43.8</v>
      </c>
      <c r="F47" s="50">
        <f>VLOOKUP($A47,'Data shares'!$C:$FM,108)</f>
        <v>-16.55</v>
      </c>
      <c r="G47" s="50">
        <f t="shared" si="1"/>
        <v>0.62214611872146119</v>
      </c>
    </row>
    <row r="48" spans="1:7" x14ac:dyDescent="0.25">
      <c r="A48" s="49" t="str">
        <f>'Data shares'!C43</f>
        <v>CGPOWER</v>
      </c>
      <c r="B48" s="50">
        <f>VLOOKUP($A48,'Data shares'!$C:$FM,102)</f>
        <v>29.62</v>
      </c>
      <c r="C48" s="50">
        <f>VLOOKUP($A48,'Data shares'!$C:$FM,110)</f>
        <v>29.84</v>
      </c>
      <c r="D48" s="50">
        <f>VLOOKUP($A48,'Data shares'!$C:$FM,114)</f>
        <v>29.04</v>
      </c>
      <c r="E48" s="50">
        <f>VLOOKUP($A48,'Data shares'!$C:$FM,106)</f>
        <v>38.28</v>
      </c>
      <c r="F48" s="50">
        <f>VLOOKUP($A48,'Data shares'!$C:$FM,108)</f>
        <v>-8.66</v>
      </c>
      <c r="G48" s="50">
        <f t="shared" si="1"/>
        <v>0.77377220480668751</v>
      </c>
    </row>
    <row r="49" spans="1:7" x14ac:dyDescent="0.25">
      <c r="A49" s="49" t="str">
        <f>'Data shares'!C44</f>
        <v>CHOLAFIN</v>
      </c>
      <c r="B49" s="50">
        <f>VLOOKUP($A49,'Data shares'!$C:$FM,102)</f>
        <v>24.28</v>
      </c>
      <c r="C49" s="50">
        <f>VLOOKUP($A49,'Data shares'!$C:$FM,110)</f>
        <v>24.17</v>
      </c>
      <c r="D49" s="50">
        <f>VLOOKUP($A49,'Data shares'!$C:$FM,114)</f>
        <v>24.39</v>
      </c>
      <c r="E49" s="50">
        <f>VLOOKUP($A49,'Data shares'!$C:$FM,106)</f>
        <v>37.380000000000003</v>
      </c>
      <c r="F49" s="50">
        <f>VLOOKUP($A49,'Data shares'!$C:$FM,108)</f>
        <v>-13.1</v>
      </c>
      <c r="G49" s="50">
        <f t="shared" si="1"/>
        <v>0.64954521134296417</v>
      </c>
    </row>
    <row r="50" spans="1:7" x14ac:dyDescent="0.25">
      <c r="A50" s="49" t="str">
        <f>'Data shares'!C45</f>
        <v>CIPLA</v>
      </c>
      <c r="B50" s="50">
        <f>VLOOKUP($A50,'Data shares'!$C:$FM,102)</f>
        <v>23.92</v>
      </c>
      <c r="C50" s="50">
        <f>VLOOKUP($A50,'Data shares'!$C:$FM,110)</f>
        <v>23.51</v>
      </c>
      <c r="D50" s="50">
        <f>VLOOKUP($A50,'Data shares'!$C:$FM,114)</f>
        <v>24.27</v>
      </c>
      <c r="E50" s="50">
        <f>VLOOKUP($A50,'Data shares'!$C:$FM,106)</f>
        <v>25.71</v>
      </c>
      <c r="F50" s="50">
        <f>VLOOKUP($A50,'Data shares'!$C:$FM,108)</f>
        <v>-1.79</v>
      </c>
      <c r="G50" s="50">
        <f t="shared" si="1"/>
        <v>0.93037728510307272</v>
      </c>
    </row>
    <row r="51" spans="1:7" x14ac:dyDescent="0.25">
      <c r="A51" s="49" t="str">
        <f>'Data shares'!C46</f>
        <v>COALINDIA</v>
      </c>
      <c r="B51" s="50">
        <f>VLOOKUP($A51,'Data shares'!$C:$FM,102)</f>
        <v>23.62</v>
      </c>
      <c r="C51" s="50">
        <f>VLOOKUP($A51,'Data shares'!$C:$FM,110)</f>
        <v>23.45</v>
      </c>
      <c r="D51" s="50">
        <f>VLOOKUP($A51,'Data shares'!$C:$FM,114)</f>
        <v>24.16</v>
      </c>
      <c r="E51" s="50">
        <f>VLOOKUP($A51,'Data shares'!$C:$FM,106)</f>
        <v>27.94</v>
      </c>
      <c r="F51" s="50">
        <f>VLOOKUP($A51,'Data shares'!$C:$FM,108)</f>
        <v>-4.32</v>
      </c>
      <c r="G51" s="50">
        <f t="shared" si="1"/>
        <v>0.84538296349319975</v>
      </c>
    </row>
    <row r="52" spans="1:7" x14ac:dyDescent="0.25">
      <c r="A52" s="49" t="str">
        <f>'Data shares'!C47</f>
        <v>COFORGE</v>
      </c>
      <c r="B52" s="50">
        <f>VLOOKUP($A52,'Data shares'!$C:$FM,102)</f>
        <v>34.03</v>
      </c>
      <c r="C52" s="50">
        <f>VLOOKUP($A52,'Data shares'!$C:$FM,110)</f>
        <v>34.01</v>
      </c>
      <c r="D52" s="50">
        <f>VLOOKUP($A52,'Data shares'!$C:$FM,114)</f>
        <v>34.090000000000003</v>
      </c>
      <c r="E52" s="50">
        <f>VLOOKUP($A52,'Data shares'!$C:$FM,106)</f>
        <v>40.950000000000003</v>
      </c>
      <c r="F52" s="50">
        <f>VLOOKUP($A52,'Data shares'!$C:$FM,108)</f>
        <v>-6.92</v>
      </c>
      <c r="G52" s="50">
        <f t="shared" si="1"/>
        <v>0.83101343101343095</v>
      </c>
    </row>
    <row r="53" spans="1:7" x14ac:dyDescent="0.25">
      <c r="A53" s="49" t="str">
        <f>'Data shares'!C48</f>
        <v>COLPAL</v>
      </c>
      <c r="B53" s="50">
        <f>VLOOKUP($A53,'Data shares'!$C:$FM,102)</f>
        <v>22.26</v>
      </c>
      <c r="C53" s="50">
        <f>VLOOKUP($A53,'Data shares'!$C:$FM,110)</f>
        <v>22.34</v>
      </c>
      <c r="D53" s="50">
        <f>VLOOKUP($A53,'Data shares'!$C:$FM,114)</f>
        <v>22.02</v>
      </c>
      <c r="E53" s="50">
        <f>VLOOKUP($A53,'Data shares'!$C:$FM,106)</f>
        <v>26.38</v>
      </c>
      <c r="F53" s="50">
        <f>VLOOKUP($A53,'Data shares'!$C:$FM,108)</f>
        <v>-4.12</v>
      </c>
      <c r="G53" s="50">
        <f t="shared" si="1"/>
        <v>0.84382107657316163</v>
      </c>
    </row>
    <row r="54" spans="1:7" x14ac:dyDescent="0.25">
      <c r="A54" s="49" t="str">
        <f>'Data shares'!C49</f>
        <v>CONCOR</v>
      </c>
      <c r="B54" s="50">
        <f>VLOOKUP($A54,'Data shares'!$C:$FM,102)</f>
        <v>23.47</v>
      </c>
      <c r="C54" s="50">
        <f>VLOOKUP($A54,'Data shares'!$C:$FM,110)</f>
        <v>23.48</v>
      </c>
      <c r="D54" s="50">
        <f>VLOOKUP($A54,'Data shares'!$C:$FM,114)</f>
        <v>23.44</v>
      </c>
      <c r="E54" s="50">
        <f>VLOOKUP($A54,'Data shares'!$C:$FM,106)</f>
        <v>33.26</v>
      </c>
      <c r="F54" s="50">
        <f>VLOOKUP($A54,'Data shares'!$C:$FM,108)</f>
        <v>-9.7899999999999991</v>
      </c>
      <c r="G54" s="50">
        <f t="shared" si="1"/>
        <v>0.7056524353577871</v>
      </c>
    </row>
    <row r="55" spans="1:7" x14ac:dyDescent="0.25">
      <c r="A55" s="49" t="str">
        <f>'Data shares'!C50</f>
        <v>CROMPTON</v>
      </c>
      <c r="B55" s="50">
        <f>VLOOKUP($A55,'Data shares'!$C:$FM,102)</f>
        <v>28.44</v>
      </c>
      <c r="C55" s="50">
        <f>VLOOKUP($A55,'Data shares'!$C:$FM,110)</f>
        <v>28.38</v>
      </c>
      <c r="D55" s="50">
        <f>VLOOKUP($A55,'Data shares'!$C:$FM,114)</f>
        <v>28.65</v>
      </c>
      <c r="E55" s="50">
        <f>VLOOKUP($A55,'Data shares'!$C:$FM,106)</f>
        <v>30.45</v>
      </c>
      <c r="F55" s="50">
        <f>VLOOKUP($A55,'Data shares'!$C:$FM,108)</f>
        <v>-2.0099999999999998</v>
      </c>
      <c r="G55" s="50">
        <f t="shared" si="1"/>
        <v>0.93399014778325129</v>
      </c>
    </row>
    <row r="56" spans="1:7" x14ac:dyDescent="0.25">
      <c r="A56" s="49" t="str">
        <f>'Data shares'!C51</f>
        <v>CUMMINSIND</v>
      </c>
      <c r="B56" s="50">
        <f>VLOOKUP($A56,'Data shares'!$C:$FM,102)</f>
        <v>27.19</v>
      </c>
      <c r="C56" s="50">
        <f>VLOOKUP($A56,'Data shares'!$C:$FM,110)</f>
        <v>26.87</v>
      </c>
      <c r="D56" s="50">
        <f>VLOOKUP($A56,'Data shares'!$C:$FM,114)</f>
        <v>27.66</v>
      </c>
      <c r="E56" s="50">
        <f>VLOOKUP($A56,'Data shares'!$C:$FM,106)</f>
        <v>33.880000000000003</v>
      </c>
      <c r="F56" s="50">
        <f>VLOOKUP($A56,'Data shares'!$C:$FM,108)</f>
        <v>-6.69</v>
      </c>
      <c r="G56" s="50">
        <f t="shared" si="1"/>
        <v>0.80253837072018885</v>
      </c>
    </row>
    <row r="57" spans="1:7" x14ac:dyDescent="0.25">
      <c r="A57" s="49" t="str">
        <f>'Data shares'!C52</f>
        <v>DABUR</v>
      </c>
      <c r="B57" s="50">
        <f>VLOOKUP($A57,'Data shares'!$C:$FM,102)</f>
        <v>21.95</v>
      </c>
      <c r="C57" s="50">
        <f>VLOOKUP($A57,'Data shares'!$C:$FM,110)</f>
        <v>21.87</v>
      </c>
      <c r="D57" s="50">
        <f>VLOOKUP($A57,'Data shares'!$C:$FM,114)</f>
        <v>22.13</v>
      </c>
      <c r="E57" s="50">
        <f>VLOOKUP($A57,'Data shares'!$C:$FM,106)</f>
        <v>24.72</v>
      </c>
      <c r="F57" s="50">
        <f>VLOOKUP($A57,'Data shares'!$C:$FM,108)</f>
        <v>-2.77</v>
      </c>
      <c r="G57" s="50">
        <f t="shared" si="1"/>
        <v>0.88794498381877018</v>
      </c>
    </row>
    <row r="58" spans="1:7" x14ac:dyDescent="0.25">
      <c r="A58" s="49" t="str">
        <f>'Data shares'!C53</f>
        <v>DALBHARAT</v>
      </c>
      <c r="B58" s="50">
        <f>VLOOKUP($A58,'Data shares'!$C:$FM,102)</f>
        <v>24.82</v>
      </c>
      <c r="C58" s="50">
        <f>VLOOKUP($A58,'Data shares'!$C:$FM,110)</f>
        <v>24.96</v>
      </c>
      <c r="D58" s="50">
        <f>VLOOKUP($A58,'Data shares'!$C:$FM,114)</f>
        <v>24.34</v>
      </c>
      <c r="E58" s="50">
        <f>VLOOKUP($A58,'Data shares'!$C:$FM,106)</f>
        <v>28.82</v>
      </c>
      <c r="F58" s="50">
        <f>VLOOKUP($A58,'Data shares'!$C:$FM,108)</f>
        <v>-4</v>
      </c>
      <c r="G58" s="50">
        <f t="shared" si="1"/>
        <v>0.86120749479528103</v>
      </c>
    </row>
    <row r="59" spans="1:7" x14ac:dyDescent="0.25">
      <c r="A59" s="49" t="str">
        <f>'Data shares'!C54</f>
        <v>DELHIVERY</v>
      </c>
      <c r="B59" s="50">
        <f>VLOOKUP($A59,'Data shares'!$C:$FM,102)</f>
        <v>29.16</v>
      </c>
      <c r="C59" s="50">
        <f>VLOOKUP($A59,'Data shares'!$C:$FM,110)</f>
        <v>29.3</v>
      </c>
      <c r="D59" s="50">
        <f>VLOOKUP($A59,'Data shares'!$C:$FM,114)</f>
        <v>28.82</v>
      </c>
      <c r="E59" s="50">
        <f>VLOOKUP($A59,'Data shares'!$C:$FM,106)</f>
        <v>39.93</v>
      </c>
      <c r="F59" s="50">
        <f>VLOOKUP($A59,'Data shares'!$C:$FM,108)</f>
        <v>-10.77</v>
      </c>
      <c r="G59" s="50">
        <f t="shared" si="1"/>
        <v>0.73027798647633357</v>
      </c>
    </row>
    <row r="60" spans="1:7" x14ac:dyDescent="0.25">
      <c r="A60" s="49" t="str">
        <f>'Data shares'!C55</f>
        <v>DIVISLAB</v>
      </c>
      <c r="B60" s="50">
        <f>VLOOKUP($A60,'Data shares'!$C:$FM,102)</f>
        <v>22.5</v>
      </c>
      <c r="C60" s="50">
        <f>VLOOKUP($A60,'Data shares'!$C:$FM,110)</f>
        <v>22.51</v>
      </c>
      <c r="D60" s="50">
        <f>VLOOKUP($A60,'Data shares'!$C:$FM,114)</f>
        <v>22.46</v>
      </c>
      <c r="E60" s="50">
        <f>VLOOKUP($A60,'Data shares'!$C:$FM,106)</f>
        <v>30.15</v>
      </c>
      <c r="F60" s="50">
        <f>VLOOKUP($A60,'Data shares'!$C:$FM,108)</f>
        <v>-7.65</v>
      </c>
      <c r="G60" s="50">
        <f t="shared" si="1"/>
        <v>0.74626865671641796</v>
      </c>
    </row>
    <row r="61" spans="1:7" x14ac:dyDescent="0.25">
      <c r="A61" s="49" t="str">
        <f>'Data shares'!C56</f>
        <v>DIXON</v>
      </c>
      <c r="B61" s="50">
        <f>VLOOKUP($A61,'Data shares'!$C:$FM,102)</f>
        <v>44.04</v>
      </c>
      <c r="C61" s="50">
        <f>VLOOKUP($A61,'Data shares'!$C:$FM,110)</f>
        <v>43.71</v>
      </c>
      <c r="D61" s="50">
        <f>VLOOKUP($A61,'Data shares'!$C:$FM,114)</f>
        <v>44.51</v>
      </c>
      <c r="E61" s="50">
        <f>VLOOKUP($A61,'Data shares'!$C:$FM,106)</f>
        <v>44.48</v>
      </c>
      <c r="F61" s="50">
        <f>VLOOKUP($A61,'Data shares'!$C:$FM,108)</f>
        <v>-0.44</v>
      </c>
      <c r="G61" s="50">
        <f t="shared" si="1"/>
        <v>0.99010791366906481</v>
      </c>
    </row>
    <row r="62" spans="1:7" x14ac:dyDescent="0.25">
      <c r="A62" s="49" t="str">
        <f>'Data shares'!C57</f>
        <v>DLF</v>
      </c>
      <c r="B62" s="50">
        <f>VLOOKUP($A62,'Data shares'!$C:$FM,102)</f>
        <v>26.6</v>
      </c>
      <c r="C62" s="50">
        <f>VLOOKUP($A62,'Data shares'!$C:$FM,110)</f>
        <v>26.23</v>
      </c>
      <c r="D62" s="50">
        <f>VLOOKUP($A62,'Data shares'!$C:$FM,114)</f>
        <v>27.54</v>
      </c>
      <c r="E62" s="50">
        <f>VLOOKUP($A62,'Data shares'!$C:$FM,106)</f>
        <v>34.200000000000003</v>
      </c>
      <c r="F62" s="50">
        <f>VLOOKUP($A62,'Data shares'!$C:$FM,108)</f>
        <v>-7.6</v>
      </c>
      <c r="G62" s="50">
        <f t="shared" si="1"/>
        <v>0.77777777777777779</v>
      </c>
    </row>
    <row r="63" spans="1:7" x14ac:dyDescent="0.25">
      <c r="A63" s="49" t="str">
        <f>'Data shares'!C58</f>
        <v>DMART</v>
      </c>
      <c r="B63" s="50">
        <f>VLOOKUP($A63,'Data shares'!$C:$FM,102)</f>
        <v>32.58</v>
      </c>
      <c r="C63" s="50">
        <f>VLOOKUP($A63,'Data shares'!$C:$FM,110)</f>
        <v>32.270000000000003</v>
      </c>
      <c r="D63" s="50">
        <f>VLOOKUP($A63,'Data shares'!$C:$FM,114)</f>
        <v>33.67</v>
      </c>
      <c r="E63" s="50">
        <f>VLOOKUP($A63,'Data shares'!$C:$FM,106)</f>
        <v>30.8</v>
      </c>
      <c r="F63" s="50">
        <f>VLOOKUP($A63,'Data shares'!$C:$FM,108)</f>
        <v>1.78</v>
      </c>
      <c r="G63" s="50">
        <f t="shared" si="1"/>
        <v>1.0577922077922077</v>
      </c>
    </row>
    <row r="64" spans="1:7" x14ac:dyDescent="0.25">
      <c r="A64" s="49" t="str">
        <f>'Data shares'!C59</f>
        <v>DRREDDY</v>
      </c>
      <c r="B64" s="50">
        <f>VLOOKUP($A64,'Data shares'!$C:$FM,102)</f>
        <v>23.05</v>
      </c>
      <c r="C64" s="50">
        <f>VLOOKUP($A64,'Data shares'!$C:$FM,110)</f>
        <v>22.65</v>
      </c>
      <c r="D64" s="50">
        <f>VLOOKUP($A64,'Data shares'!$C:$FM,114)</f>
        <v>24.05</v>
      </c>
      <c r="E64" s="50">
        <f>VLOOKUP($A64,'Data shares'!$C:$FM,106)</f>
        <v>23.44</v>
      </c>
      <c r="F64" s="50">
        <f>VLOOKUP($A64,'Data shares'!$C:$FM,108)</f>
        <v>-0.39</v>
      </c>
      <c r="G64" s="50">
        <f t="shared" si="1"/>
        <v>0.98336177474402731</v>
      </c>
    </row>
    <row r="65" spans="1:7" x14ac:dyDescent="0.25">
      <c r="A65" s="49" t="str">
        <f>'Data shares'!C60</f>
        <v>EICHERMOT</v>
      </c>
      <c r="B65" s="50">
        <f>VLOOKUP($A65,'Data shares'!$C:$FM,102)</f>
        <v>21.22</v>
      </c>
      <c r="C65" s="50">
        <f>VLOOKUP($A65,'Data shares'!$C:$FM,110)</f>
        <v>20.36</v>
      </c>
      <c r="D65" s="50">
        <f>VLOOKUP($A65,'Data shares'!$C:$FM,114)</f>
        <v>22.26</v>
      </c>
      <c r="E65" s="50">
        <f>VLOOKUP($A65,'Data shares'!$C:$FM,106)</f>
        <v>26.66</v>
      </c>
      <c r="F65" s="50">
        <f>VLOOKUP($A65,'Data shares'!$C:$FM,108)</f>
        <v>-5.44</v>
      </c>
      <c r="G65" s="50">
        <f t="shared" si="1"/>
        <v>0.79594898724681162</v>
      </c>
    </row>
    <row r="66" spans="1:7" x14ac:dyDescent="0.25">
      <c r="A66" s="49" t="str">
        <f>'Data shares'!C61</f>
        <v>ETERNAL</v>
      </c>
      <c r="B66" s="50">
        <f>VLOOKUP($A66,'Data shares'!$C:$FM,102)</f>
        <v>32.83</v>
      </c>
      <c r="C66" s="50">
        <f>VLOOKUP($A66,'Data shares'!$C:$FM,110)</f>
        <v>32.81</v>
      </c>
      <c r="D66" s="50">
        <f>VLOOKUP($A66,'Data shares'!$C:$FM,114)</f>
        <v>32.869999999999997</v>
      </c>
      <c r="E66" s="50">
        <f>VLOOKUP($A66,'Data shares'!$C:$FM,106)</f>
        <v>42.7</v>
      </c>
      <c r="F66" s="50">
        <f>VLOOKUP($A66,'Data shares'!$C:$FM,108)</f>
        <v>-9.8699999999999992</v>
      </c>
      <c r="G66" s="50">
        <f t="shared" si="1"/>
        <v>0.76885245901639332</v>
      </c>
    </row>
    <row r="67" spans="1:7" x14ac:dyDescent="0.25">
      <c r="A67" s="49" t="str">
        <f>'Data shares'!C62</f>
        <v>EXIDEIND</v>
      </c>
      <c r="B67" s="50">
        <f>VLOOKUP($A67,'Data shares'!$C:$FM,102)</f>
        <v>24.75</v>
      </c>
      <c r="C67" s="50">
        <f>VLOOKUP($A67,'Data shares'!$C:$FM,110)</f>
        <v>24.91</v>
      </c>
      <c r="D67" s="50">
        <f>VLOOKUP($A67,'Data shares'!$C:$FM,114)</f>
        <v>24.38</v>
      </c>
      <c r="E67" s="50">
        <f>VLOOKUP($A67,'Data shares'!$C:$FM,106)</f>
        <v>32.72</v>
      </c>
      <c r="F67" s="50">
        <f>VLOOKUP($A67,'Data shares'!$C:$FM,108)</f>
        <v>-7.97</v>
      </c>
      <c r="G67" s="50">
        <f t="shared" si="1"/>
        <v>0.75641809290953543</v>
      </c>
    </row>
    <row r="68" spans="1:7" x14ac:dyDescent="0.25">
      <c r="A68" s="49" t="str">
        <f>'Data shares'!C63</f>
        <v>FEDERALBNK</v>
      </c>
      <c r="B68" s="50">
        <f>VLOOKUP($A68,'Data shares'!$C:$FM,102)</f>
        <v>25.8</v>
      </c>
      <c r="C68" s="50">
        <f>VLOOKUP($A68,'Data shares'!$C:$FM,110)</f>
        <v>25.87</v>
      </c>
      <c r="D68" s="50">
        <f>VLOOKUP($A68,'Data shares'!$C:$FM,114)</f>
        <v>25.66</v>
      </c>
      <c r="E68" s="50">
        <f>VLOOKUP($A68,'Data shares'!$C:$FM,106)</f>
        <v>27.98</v>
      </c>
      <c r="F68" s="50">
        <f>VLOOKUP($A68,'Data shares'!$C:$FM,108)</f>
        <v>-2.1800000000000002</v>
      </c>
      <c r="G68" s="50">
        <f t="shared" si="1"/>
        <v>0.9220872051465332</v>
      </c>
    </row>
    <row r="69" spans="1:7" x14ac:dyDescent="0.25">
      <c r="A69" s="49" t="str">
        <f>'Data shares'!C64</f>
        <v>FINNIFTY</v>
      </c>
      <c r="B69" s="50">
        <f>VLOOKUP($A69,'Data shares'!$C:$FM,102)</f>
        <v>10.210000000000001</v>
      </c>
      <c r="C69" s="50">
        <f>VLOOKUP($A69,'Data shares'!$C:$FM,110)</f>
        <v>9.9499999999999993</v>
      </c>
      <c r="D69" s="50">
        <f>VLOOKUP($A69,'Data shares'!$C:$FM,114)</f>
        <v>10.45</v>
      </c>
      <c r="E69" s="50">
        <f>VLOOKUP($A69,'Data shares'!$C:$FM,106)</f>
        <v>16.190000000000001</v>
      </c>
      <c r="F69" s="50">
        <f>VLOOKUP($A69,'Data shares'!$C:$FM,108)</f>
        <v>-5.98</v>
      </c>
      <c r="G69" s="50">
        <f t="shared" si="1"/>
        <v>0.63063619518221126</v>
      </c>
    </row>
    <row r="70" spans="1:7" x14ac:dyDescent="0.25">
      <c r="A70" s="49" t="str">
        <f>'Data shares'!C65</f>
        <v>FORTIS</v>
      </c>
      <c r="B70" s="50">
        <f>VLOOKUP($A70,'Data shares'!$C:$FM,102)</f>
        <v>25.72</v>
      </c>
      <c r="C70" s="50">
        <f>VLOOKUP($A70,'Data shares'!$C:$FM,110)</f>
        <v>25.83</v>
      </c>
      <c r="D70" s="50">
        <f>VLOOKUP($A70,'Data shares'!$C:$FM,114)</f>
        <v>25.38</v>
      </c>
      <c r="E70" s="50">
        <f>VLOOKUP($A70,'Data shares'!$C:$FM,106)</f>
        <v>35.020000000000003</v>
      </c>
      <c r="F70" s="50">
        <f>VLOOKUP($A70,'Data shares'!$C:$FM,108)</f>
        <v>-9.3000000000000007</v>
      </c>
      <c r="G70" s="50">
        <f t="shared" si="1"/>
        <v>0.73443746430611068</v>
      </c>
    </row>
    <row r="71" spans="1:7" x14ac:dyDescent="0.25">
      <c r="A71" s="49" t="str">
        <f>'Data shares'!C66</f>
        <v>GAIL</v>
      </c>
      <c r="B71" s="50">
        <f>VLOOKUP($A71,'Data shares'!$C:$FM,102)</f>
        <v>23.38</v>
      </c>
      <c r="C71" s="50">
        <f>VLOOKUP($A71,'Data shares'!$C:$FM,110)</f>
        <v>23.53</v>
      </c>
      <c r="D71" s="50">
        <f>VLOOKUP($A71,'Data shares'!$C:$FM,114)</f>
        <v>23.09</v>
      </c>
      <c r="E71" s="50">
        <f>VLOOKUP($A71,'Data shares'!$C:$FM,106)</f>
        <v>33.75</v>
      </c>
      <c r="F71" s="50">
        <f>VLOOKUP($A71,'Data shares'!$C:$FM,108)</f>
        <v>-10.37</v>
      </c>
      <c r="G71" s="50">
        <f t="shared" ref="G71:G102" si="2">B71/E71</f>
        <v>0.69274074074074066</v>
      </c>
    </row>
    <row r="72" spans="1:7" x14ac:dyDescent="0.25">
      <c r="A72" s="49" t="str">
        <f>'Data shares'!C67</f>
        <v>GLENMARK</v>
      </c>
      <c r="B72" s="50">
        <f>VLOOKUP($A72,'Data shares'!$C:$FM,102)</f>
        <v>26.4</v>
      </c>
      <c r="C72" s="50">
        <f>VLOOKUP($A72,'Data shares'!$C:$FM,110)</f>
        <v>26.46</v>
      </c>
      <c r="D72" s="50">
        <f>VLOOKUP($A72,'Data shares'!$C:$FM,114)</f>
        <v>26.2</v>
      </c>
      <c r="E72" s="50">
        <f>VLOOKUP($A72,'Data shares'!$C:$FM,106)</f>
        <v>35.299999999999997</v>
      </c>
      <c r="F72" s="50">
        <f>VLOOKUP($A72,'Data shares'!$C:$FM,108)</f>
        <v>-8.9</v>
      </c>
      <c r="G72" s="50">
        <f t="shared" si="2"/>
        <v>0.74787535410764872</v>
      </c>
    </row>
    <row r="73" spans="1:7" x14ac:dyDescent="0.25">
      <c r="A73" s="49" t="str">
        <f>'Data shares'!C68</f>
        <v>GMRAIRPORT</v>
      </c>
      <c r="B73" s="50">
        <f>VLOOKUP($A73,'Data shares'!$C:$FM,102)</f>
        <v>29.98</v>
      </c>
      <c r="C73" s="50">
        <f>VLOOKUP($A73,'Data shares'!$C:$FM,110)</f>
        <v>30.25</v>
      </c>
      <c r="D73" s="50">
        <f>VLOOKUP($A73,'Data shares'!$C:$FM,114)</f>
        <v>29.05</v>
      </c>
      <c r="E73" s="50">
        <f>VLOOKUP($A73,'Data shares'!$C:$FM,106)</f>
        <v>36.32</v>
      </c>
      <c r="F73" s="50">
        <f>VLOOKUP($A73,'Data shares'!$C:$FM,108)</f>
        <v>-6.34</v>
      </c>
      <c r="G73" s="50">
        <f t="shared" si="2"/>
        <v>0.82544052863436124</v>
      </c>
    </row>
    <row r="74" spans="1:7" x14ac:dyDescent="0.25">
      <c r="A74" s="49" t="str">
        <f>'Data shares'!C69</f>
        <v>GODREJCP</v>
      </c>
      <c r="B74" s="50">
        <f>VLOOKUP($A74,'Data shares'!$C:$FM,102)</f>
        <v>26.65</v>
      </c>
      <c r="C74" s="50">
        <f>VLOOKUP($A74,'Data shares'!$C:$FM,110)</f>
        <v>26.61</v>
      </c>
      <c r="D74" s="50">
        <f>VLOOKUP($A74,'Data shares'!$C:$FM,114)</f>
        <v>26.77</v>
      </c>
      <c r="E74" s="50">
        <f>VLOOKUP($A74,'Data shares'!$C:$FM,106)</f>
        <v>28.13</v>
      </c>
      <c r="F74" s="50">
        <f>VLOOKUP($A74,'Data shares'!$C:$FM,108)</f>
        <v>-1.48</v>
      </c>
      <c r="G74" s="50">
        <f t="shared" si="2"/>
        <v>0.94738713117667972</v>
      </c>
    </row>
    <row r="75" spans="1:7" x14ac:dyDescent="0.25">
      <c r="A75" s="49" t="str">
        <f>'Data shares'!C70</f>
        <v>GODREJPROP</v>
      </c>
      <c r="B75" s="50">
        <f>VLOOKUP($A75,'Data shares'!$C:$FM,102)</f>
        <v>27.5</v>
      </c>
      <c r="C75" s="50">
        <f>VLOOKUP($A75,'Data shares'!$C:$FM,110)</f>
        <v>27.18</v>
      </c>
      <c r="D75" s="50">
        <f>VLOOKUP($A75,'Data shares'!$C:$FM,114)</f>
        <v>28.29</v>
      </c>
      <c r="E75" s="50">
        <f>VLOOKUP($A75,'Data shares'!$C:$FM,106)</f>
        <v>41.5</v>
      </c>
      <c r="F75" s="50">
        <f>VLOOKUP($A75,'Data shares'!$C:$FM,108)</f>
        <v>-14</v>
      </c>
      <c r="G75" s="50">
        <f t="shared" si="2"/>
        <v>0.66265060240963858</v>
      </c>
    </row>
    <row r="76" spans="1:7" x14ac:dyDescent="0.25">
      <c r="A76" s="49" t="str">
        <f>'Data shares'!C71</f>
        <v>GRASIM</v>
      </c>
      <c r="B76" s="50">
        <f>VLOOKUP($A76,'Data shares'!$C:$FM,102)</f>
        <v>18.899999999999999</v>
      </c>
      <c r="C76" s="50">
        <f>VLOOKUP($A76,'Data shares'!$C:$FM,110)</f>
        <v>19.14</v>
      </c>
      <c r="D76" s="50">
        <f>VLOOKUP($A76,'Data shares'!$C:$FM,114)</f>
        <v>18.63</v>
      </c>
      <c r="E76" s="50">
        <f>VLOOKUP($A76,'Data shares'!$C:$FM,106)</f>
        <v>24.81</v>
      </c>
      <c r="F76" s="50">
        <f>VLOOKUP($A76,'Data shares'!$C:$FM,108)</f>
        <v>-5.91</v>
      </c>
      <c r="G76" s="50">
        <f t="shared" si="2"/>
        <v>0.76178960096735182</v>
      </c>
    </row>
    <row r="77" spans="1:7" x14ac:dyDescent="0.25">
      <c r="A77" s="49" t="str">
        <f>'Data shares'!C72</f>
        <v>HAL</v>
      </c>
      <c r="B77" s="50">
        <f>VLOOKUP($A77,'Data shares'!$C:$FM,102)</f>
        <v>24.59</v>
      </c>
      <c r="C77" s="50">
        <f>VLOOKUP($A77,'Data shares'!$C:$FM,110)</f>
        <v>24.49</v>
      </c>
      <c r="D77" s="50">
        <f>VLOOKUP($A77,'Data shares'!$C:$FM,114)</f>
        <v>24.82</v>
      </c>
      <c r="E77" s="50">
        <f>VLOOKUP($A77,'Data shares'!$C:$FM,106)</f>
        <v>36.799999999999997</v>
      </c>
      <c r="F77" s="50">
        <f>VLOOKUP($A77,'Data shares'!$C:$FM,108)</f>
        <v>-12.21</v>
      </c>
      <c r="G77" s="50">
        <f t="shared" si="2"/>
        <v>0.66820652173913053</v>
      </c>
    </row>
    <row r="78" spans="1:7" x14ac:dyDescent="0.25">
      <c r="A78" s="49" t="str">
        <f>'Data shares'!C73</f>
        <v>HAVELLS</v>
      </c>
      <c r="B78" s="50">
        <f>VLOOKUP($A78,'Data shares'!$C:$FM,102)</f>
        <v>25.16</v>
      </c>
      <c r="C78" s="50">
        <f>VLOOKUP($A78,'Data shares'!$C:$FM,110)</f>
        <v>25.25</v>
      </c>
      <c r="D78" s="50">
        <f>VLOOKUP($A78,'Data shares'!$C:$FM,114)</f>
        <v>25.03</v>
      </c>
      <c r="E78" s="50">
        <f>VLOOKUP($A78,'Data shares'!$C:$FM,106)</f>
        <v>26.85</v>
      </c>
      <c r="F78" s="50">
        <f>VLOOKUP($A78,'Data shares'!$C:$FM,108)</f>
        <v>-1.69</v>
      </c>
      <c r="G78" s="50">
        <f t="shared" si="2"/>
        <v>0.93705772811918064</v>
      </c>
    </row>
    <row r="79" spans="1:7" x14ac:dyDescent="0.25">
      <c r="A79" s="49" t="str">
        <f>'Data shares'!C74</f>
        <v>HCLTECH</v>
      </c>
      <c r="B79" s="50">
        <f>VLOOKUP($A79,'Data shares'!$C:$FM,102)</f>
        <v>25.71</v>
      </c>
      <c r="C79" s="50">
        <f>VLOOKUP($A79,'Data shares'!$C:$FM,110)</f>
        <v>25.29</v>
      </c>
      <c r="D79" s="50">
        <f>VLOOKUP($A79,'Data shares'!$C:$FM,114)</f>
        <v>26.93</v>
      </c>
      <c r="E79" s="50">
        <f>VLOOKUP($A79,'Data shares'!$C:$FM,106)</f>
        <v>27.68</v>
      </c>
      <c r="F79" s="50">
        <f>VLOOKUP($A79,'Data shares'!$C:$FM,108)</f>
        <v>-1.97</v>
      </c>
      <c r="G79" s="50">
        <f t="shared" si="2"/>
        <v>0.92882947976878616</v>
      </c>
    </row>
    <row r="80" spans="1:7" x14ac:dyDescent="0.25">
      <c r="A80" s="49" t="str">
        <f>'Data shares'!C75</f>
        <v>HDFCAMC</v>
      </c>
      <c r="B80" s="50">
        <f>VLOOKUP($A80,'Data shares'!$C:$FM,102)</f>
        <v>26.62</v>
      </c>
      <c r="C80" s="50">
        <f>VLOOKUP($A80,'Data shares'!$C:$FM,110)</f>
        <v>26.62</v>
      </c>
      <c r="D80" s="50">
        <f>VLOOKUP($A80,'Data shares'!$C:$FM,114)</f>
        <v>26.63</v>
      </c>
      <c r="E80" s="50">
        <f>VLOOKUP($A80,'Data shares'!$C:$FM,106)</f>
        <v>33.64</v>
      </c>
      <c r="F80" s="50">
        <f>VLOOKUP($A80,'Data shares'!$C:$FM,108)</f>
        <v>-7.02</v>
      </c>
      <c r="G80" s="50">
        <f t="shared" si="2"/>
        <v>0.79131985731272292</v>
      </c>
    </row>
    <row r="81" spans="1:7" x14ac:dyDescent="0.25">
      <c r="A81" s="49" t="str">
        <f>'Data shares'!C76</f>
        <v>HDFCBANK</v>
      </c>
      <c r="B81" s="50">
        <f>VLOOKUP($A81,'Data shares'!$C:$FM,102)</f>
        <v>21.27</v>
      </c>
      <c r="C81" s="50">
        <f>VLOOKUP($A81,'Data shares'!$C:$FM,110)</f>
        <v>21.33</v>
      </c>
      <c r="D81" s="50">
        <f>VLOOKUP($A81,'Data shares'!$C:$FM,114)</f>
        <v>21.18</v>
      </c>
      <c r="E81" s="50">
        <f>VLOOKUP($A81,'Data shares'!$C:$FM,106)</f>
        <v>19.91</v>
      </c>
      <c r="F81" s="50">
        <f>VLOOKUP($A81,'Data shares'!$C:$FM,108)</f>
        <v>1.36</v>
      </c>
      <c r="G81" s="50">
        <f t="shared" si="2"/>
        <v>1.0683073832245102</v>
      </c>
    </row>
    <row r="82" spans="1:7" x14ac:dyDescent="0.25">
      <c r="A82" s="49" t="str">
        <f>'Data shares'!C77</f>
        <v>HDFCLIFE</v>
      </c>
      <c r="B82" s="50">
        <f>VLOOKUP($A82,'Data shares'!$C:$FM,102)</f>
        <v>21.78</v>
      </c>
      <c r="C82" s="50">
        <f>VLOOKUP($A82,'Data shares'!$C:$FM,110)</f>
        <v>21.44</v>
      </c>
      <c r="D82" s="50">
        <f>VLOOKUP($A82,'Data shares'!$C:$FM,114)</f>
        <v>22.52</v>
      </c>
      <c r="E82" s="50">
        <f>VLOOKUP($A82,'Data shares'!$C:$FM,106)</f>
        <v>24.9</v>
      </c>
      <c r="F82" s="50">
        <f>VLOOKUP($A82,'Data shares'!$C:$FM,108)</f>
        <v>-3.12</v>
      </c>
      <c r="G82" s="50">
        <f t="shared" si="2"/>
        <v>0.87469879518072302</v>
      </c>
    </row>
    <row r="83" spans="1:7" x14ac:dyDescent="0.25">
      <c r="A83" s="49" t="str">
        <f>'Data shares'!C78</f>
        <v>HEROMOTOCO</v>
      </c>
      <c r="B83" s="50">
        <f>VLOOKUP($A83,'Data shares'!$C:$FM,102)</f>
        <v>22.6</v>
      </c>
      <c r="C83" s="50">
        <f>VLOOKUP($A83,'Data shares'!$C:$FM,110)</f>
        <v>22.6</v>
      </c>
      <c r="D83" s="50">
        <f>VLOOKUP($A83,'Data shares'!$C:$FM,114)</f>
        <v>22.59</v>
      </c>
      <c r="E83" s="50">
        <f>VLOOKUP($A83,'Data shares'!$C:$FM,106)</f>
        <v>29.96</v>
      </c>
      <c r="F83" s="50">
        <f>VLOOKUP($A83,'Data shares'!$C:$FM,108)</f>
        <v>-7.36</v>
      </c>
      <c r="G83" s="50">
        <f t="shared" si="2"/>
        <v>0.75433911882510019</v>
      </c>
    </row>
    <row r="84" spans="1:7" x14ac:dyDescent="0.25">
      <c r="A84" s="49" t="str">
        <f>'Data shares'!C79</f>
        <v>HINDALCO</v>
      </c>
      <c r="B84" s="50">
        <f>VLOOKUP($A84,'Data shares'!$C:$FM,102)</f>
        <v>26.5</v>
      </c>
      <c r="C84" s="50">
        <f>VLOOKUP($A84,'Data shares'!$C:$FM,110)</f>
        <v>26.46</v>
      </c>
      <c r="D84" s="50">
        <f>VLOOKUP($A84,'Data shares'!$C:$FM,114)</f>
        <v>26.57</v>
      </c>
      <c r="E84" s="50">
        <f>VLOOKUP($A84,'Data shares'!$C:$FM,106)</f>
        <v>32.14</v>
      </c>
      <c r="F84" s="50">
        <f>VLOOKUP($A84,'Data shares'!$C:$FM,108)</f>
        <v>-5.64</v>
      </c>
      <c r="G84" s="50">
        <f t="shared" si="2"/>
        <v>0.82451773490976976</v>
      </c>
    </row>
    <row r="85" spans="1:7" x14ac:dyDescent="0.25">
      <c r="A85" s="49" t="str">
        <f>'Data shares'!C80</f>
        <v>HINDPETRO</v>
      </c>
      <c r="B85" s="50">
        <f>VLOOKUP($A85,'Data shares'!$C:$FM,102)</f>
        <v>29.93</v>
      </c>
      <c r="C85" s="50">
        <f>VLOOKUP($A85,'Data shares'!$C:$FM,110)</f>
        <v>30.15</v>
      </c>
      <c r="D85" s="50">
        <f>VLOOKUP($A85,'Data shares'!$C:$FM,114)</f>
        <v>29.45</v>
      </c>
      <c r="E85" s="50">
        <f>VLOOKUP($A85,'Data shares'!$C:$FM,106)</f>
        <v>38.22</v>
      </c>
      <c r="F85" s="50">
        <f>VLOOKUP($A85,'Data shares'!$C:$FM,108)</f>
        <v>-8.2899999999999991</v>
      </c>
      <c r="G85" s="50">
        <f t="shared" si="2"/>
        <v>0.783097854526426</v>
      </c>
    </row>
    <row r="86" spans="1:7" x14ac:dyDescent="0.25">
      <c r="A86" s="49" t="str">
        <f>'Data shares'!C81</f>
        <v>HINDUNILVR</v>
      </c>
      <c r="B86" s="50">
        <f>VLOOKUP($A86,'Data shares'!$C:$FM,102)</f>
        <v>16.53</v>
      </c>
      <c r="C86" s="50">
        <f>VLOOKUP($A86,'Data shares'!$C:$FM,110)</f>
        <v>16.52</v>
      </c>
      <c r="D86" s="50">
        <f>VLOOKUP($A86,'Data shares'!$C:$FM,114)</f>
        <v>16.54</v>
      </c>
      <c r="E86" s="50">
        <f>VLOOKUP($A86,'Data shares'!$C:$FM,106)</f>
        <v>21.84</v>
      </c>
      <c r="F86" s="50">
        <f>VLOOKUP($A86,'Data shares'!$C:$FM,108)</f>
        <v>-5.31</v>
      </c>
      <c r="G86" s="50">
        <f t="shared" si="2"/>
        <v>0.75686813186813195</v>
      </c>
    </row>
    <row r="87" spans="1:7" x14ac:dyDescent="0.25">
      <c r="A87" s="49" t="str">
        <f>'Data shares'!C82</f>
        <v>HINDZINC</v>
      </c>
      <c r="B87" s="50">
        <f>VLOOKUP($A87,'Data shares'!$C:$FM,102)</f>
        <v>41.45</v>
      </c>
      <c r="C87" s="50">
        <f>VLOOKUP($A87,'Data shares'!$C:$FM,110)</f>
        <v>42.23</v>
      </c>
      <c r="D87" s="50">
        <f>VLOOKUP($A87,'Data shares'!$C:$FM,114)</f>
        <v>39.869999999999997</v>
      </c>
      <c r="E87" s="50">
        <f>VLOOKUP($A87,'Data shares'!$C:$FM,106)</f>
        <v>43.16</v>
      </c>
      <c r="F87" s="50">
        <f>VLOOKUP($A87,'Data shares'!$C:$FM,108)</f>
        <v>-1.71</v>
      </c>
      <c r="G87" s="50">
        <f t="shared" si="2"/>
        <v>0.96037998146431891</v>
      </c>
    </row>
    <row r="88" spans="1:7" x14ac:dyDescent="0.25">
      <c r="A88" s="49" t="str">
        <f>'Data shares'!C83</f>
        <v>HUDCO</v>
      </c>
      <c r="B88" s="50">
        <f>VLOOKUP($A88,'Data shares'!$C:$FM,102)</f>
        <v>31.89</v>
      </c>
      <c r="C88" s="50">
        <f>VLOOKUP($A88,'Data shares'!$C:$FM,110)</f>
        <v>32.08</v>
      </c>
      <c r="D88" s="50">
        <f>VLOOKUP($A88,'Data shares'!$C:$FM,114)</f>
        <v>31.17</v>
      </c>
      <c r="E88" s="50">
        <f>VLOOKUP($A88,'Data shares'!$C:$FM,106)</f>
        <v>50.12</v>
      </c>
      <c r="F88" s="50">
        <f>VLOOKUP($A88,'Data shares'!$C:$FM,108)</f>
        <v>-18.23</v>
      </c>
      <c r="G88" s="50">
        <f t="shared" si="2"/>
        <v>0.6362729449321628</v>
      </c>
    </row>
    <row r="89" spans="1:7" x14ac:dyDescent="0.25">
      <c r="A89" s="49" t="str">
        <f>'Data shares'!C84</f>
        <v>ICICIBANK</v>
      </c>
      <c r="B89" s="50">
        <f>VLOOKUP($A89,'Data shares'!$C:$FM,102)</f>
        <v>19.73</v>
      </c>
      <c r="C89" s="50">
        <f>VLOOKUP($A89,'Data shares'!$C:$FM,110)</f>
        <v>19.57</v>
      </c>
      <c r="D89" s="50">
        <f>VLOOKUP($A89,'Data shares'!$C:$FM,114)</f>
        <v>19.97</v>
      </c>
      <c r="E89" s="50">
        <f>VLOOKUP($A89,'Data shares'!$C:$FM,106)</f>
        <v>20.46</v>
      </c>
      <c r="F89" s="50">
        <f>VLOOKUP($A89,'Data shares'!$C:$FM,108)</f>
        <v>-0.73</v>
      </c>
      <c r="G89" s="50">
        <f t="shared" si="2"/>
        <v>0.96432062561094822</v>
      </c>
    </row>
    <row r="90" spans="1:7" x14ac:dyDescent="0.25">
      <c r="A90" s="49" t="str">
        <f>'Data shares'!C85</f>
        <v>ICICIGI</v>
      </c>
      <c r="B90" s="50">
        <f>VLOOKUP($A90,'Data shares'!$C:$FM,102)</f>
        <v>25.96</v>
      </c>
      <c r="C90" s="50">
        <f>VLOOKUP($A90,'Data shares'!$C:$FM,110)</f>
        <v>26</v>
      </c>
      <c r="D90" s="50">
        <f>VLOOKUP($A90,'Data shares'!$C:$FM,114)</f>
        <v>25.89</v>
      </c>
      <c r="E90" s="50">
        <f>VLOOKUP($A90,'Data shares'!$C:$FM,106)</f>
        <v>27.63</v>
      </c>
      <c r="F90" s="50">
        <f>VLOOKUP($A90,'Data shares'!$C:$FM,108)</f>
        <v>-1.67</v>
      </c>
      <c r="G90" s="50">
        <f t="shared" si="2"/>
        <v>0.93955845095910251</v>
      </c>
    </row>
    <row r="91" spans="1:7" x14ac:dyDescent="0.25">
      <c r="A91" s="49" t="str">
        <f>'Data shares'!C86</f>
        <v>ICICIPRULI</v>
      </c>
      <c r="B91" s="50">
        <f>VLOOKUP($A91,'Data shares'!$C:$FM,102)</f>
        <v>28.56</v>
      </c>
      <c r="C91" s="50">
        <f>VLOOKUP($A91,'Data shares'!$C:$FM,110)</f>
        <v>28.21</v>
      </c>
      <c r="D91" s="50">
        <f>VLOOKUP($A91,'Data shares'!$C:$FM,114)</f>
        <v>29.21</v>
      </c>
      <c r="E91" s="50">
        <f>VLOOKUP($A91,'Data shares'!$C:$FM,106)</f>
        <v>26.8</v>
      </c>
      <c r="F91" s="50">
        <f>VLOOKUP($A91,'Data shares'!$C:$FM,108)</f>
        <v>1.76</v>
      </c>
      <c r="G91" s="50">
        <f t="shared" si="2"/>
        <v>1.0656716417910448</v>
      </c>
    </row>
    <row r="92" spans="1:7" x14ac:dyDescent="0.25">
      <c r="A92" s="49" t="str">
        <f>'Data shares'!C87</f>
        <v>IDEA</v>
      </c>
      <c r="B92" s="50">
        <f>VLOOKUP($A92,'Data shares'!$C:$FM,102)</f>
        <v>55.68</v>
      </c>
      <c r="C92" s="50">
        <f>VLOOKUP($A92,'Data shares'!$C:$FM,110)</f>
        <v>56.82</v>
      </c>
      <c r="D92" s="50">
        <f>VLOOKUP($A92,'Data shares'!$C:$FM,114)</f>
        <v>52.6</v>
      </c>
      <c r="E92" s="50">
        <f>VLOOKUP($A92,'Data shares'!$C:$FM,106)</f>
        <v>68.38</v>
      </c>
      <c r="F92" s="50">
        <f>VLOOKUP($A92,'Data shares'!$C:$FM,108)</f>
        <v>-12.7</v>
      </c>
      <c r="G92" s="50">
        <f t="shared" si="2"/>
        <v>0.81427317929219079</v>
      </c>
    </row>
    <row r="93" spans="1:7" x14ac:dyDescent="0.25">
      <c r="A93" s="49" t="str">
        <f>'Data shares'!C88</f>
        <v>IDFCFIRSTB</v>
      </c>
      <c r="B93" s="50">
        <f>VLOOKUP($A93,'Data shares'!$C:$FM,102)</f>
        <v>25.5</v>
      </c>
      <c r="C93" s="50">
        <f>VLOOKUP($A93,'Data shares'!$C:$FM,110)</f>
        <v>25.76</v>
      </c>
      <c r="D93" s="50">
        <f>VLOOKUP($A93,'Data shares'!$C:$FM,114)</f>
        <v>24.73</v>
      </c>
      <c r="E93" s="50">
        <f>VLOOKUP($A93,'Data shares'!$C:$FM,106)</f>
        <v>32.19</v>
      </c>
      <c r="F93" s="50">
        <f>VLOOKUP($A93,'Data shares'!$C:$FM,108)</f>
        <v>-6.69</v>
      </c>
      <c r="G93" s="50">
        <f t="shared" si="2"/>
        <v>0.79217148182665431</v>
      </c>
    </row>
    <row r="94" spans="1:7" x14ac:dyDescent="0.25">
      <c r="A94" s="49" t="str">
        <f>'Data shares'!C89</f>
        <v>IEX</v>
      </c>
      <c r="B94" s="50">
        <f>VLOOKUP($A94,'Data shares'!$C:$FM,102)</f>
        <v>59.75</v>
      </c>
      <c r="C94" s="50">
        <f>VLOOKUP($A94,'Data shares'!$C:$FM,110)</f>
        <v>60.21</v>
      </c>
      <c r="D94" s="50">
        <f>VLOOKUP($A94,'Data shares'!$C:$FM,114)</f>
        <v>58.34</v>
      </c>
      <c r="E94" s="50">
        <f>VLOOKUP($A94,'Data shares'!$C:$FM,106)</f>
        <v>53.94</v>
      </c>
      <c r="F94" s="50">
        <f>VLOOKUP($A94,'Data shares'!$C:$FM,108)</f>
        <v>5.81</v>
      </c>
      <c r="G94" s="50">
        <f t="shared" si="2"/>
        <v>1.1077122728958102</v>
      </c>
    </row>
    <row r="95" spans="1:7" x14ac:dyDescent="0.25">
      <c r="A95" s="49" t="str">
        <f>'Data shares'!C90</f>
        <v>IIFL</v>
      </c>
      <c r="B95" s="50">
        <f>VLOOKUP($A95,'Data shares'!$C:$FM,102)</f>
        <v>30.96</v>
      </c>
      <c r="C95" s="50">
        <f>VLOOKUP($A95,'Data shares'!$C:$FM,110)</f>
        <v>30.7</v>
      </c>
      <c r="D95" s="50">
        <f>VLOOKUP($A95,'Data shares'!$C:$FM,114)</f>
        <v>31.31</v>
      </c>
      <c r="E95" s="50">
        <f>VLOOKUP($A95,'Data shares'!$C:$FM,106)</f>
        <v>48.73</v>
      </c>
      <c r="F95" s="50">
        <f>VLOOKUP($A95,'Data shares'!$C:$FM,108)</f>
        <v>-17.77</v>
      </c>
      <c r="G95" s="50">
        <f t="shared" si="2"/>
        <v>0.63533757438949323</v>
      </c>
    </row>
    <row r="96" spans="1:7" x14ac:dyDescent="0.25">
      <c r="A96" s="49" t="str">
        <f>'Data shares'!C91</f>
        <v>INDHOTEL</v>
      </c>
      <c r="B96" s="50">
        <f>VLOOKUP($A96,'Data shares'!$C:$FM,102)</f>
        <v>24.78</v>
      </c>
      <c r="C96" s="50">
        <f>VLOOKUP($A96,'Data shares'!$C:$FM,110)</f>
        <v>24.79</v>
      </c>
      <c r="D96" s="50">
        <f>VLOOKUP($A96,'Data shares'!$C:$FM,114)</f>
        <v>24.76</v>
      </c>
      <c r="E96" s="50">
        <f>VLOOKUP($A96,'Data shares'!$C:$FM,106)</f>
        <v>33.43</v>
      </c>
      <c r="F96" s="50">
        <f>VLOOKUP($A96,'Data shares'!$C:$FM,108)</f>
        <v>-8.65</v>
      </c>
      <c r="G96" s="50">
        <f t="shared" si="2"/>
        <v>0.74125037391564463</v>
      </c>
    </row>
    <row r="97" spans="1:7" x14ac:dyDescent="0.25">
      <c r="A97" s="49" t="str">
        <f>'Data shares'!C92</f>
        <v>INDIANB</v>
      </c>
      <c r="B97" s="50">
        <f>VLOOKUP($A97,'Data shares'!$C:$FM,102)</f>
        <v>27.97</v>
      </c>
      <c r="C97" s="50">
        <f>VLOOKUP($A97,'Data shares'!$C:$FM,110)</f>
        <v>27.74</v>
      </c>
      <c r="D97" s="50">
        <f>VLOOKUP($A97,'Data shares'!$C:$FM,114)</f>
        <v>28.57</v>
      </c>
      <c r="E97" s="50">
        <f>VLOOKUP($A97,'Data shares'!$C:$FM,106)</f>
        <v>37.29</v>
      </c>
      <c r="F97" s="50">
        <f>VLOOKUP($A97,'Data shares'!$C:$FM,108)</f>
        <v>-9.32</v>
      </c>
      <c r="G97" s="50">
        <f t="shared" si="2"/>
        <v>0.75006704210244035</v>
      </c>
    </row>
    <row r="98" spans="1:7" x14ac:dyDescent="0.25">
      <c r="A98" s="49" t="str">
        <f>'Data shares'!C93</f>
        <v>INDIAVIX</v>
      </c>
      <c r="B98" s="50">
        <f>VLOOKUP($A98,'Data shares'!$C:$FM,102)</f>
        <v>0</v>
      </c>
      <c r="C98" s="50">
        <f>VLOOKUP($A98,'Data shares'!$C:$FM,110)</f>
        <v>0</v>
      </c>
      <c r="D98" s="50">
        <f>VLOOKUP($A98,'Data shares'!$C:$FM,114)</f>
        <v>0</v>
      </c>
      <c r="E98" s="50">
        <f>VLOOKUP($A98,'Data shares'!$C:$FM,106)</f>
        <v>0</v>
      </c>
      <c r="F98" s="50">
        <f>VLOOKUP($A98,'Data shares'!$C:$FM,108)</f>
        <v>0</v>
      </c>
      <c r="G98" s="50" t="e">
        <f t="shared" si="2"/>
        <v>#DIV/0!</v>
      </c>
    </row>
    <row r="99" spans="1:7" x14ac:dyDescent="0.25">
      <c r="A99" s="49" t="str">
        <f>'Data shares'!C94</f>
        <v>INDIGO</v>
      </c>
      <c r="B99" s="50">
        <f>VLOOKUP($A99,'Data shares'!$C:$FM,102)</f>
        <v>25.17</v>
      </c>
      <c r="C99" s="50">
        <f>VLOOKUP($A99,'Data shares'!$C:$FM,110)</f>
        <v>24.93</v>
      </c>
      <c r="D99" s="50">
        <f>VLOOKUP($A99,'Data shares'!$C:$FM,114)</f>
        <v>25.46</v>
      </c>
      <c r="E99" s="50">
        <f>VLOOKUP($A99,'Data shares'!$C:$FM,106)</f>
        <v>33.130000000000003</v>
      </c>
      <c r="F99" s="50">
        <f>VLOOKUP($A99,'Data shares'!$C:$FM,108)</f>
        <v>-7.96</v>
      </c>
      <c r="G99" s="50">
        <f t="shared" si="2"/>
        <v>0.75973437971626923</v>
      </c>
    </row>
    <row r="100" spans="1:7" x14ac:dyDescent="0.25">
      <c r="A100" s="49" t="str">
        <f>'Data shares'!C95</f>
        <v>INDUSINDBK</v>
      </c>
      <c r="B100" s="50">
        <f>VLOOKUP($A100,'Data shares'!$C:$FM,102)</f>
        <v>29.39</v>
      </c>
      <c r="C100" s="50">
        <f>VLOOKUP($A100,'Data shares'!$C:$FM,110)</f>
        <v>29.53</v>
      </c>
      <c r="D100" s="50">
        <f>VLOOKUP($A100,'Data shares'!$C:$FM,114)</f>
        <v>29.19</v>
      </c>
      <c r="E100" s="50">
        <f>VLOOKUP($A100,'Data shares'!$C:$FM,106)</f>
        <v>43.39</v>
      </c>
      <c r="F100" s="50">
        <f>VLOOKUP($A100,'Data shares'!$C:$FM,108)</f>
        <v>-14</v>
      </c>
      <c r="G100" s="50">
        <f t="shared" si="2"/>
        <v>0.67734501037105321</v>
      </c>
    </row>
    <row r="101" spans="1:7" x14ac:dyDescent="0.25">
      <c r="A101" s="49" t="str">
        <f>'Data shares'!C96</f>
        <v>INDUSTOWER</v>
      </c>
      <c r="B101" s="50">
        <f>VLOOKUP($A101,'Data shares'!$C:$FM,102)</f>
        <v>27.66</v>
      </c>
      <c r="C101" s="50">
        <f>VLOOKUP($A101,'Data shares'!$C:$FM,110)</f>
        <v>28.02</v>
      </c>
      <c r="D101" s="50">
        <f>VLOOKUP($A101,'Data shares'!$C:$FM,114)</f>
        <v>26.69</v>
      </c>
      <c r="E101" s="50">
        <f>VLOOKUP($A101,'Data shares'!$C:$FM,106)</f>
        <v>38.03</v>
      </c>
      <c r="F101" s="50">
        <f>VLOOKUP($A101,'Data shares'!$C:$FM,108)</f>
        <v>-10.37</v>
      </c>
      <c r="G101" s="50">
        <f t="shared" si="2"/>
        <v>0.72732053641861683</v>
      </c>
    </row>
    <row r="102" spans="1:7" x14ac:dyDescent="0.25">
      <c r="A102" s="49" t="str">
        <f>'Data shares'!C97</f>
        <v>INFY</v>
      </c>
      <c r="B102" s="50">
        <f>VLOOKUP($A102,'Data shares'!$C:$FM,102)</f>
        <v>24.31</v>
      </c>
      <c r="C102" s="50">
        <f>VLOOKUP($A102,'Data shares'!$C:$FM,110)</f>
        <v>23.81</v>
      </c>
      <c r="D102" s="50">
        <f>VLOOKUP($A102,'Data shares'!$C:$FM,114)</f>
        <v>25.78</v>
      </c>
      <c r="E102" s="50">
        <f>VLOOKUP($A102,'Data shares'!$C:$FM,106)</f>
        <v>28.22</v>
      </c>
      <c r="F102" s="50">
        <f>VLOOKUP($A102,'Data shares'!$C:$FM,108)</f>
        <v>-3.91</v>
      </c>
      <c r="G102" s="50">
        <f t="shared" si="2"/>
        <v>0.86144578313253006</v>
      </c>
    </row>
    <row r="103" spans="1:7" x14ac:dyDescent="0.25">
      <c r="A103" s="49" t="str">
        <f>'Data shares'!C98</f>
        <v>INOXWIND</v>
      </c>
      <c r="B103" s="50">
        <f>VLOOKUP($A103,'Data shares'!$C:$FM,102)</f>
        <v>38.64</v>
      </c>
      <c r="C103" s="50">
        <f>VLOOKUP($A103,'Data shares'!$C:$FM,110)</f>
        <v>37.78</v>
      </c>
      <c r="D103" s="50">
        <f>VLOOKUP($A103,'Data shares'!$C:$FM,114)</f>
        <v>40.35</v>
      </c>
      <c r="E103" s="50">
        <f>VLOOKUP($A103,'Data shares'!$C:$FM,106)</f>
        <v>51.97</v>
      </c>
      <c r="F103" s="50">
        <f>VLOOKUP($A103,'Data shares'!$C:$FM,108)</f>
        <v>-13.33</v>
      </c>
      <c r="G103" s="50">
        <f t="shared" ref="G103:G134" si="3">B103/E103</f>
        <v>0.74350586877044456</v>
      </c>
    </row>
    <row r="104" spans="1:7" x14ac:dyDescent="0.25">
      <c r="A104" s="49" t="str">
        <f>'Data shares'!C99</f>
        <v>IOC</v>
      </c>
      <c r="B104" s="50">
        <f>VLOOKUP($A104,'Data shares'!$C:$FM,102)</f>
        <v>23.54</v>
      </c>
      <c r="C104" s="50">
        <f>VLOOKUP($A104,'Data shares'!$C:$FM,110)</f>
        <v>23.6</v>
      </c>
      <c r="D104" s="50">
        <f>VLOOKUP($A104,'Data shares'!$C:$FM,114)</f>
        <v>23.41</v>
      </c>
      <c r="E104" s="50">
        <f>VLOOKUP($A104,'Data shares'!$C:$FM,106)</f>
        <v>30.45</v>
      </c>
      <c r="F104" s="50">
        <f>VLOOKUP($A104,'Data shares'!$C:$FM,108)</f>
        <v>-6.91</v>
      </c>
      <c r="G104" s="50">
        <f t="shared" si="3"/>
        <v>0.77307060755336621</v>
      </c>
    </row>
    <row r="105" spans="1:7" x14ac:dyDescent="0.25">
      <c r="A105" s="49" t="str">
        <f>'Data shares'!C100</f>
        <v>IRCTC</v>
      </c>
      <c r="B105" s="50">
        <f>VLOOKUP($A105,'Data shares'!$C:$FM,102)</f>
        <v>27.08</v>
      </c>
      <c r="C105" s="50">
        <f>VLOOKUP($A105,'Data shares'!$C:$FM,110)</f>
        <v>27.56</v>
      </c>
      <c r="D105" s="50">
        <f>VLOOKUP($A105,'Data shares'!$C:$FM,114)</f>
        <v>24.6</v>
      </c>
      <c r="E105" s="50">
        <f>VLOOKUP($A105,'Data shares'!$C:$FM,106)</f>
        <v>29.25</v>
      </c>
      <c r="F105" s="50">
        <f>VLOOKUP($A105,'Data shares'!$C:$FM,108)</f>
        <v>-2.17</v>
      </c>
      <c r="G105" s="50">
        <f t="shared" si="3"/>
        <v>0.92581196581196579</v>
      </c>
    </row>
    <row r="106" spans="1:7" x14ac:dyDescent="0.25">
      <c r="A106" s="49" t="str">
        <f>'Data shares'!C101</f>
        <v>IREDA</v>
      </c>
      <c r="B106" s="50">
        <f>VLOOKUP($A106,'Data shares'!$C:$FM,102)</f>
        <v>44.48</v>
      </c>
      <c r="C106" s="50">
        <f>VLOOKUP($A106,'Data shares'!$C:$FM,110)</f>
        <v>44.45</v>
      </c>
      <c r="D106" s="50">
        <f>VLOOKUP($A106,'Data shares'!$C:$FM,114)</f>
        <v>44.59</v>
      </c>
      <c r="E106" s="50">
        <f>VLOOKUP($A106,'Data shares'!$C:$FM,106)</f>
        <v>48.23</v>
      </c>
      <c r="F106" s="50">
        <f>VLOOKUP($A106,'Data shares'!$C:$FM,108)</f>
        <v>-3.75</v>
      </c>
      <c r="G106" s="50">
        <f t="shared" si="3"/>
        <v>0.92224756375699768</v>
      </c>
    </row>
    <row r="107" spans="1:7" x14ac:dyDescent="0.25">
      <c r="A107" s="49" t="str">
        <f>'Data shares'!C102</f>
        <v>IRFC</v>
      </c>
      <c r="B107" s="50">
        <f>VLOOKUP($A107,'Data shares'!$C:$FM,102)</f>
        <v>39.31</v>
      </c>
      <c r="C107" s="50">
        <f>VLOOKUP($A107,'Data shares'!$C:$FM,110)</f>
        <v>39.61</v>
      </c>
      <c r="D107" s="50">
        <f>VLOOKUP($A107,'Data shares'!$C:$FM,114)</f>
        <v>38.369999999999997</v>
      </c>
      <c r="E107" s="50">
        <f>VLOOKUP($A107,'Data shares'!$C:$FM,106)</f>
        <v>45.53</v>
      </c>
      <c r="F107" s="50">
        <f>VLOOKUP($A107,'Data shares'!$C:$FM,108)</f>
        <v>-6.22</v>
      </c>
      <c r="G107" s="50">
        <f t="shared" si="3"/>
        <v>0.8633867779486053</v>
      </c>
    </row>
    <row r="108" spans="1:7" x14ac:dyDescent="0.25">
      <c r="A108" s="49" t="str">
        <f>'Data shares'!C103</f>
        <v>ITC</v>
      </c>
      <c r="B108" s="50">
        <f>VLOOKUP($A108,'Data shares'!$C:$FM,102)</f>
        <v>23.09</v>
      </c>
      <c r="C108" s="50">
        <f>VLOOKUP($A108,'Data shares'!$C:$FM,110)</f>
        <v>23.63</v>
      </c>
      <c r="D108" s="50">
        <f>VLOOKUP($A108,'Data shares'!$C:$FM,114)</f>
        <v>21.69</v>
      </c>
      <c r="E108" s="50">
        <f>VLOOKUP($A108,'Data shares'!$C:$FM,106)</f>
        <v>23.34</v>
      </c>
      <c r="F108" s="50">
        <f>VLOOKUP($A108,'Data shares'!$C:$FM,108)</f>
        <v>-0.25</v>
      </c>
      <c r="G108" s="50">
        <f t="shared" si="3"/>
        <v>0.98928877463581832</v>
      </c>
    </row>
    <row r="109" spans="1:7" x14ac:dyDescent="0.25">
      <c r="A109" s="49" t="str">
        <f>'Data shares'!C104</f>
        <v>JINDALSTEL</v>
      </c>
      <c r="B109" s="50">
        <f>VLOOKUP($A109,'Data shares'!$C:$FM,102)</f>
        <v>26.62</v>
      </c>
      <c r="C109" s="50">
        <f>VLOOKUP($A109,'Data shares'!$C:$FM,110)</f>
        <v>26.33</v>
      </c>
      <c r="D109" s="50">
        <f>VLOOKUP($A109,'Data shares'!$C:$FM,114)</f>
        <v>26.87</v>
      </c>
      <c r="E109" s="50">
        <f>VLOOKUP($A109,'Data shares'!$C:$FM,106)</f>
        <v>34.03</v>
      </c>
      <c r="F109" s="50">
        <f>VLOOKUP($A109,'Data shares'!$C:$FM,108)</f>
        <v>-7.41</v>
      </c>
      <c r="G109" s="50">
        <f t="shared" si="3"/>
        <v>0.7822509550396709</v>
      </c>
    </row>
    <row r="110" spans="1:7" x14ac:dyDescent="0.25">
      <c r="A110" s="49" t="str">
        <f>'Data shares'!C105</f>
        <v>JIOFIN</v>
      </c>
      <c r="B110" s="50">
        <f>VLOOKUP($A110,'Data shares'!$C:$FM,102)</f>
        <v>26.52</v>
      </c>
      <c r="C110" s="50">
        <f>VLOOKUP($A110,'Data shares'!$C:$FM,110)</f>
        <v>26.62</v>
      </c>
      <c r="D110" s="50">
        <f>VLOOKUP($A110,'Data shares'!$C:$FM,114)</f>
        <v>26.18</v>
      </c>
      <c r="E110" s="50">
        <f>VLOOKUP($A110,'Data shares'!$C:$FM,106)</f>
        <v>33.26</v>
      </c>
      <c r="F110" s="50">
        <f>VLOOKUP($A110,'Data shares'!$C:$FM,108)</f>
        <v>-6.74</v>
      </c>
      <c r="G110" s="50">
        <f t="shared" si="3"/>
        <v>0.79735417919422735</v>
      </c>
    </row>
    <row r="111" spans="1:7" x14ac:dyDescent="0.25">
      <c r="A111" s="49" t="str">
        <f>'Data shares'!C106</f>
        <v>JSWENERGY</v>
      </c>
      <c r="B111" s="50">
        <f>VLOOKUP($A111,'Data shares'!$C:$FM,102)</f>
        <v>28.91</v>
      </c>
      <c r="C111" s="50">
        <f>VLOOKUP($A111,'Data shares'!$C:$FM,110)</f>
        <v>28.93</v>
      </c>
      <c r="D111" s="50">
        <f>VLOOKUP($A111,'Data shares'!$C:$FM,114)</f>
        <v>28.87</v>
      </c>
      <c r="E111" s="50">
        <f>VLOOKUP($A111,'Data shares'!$C:$FM,106)</f>
        <v>42.39</v>
      </c>
      <c r="F111" s="50">
        <f>VLOOKUP($A111,'Data shares'!$C:$FM,108)</f>
        <v>-13.48</v>
      </c>
      <c r="G111" s="50">
        <f t="shared" si="3"/>
        <v>0.68200047180938905</v>
      </c>
    </row>
    <row r="112" spans="1:7" x14ac:dyDescent="0.25">
      <c r="A112" s="49" t="str">
        <f>'Data shares'!C107</f>
        <v>JSWSTEEL</v>
      </c>
      <c r="B112" s="50">
        <f>VLOOKUP($A112,'Data shares'!$C:$FM,102)</f>
        <v>24.59</v>
      </c>
      <c r="C112" s="50">
        <f>VLOOKUP($A112,'Data shares'!$C:$FM,110)</f>
        <v>24.12</v>
      </c>
      <c r="D112" s="50">
        <f>VLOOKUP($A112,'Data shares'!$C:$FM,114)</f>
        <v>25.18</v>
      </c>
      <c r="E112" s="50">
        <f>VLOOKUP($A112,'Data shares'!$C:$FM,106)</f>
        <v>29.24</v>
      </c>
      <c r="F112" s="50">
        <f>VLOOKUP($A112,'Data shares'!$C:$FM,108)</f>
        <v>-4.6500000000000004</v>
      </c>
      <c r="G112" s="50">
        <f t="shared" si="3"/>
        <v>0.84097127222982215</v>
      </c>
    </row>
    <row r="113" spans="1:7" x14ac:dyDescent="0.25">
      <c r="A113" s="49" t="str">
        <f>'Data shares'!C108</f>
        <v>JUBLFOOD</v>
      </c>
      <c r="B113" s="50">
        <f>VLOOKUP($A113,'Data shares'!$C:$FM,102)</f>
        <v>27.29</v>
      </c>
      <c r="C113" s="50">
        <f>VLOOKUP($A113,'Data shares'!$C:$FM,110)</f>
        <v>27.54</v>
      </c>
      <c r="D113" s="50">
        <f>VLOOKUP($A113,'Data shares'!$C:$FM,114)</f>
        <v>26.81</v>
      </c>
      <c r="E113" s="50">
        <f>VLOOKUP($A113,'Data shares'!$C:$FM,106)</f>
        <v>33.11</v>
      </c>
      <c r="F113" s="50">
        <f>VLOOKUP($A113,'Data shares'!$C:$FM,108)</f>
        <v>-5.82</v>
      </c>
      <c r="G113" s="50">
        <f t="shared" si="3"/>
        <v>0.82422228933856845</v>
      </c>
    </row>
    <row r="114" spans="1:7" x14ac:dyDescent="0.25">
      <c r="A114" s="49" t="str">
        <f>'Data shares'!C109</f>
        <v>KALYANKJIL</v>
      </c>
      <c r="B114" s="50">
        <f>VLOOKUP($A114,'Data shares'!$C:$FM,102)</f>
        <v>33.14</v>
      </c>
      <c r="C114" s="50">
        <f>VLOOKUP($A114,'Data shares'!$C:$FM,110)</f>
        <v>33.299999999999997</v>
      </c>
      <c r="D114" s="50">
        <f>VLOOKUP($A114,'Data shares'!$C:$FM,114)</f>
        <v>32.6</v>
      </c>
      <c r="E114" s="50">
        <f>VLOOKUP($A114,'Data shares'!$C:$FM,106)</f>
        <v>47.2</v>
      </c>
      <c r="F114" s="50">
        <f>VLOOKUP($A114,'Data shares'!$C:$FM,108)</f>
        <v>-14.06</v>
      </c>
      <c r="G114" s="50">
        <f t="shared" si="3"/>
        <v>0.70211864406779656</v>
      </c>
    </row>
    <row r="115" spans="1:7" x14ac:dyDescent="0.25">
      <c r="A115" s="49" t="str">
        <f>'Data shares'!C110</f>
        <v>KAYNES</v>
      </c>
      <c r="B115" s="50">
        <f>VLOOKUP($A115,'Data shares'!$C:$FM,102)</f>
        <v>50.68</v>
      </c>
      <c r="C115" s="50">
        <f>VLOOKUP($A115,'Data shares'!$C:$FM,110)</f>
        <v>48.96</v>
      </c>
      <c r="D115" s="50">
        <f>VLOOKUP($A115,'Data shares'!$C:$FM,114)</f>
        <v>53.29</v>
      </c>
      <c r="E115" s="50">
        <f>VLOOKUP($A115,'Data shares'!$C:$FM,106)</f>
        <v>61.85</v>
      </c>
      <c r="F115" s="50">
        <f>VLOOKUP($A115,'Data shares'!$C:$FM,108)</f>
        <v>-11.17</v>
      </c>
      <c r="G115" s="50">
        <f t="shared" si="3"/>
        <v>0.81940177849636209</v>
      </c>
    </row>
    <row r="116" spans="1:7" x14ac:dyDescent="0.25">
      <c r="A116" s="49" t="str">
        <f>'Data shares'!C111</f>
        <v>KEI</v>
      </c>
      <c r="B116" s="50">
        <f>VLOOKUP($A116,'Data shares'!$C:$FM,102)</f>
        <v>29.06</v>
      </c>
      <c r="C116" s="50">
        <f>VLOOKUP($A116,'Data shares'!$C:$FM,110)</f>
        <v>29.02</v>
      </c>
      <c r="D116" s="50">
        <f>VLOOKUP($A116,'Data shares'!$C:$FM,114)</f>
        <v>29.21</v>
      </c>
      <c r="E116" s="50">
        <f>VLOOKUP($A116,'Data shares'!$C:$FM,106)</f>
        <v>44.99</v>
      </c>
      <c r="F116" s="50">
        <f>VLOOKUP($A116,'Data shares'!$C:$FM,108)</f>
        <v>-15.93</v>
      </c>
      <c r="G116" s="50">
        <f t="shared" si="3"/>
        <v>0.64592131584796619</v>
      </c>
    </row>
    <row r="117" spans="1:7" x14ac:dyDescent="0.25">
      <c r="A117" s="49" t="str">
        <f>'Data shares'!C112</f>
        <v>KFINTECH</v>
      </c>
      <c r="B117" s="50">
        <f>VLOOKUP($A117,'Data shares'!$C:$FM,102)</f>
        <v>32.83</v>
      </c>
      <c r="C117" s="50">
        <f>VLOOKUP($A117,'Data shares'!$C:$FM,110)</f>
        <v>32.44</v>
      </c>
      <c r="D117" s="50">
        <f>VLOOKUP($A117,'Data shares'!$C:$FM,114)</f>
        <v>34.43</v>
      </c>
      <c r="E117" s="50">
        <f>VLOOKUP($A117,'Data shares'!$C:$FM,106)</f>
        <v>51.41</v>
      </c>
      <c r="F117" s="50">
        <f>VLOOKUP($A117,'Data shares'!$C:$FM,108)</f>
        <v>-18.579999999999998</v>
      </c>
      <c r="G117" s="50">
        <f t="shared" si="3"/>
        <v>0.63859171367438239</v>
      </c>
    </row>
    <row r="118" spans="1:7" x14ac:dyDescent="0.25">
      <c r="A118" s="49" t="str">
        <f>'Data shares'!C113</f>
        <v>KOTAKBANK</v>
      </c>
      <c r="B118" s="50">
        <f>VLOOKUP($A118,'Data shares'!$C:$FM,102)</f>
        <v>22.73</v>
      </c>
      <c r="C118" s="50">
        <f>VLOOKUP($A118,'Data shares'!$C:$FM,110)</f>
        <v>22.48</v>
      </c>
      <c r="D118" s="50">
        <f>VLOOKUP($A118,'Data shares'!$C:$FM,114)</f>
        <v>23.14</v>
      </c>
      <c r="E118" s="50">
        <f>VLOOKUP($A118,'Data shares'!$C:$FM,106)</f>
        <v>25.34</v>
      </c>
      <c r="F118" s="50">
        <f>VLOOKUP($A118,'Data shares'!$C:$FM,108)</f>
        <v>-2.61</v>
      </c>
      <c r="G118" s="50">
        <f t="shared" si="3"/>
        <v>0.8970007892659827</v>
      </c>
    </row>
    <row r="119" spans="1:7" x14ac:dyDescent="0.25">
      <c r="A119" s="49" t="str">
        <f>'Data shares'!C114</f>
        <v>KPITTECH</v>
      </c>
      <c r="B119" s="50">
        <f>VLOOKUP($A119,'Data shares'!$C:$FM,102)</f>
        <v>32.049999999999997</v>
      </c>
      <c r="C119" s="50">
        <f>VLOOKUP($A119,'Data shares'!$C:$FM,110)</f>
        <v>32.1</v>
      </c>
      <c r="D119" s="50">
        <f>VLOOKUP($A119,'Data shares'!$C:$FM,114)</f>
        <v>31.81</v>
      </c>
      <c r="E119" s="50">
        <f>VLOOKUP($A119,'Data shares'!$C:$FM,106)</f>
        <v>42.94</v>
      </c>
      <c r="F119" s="50">
        <f>VLOOKUP($A119,'Data shares'!$C:$FM,108)</f>
        <v>-10.89</v>
      </c>
      <c r="G119" s="50">
        <f t="shared" si="3"/>
        <v>0.74639031206334416</v>
      </c>
    </row>
    <row r="120" spans="1:7" x14ac:dyDescent="0.25">
      <c r="A120" s="49" t="str">
        <f>'Data shares'!C115</f>
        <v>LAURUSLABS</v>
      </c>
      <c r="B120" s="50">
        <f>VLOOKUP($A120,'Data shares'!$C:$FM,102)</f>
        <v>28.59</v>
      </c>
      <c r="C120" s="50">
        <f>VLOOKUP($A120,'Data shares'!$C:$FM,110)</f>
        <v>28.42</v>
      </c>
      <c r="D120" s="50">
        <f>VLOOKUP($A120,'Data shares'!$C:$FM,114)</f>
        <v>28.91</v>
      </c>
      <c r="E120" s="50">
        <f>VLOOKUP($A120,'Data shares'!$C:$FM,106)</f>
        <v>37.49</v>
      </c>
      <c r="F120" s="50">
        <f>VLOOKUP($A120,'Data shares'!$C:$FM,108)</f>
        <v>-8.9</v>
      </c>
      <c r="G120" s="50">
        <f t="shared" si="3"/>
        <v>0.76260336089623892</v>
      </c>
    </row>
    <row r="121" spans="1:7" x14ac:dyDescent="0.25">
      <c r="A121" s="49" t="str">
        <f>'Data shares'!C116</f>
        <v>LICHSGFIN</v>
      </c>
      <c r="B121" s="50">
        <f>VLOOKUP($A121,'Data shares'!$C:$FM,102)</f>
        <v>21.91</v>
      </c>
      <c r="C121" s="50">
        <f>VLOOKUP($A121,'Data shares'!$C:$FM,110)</f>
        <v>22.06</v>
      </c>
      <c r="D121" s="50">
        <f>VLOOKUP($A121,'Data shares'!$C:$FM,114)</f>
        <v>21.73</v>
      </c>
      <c r="E121" s="50">
        <f>VLOOKUP($A121,'Data shares'!$C:$FM,106)</f>
        <v>31.8</v>
      </c>
      <c r="F121" s="50">
        <f>VLOOKUP($A121,'Data shares'!$C:$FM,108)</f>
        <v>-9.89</v>
      </c>
      <c r="G121" s="50">
        <f t="shared" si="3"/>
        <v>0.68899371069182391</v>
      </c>
    </row>
    <row r="122" spans="1:7" x14ac:dyDescent="0.25">
      <c r="A122" s="49" t="str">
        <f>'Data shares'!C117</f>
        <v>LICI</v>
      </c>
      <c r="B122" s="50">
        <f>VLOOKUP($A122,'Data shares'!$C:$FM,102)</f>
        <v>18.899999999999999</v>
      </c>
      <c r="C122" s="50">
        <f>VLOOKUP($A122,'Data shares'!$C:$FM,110)</f>
        <v>19.149999999999999</v>
      </c>
      <c r="D122" s="50">
        <f>VLOOKUP($A122,'Data shares'!$C:$FM,114)</f>
        <v>18.350000000000001</v>
      </c>
      <c r="E122" s="50">
        <f>VLOOKUP($A122,'Data shares'!$C:$FM,106)</f>
        <v>29.69</v>
      </c>
      <c r="F122" s="50">
        <f>VLOOKUP($A122,'Data shares'!$C:$FM,108)</f>
        <v>-10.79</v>
      </c>
      <c r="G122" s="50">
        <f t="shared" si="3"/>
        <v>0.63657797238127312</v>
      </c>
    </row>
    <row r="123" spans="1:7" x14ac:dyDescent="0.25">
      <c r="A123" s="49" t="str">
        <f>'Data shares'!C118</f>
        <v>LODHA</v>
      </c>
      <c r="B123" s="50">
        <f>VLOOKUP($A123,'Data shares'!$C:$FM,102)</f>
        <v>30.25</v>
      </c>
      <c r="C123" s="50">
        <f>VLOOKUP($A123,'Data shares'!$C:$FM,110)</f>
        <v>30.35</v>
      </c>
      <c r="D123" s="50">
        <f>VLOOKUP($A123,'Data shares'!$C:$FM,114)</f>
        <v>30</v>
      </c>
      <c r="E123" s="50">
        <f>VLOOKUP($A123,'Data shares'!$C:$FM,106)</f>
        <v>42.91</v>
      </c>
      <c r="F123" s="50">
        <f>VLOOKUP($A123,'Data shares'!$C:$FM,108)</f>
        <v>-12.66</v>
      </c>
      <c r="G123" s="50">
        <f t="shared" si="3"/>
        <v>0.70496387788394321</v>
      </c>
    </row>
    <row r="124" spans="1:7" x14ac:dyDescent="0.25">
      <c r="A124" s="49" t="str">
        <f>'Data shares'!C119</f>
        <v>LT</v>
      </c>
      <c r="B124" s="50">
        <f>VLOOKUP($A124,'Data shares'!$C:$FM,102)</f>
        <v>15.83</v>
      </c>
      <c r="C124" s="50">
        <f>VLOOKUP($A124,'Data shares'!$C:$FM,110)</f>
        <v>15.43</v>
      </c>
      <c r="D124" s="50">
        <f>VLOOKUP($A124,'Data shares'!$C:$FM,114)</f>
        <v>16.46</v>
      </c>
      <c r="E124" s="50">
        <f>VLOOKUP($A124,'Data shares'!$C:$FM,106)</f>
        <v>25.36</v>
      </c>
      <c r="F124" s="50">
        <f>VLOOKUP($A124,'Data shares'!$C:$FM,108)</f>
        <v>-9.5299999999999994</v>
      </c>
      <c r="G124" s="50">
        <f t="shared" si="3"/>
        <v>0.62421135646687698</v>
      </c>
    </row>
    <row r="125" spans="1:7" x14ac:dyDescent="0.25">
      <c r="A125" s="49" t="str">
        <f>'Data shares'!C120</f>
        <v>LTF</v>
      </c>
      <c r="B125" s="50">
        <f>VLOOKUP($A125,'Data shares'!$C:$FM,102)</f>
        <v>32.9</v>
      </c>
      <c r="C125" s="50">
        <f>VLOOKUP($A125,'Data shares'!$C:$FM,110)</f>
        <v>33.19</v>
      </c>
      <c r="D125" s="50">
        <f>VLOOKUP($A125,'Data shares'!$C:$FM,114)</f>
        <v>32.42</v>
      </c>
      <c r="E125" s="50">
        <f>VLOOKUP($A125,'Data shares'!$C:$FM,106)</f>
        <v>38.24</v>
      </c>
      <c r="F125" s="50">
        <f>VLOOKUP($A125,'Data shares'!$C:$FM,108)</f>
        <v>-5.34</v>
      </c>
      <c r="G125" s="50">
        <f t="shared" si="3"/>
        <v>0.86035564853556479</v>
      </c>
    </row>
    <row r="126" spans="1:7" x14ac:dyDescent="0.25">
      <c r="A126" s="49" t="str">
        <f>'Data shares'!C121</f>
        <v>LTIM</v>
      </c>
      <c r="B126" s="50">
        <f>VLOOKUP($A126,'Data shares'!$C:$FM,102)</f>
        <v>28.37</v>
      </c>
      <c r="C126" s="50">
        <f>VLOOKUP($A126,'Data shares'!$C:$FM,110)</f>
        <v>28.4</v>
      </c>
      <c r="D126" s="50">
        <f>VLOOKUP($A126,'Data shares'!$C:$FM,114)</f>
        <v>28.3</v>
      </c>
      <c r="E126" s="50">
        <f>VLOOKUP($A126,'Data shares'!$C:$FM,106)</f>
        <v>31.5</v>
      </c>
      <c r="F126" s="50">
        <f>VLOOKUP($A126,'Data shares'!$C:$FM,108)</f>
        <v>-3.13</v>
      </c>
      <c r="G126" s="50">
        <f t="shared" si="3"/>
        <v>0.90063492063492068</v>
      </c>
    </row>
    <row r="127" spans="1:7" x14ac:dyDescent="0.25">
      <c r="A127" s="49" t="str">
        <f>'Data shares'!C122</f>
        <v>LUPIN</v>
      </c>
      <c r="B127" s="50">
        <f>VLOOKUP($A127,'Data shares'!$C:$FM,102)</f>
        <v>22.54</v>
      </c>
      <c r="C127" s="50">
        <f>VLOOKUP($A127,'Data shares'!$C:$FM,110)</f>
        <v>22.35</v>
      </c>
      <c r="D127" s="50">
        <f>VLOOKUP($A127,'Data shares'!$C:$FM,114)</f>
        <v>23.07</v>
      </c>
      <c r="E127" s="50">
        <f>VLOOKUP($A127,'Data shares'!$C:$FM,106)</f>
        <v>30.05</v>
      </c>
      <c r="F127" s="50">
        <f>VLOOKUP($A127,'Data shares'!$C:$FM,108)</f>
        <v>-7.51</v>
      </c>
      <c r="G127" s="50">
        <f t="shared" si="3"/>
        <v>0.75008319467554074</v>
      </c>
    </row>
    <row r="128" spans="1:7" x14ac:dyDescent="0.25">
      <c r="A128" s="49" t="str">
        <f>'Data shares'!C123</f>
        <v>M&amp;M</v>
      </c>
      <c r="B128" s="50">
        <f>VLOOKUP($A128,'Data shares'!$C:$FM,102)</f>
        <v>20.58</v>
      </c>
      <c r="C128" s="50">
        <f>VLOOKUP($A128,'Data shares'!$C:$FM,110)</f>
        <v>20.45</v>
      </c>
      <c r="D128" s="50">
        <f>VLOOKUP($A128,'Data shares'!$C:$FM,114)</f>
        <v>20.79</v>
      </c>
      <c r="E128" s="50">
        <f>VLOOKUP($A128,'Data shares'!$C:$FM,106)</f>
        <v>31.39</v>
      </c>
      <c r="F128" s="50">
        <f>VLOOKUP($A128,'Data shares'!$C:$FM,108)</f>
        <v>-10.81</v>
      </c>
      <c r="G128" s="50">
        <f t="shared" si="3"/>
        <v>0.65562280981204202</v>
      </c>
    </row>
    <row r="129" spans="1:7" x14ac:dyDescent="0.25">
      <c r="A129" s="49" t="str">
        <f>'Data shares'!C124</f>
        <v>MANAPPURAM</v>
      </c>
      <c r="B129" s="50">
        <f>VLOOKUP($A129,'Data shares'!$C:$FM,102)</f>
        <v>32.57</v>
      </c>
      <c r="C129" s="50">
        <f>VLOOKUP($A129,'Data shares'!$C:$FM,110)</f>
        <v>32.54</v>
      </c>
      <c r="D129" s="50">
        <f>VLOOKUP($A129,'Data shares'!$C:$FM,114)</f>
        <v>32.75</v>
      </c>
      <c r="E129" s="50">
        <f>VLOOKUP($A129,'Data shares'!$C:$FM,106)</f>
        <v>40.71</v>
      </c>
      <c r="F129" s="50">
        <f>VLOOKUP($A129,'Data shares'!$C:$FM,108)</f>
        <v>-8.14</v>
      </c>
      <c r="G129" s="50">
        <f t="shared" si="3"/>
        <v>0.80004912797838368</v>
      </c>
    </row>
    <row r="130" spans="1:7" x14ac:dyDescent="0.25">
      <c r="A130" s="49" t="str">
        <f>'Data shares'!C125</f>
        <v>MANKIND</v>
      </c>
      <c r="B130" s="50">
        <f>VLOOKUP($A130,'Data shares'!$C:$FM,102)</f>
        <v>25.66</v>
      </c>
      <c r="C130" s="50">
        <f>VLOOKUP($A130,'Data shares'!$C:$FM,110)</f>
        <v>25.68</v>
      </c>
      <c r="D130" s="50">
        <f>VLOOKUP($A130,'Data shares'!$C:$FM,114)</f>
        <v>25.58</v>
      </c>
      <c r="E130" s="50">
        <f>VLOOKUP($A130,'Data shares'!$C:$FM,106)</f>
        <v>32.21</v>
      </c>
      <c r="F130" s="50">
        <f>VLOOKUP($A130,'Data shares'!$C:$FM,108)</f>
        <v>-6.55</v>
      </c>
      <c r="G130" s="50">
        <f t="shared" si="3"/>
        <v>0.79664700403601363</v>
      </c>
    </row>
    <row r="131" spans="1:7" x14ac:dyDescent="0.25">
      <c r="A131" s="49" t="str">
        <f>'Data shares'!C126</f>
        <v>MARICO</v>
      </c>
      <c r="B131" s="50">
        <f>VLOOKUP($A131,'Data shares'!$C:$FM,102)</f>
        <v>22.56</v>
      </c>
      <c r="C131" s="50">
        <f>VLOOKUP($A131,'Data shares'!$C:$FM,110)</f>
        <v>22.67</v>
      </c>
      <c r="D131" s="50">
        <f>VLOOKUP($A131,'Data shares'!$C:$FM,114)</f>
        <v>22.26</v>
      </c>
      <c r="E131" s="50">
        <f>VLOOKUP($A131,'Data shares'!$C:$FM,106)</f>
        <v>24.55</v>
      </c>
      <c r="F131" s="50">
        <f>VLOOKUP($A131,'Data shares'!$C:$FM,108)</f>
        <v>-1.99</v>
      </c>
      <c r="G131" s="50">
        <f t="shared" si="3"/>
        <v>0.91894093686354372</v>
      </c>
    </row>
    <row r="132" spans="1:7" x14ac:dyDescent="0.25">
      <c r="A132" s="49" t="str">
        <f>'Data shares'!C127</f>
        <v>MARUTI</v>
      </c>
      <c r="B132" s="50">
        <f>VLOOKUP($A132,'Data shares'!$C:$FM,102)</f>
        <v>18.8</v>
      </c>
      <c r="C132" s="50">
        <f>VLOOKUP($A132,'Data shares'!$C:$FM,110)</f>
        <v>18.14</v>
      </c>
      <c r="D132" s="50">
        <f>VLOOKUP($A132,'Data shares'!$C:$FM,114)</f>
        <v>19.39</v>
      </c>
      <c r="E132" s="50">
        <f>VLOOKUP($A132,'Data shares'!$C:$FM,106)</f>
        <v>24.36</v>
      </c>
      <c r="F132" s="50">
        <f>VLOOKUP($A132,'Data shares'!$C:$FM,108)</f>
        <v>-5.56</v>
      </c>
      <c r="G132" s="50">
        <f t="shared" si="3"/>
        <v>0.77175697865353043</v>
      </c>
    </row>
    <row r="133" spans="1:7" x14ac:dyDescent="0.25">
      <c r="A133" s="49" t="str">
        <f>'Data shares'!C128</f>
        <v>MAXHEALTH</v>
      </c>
      <c r="B133" s="50">
        <f>VLOOKUP($A133,'Data shares'!$C:$FM,102)</f>
        <v>25.43</v>
      </c>
      <c r="C133" s="50">
        <f>VLOOKUP($A133,'Data shares'!$C:$FM,110)</f>
        <v>25.51</v>
      </c>
      <c r="D133" s="50">
        <f>VLOOKUP($A133,'Data shares'!$C:$FM,114)</f>
        <v>25.26</v>
      </c>
      <c r="E133" s="50">
        <f>VLOOKUP($A133,'Data shares'!$C:$FM,106)</f>
        <v>38.47</v>
      </c>
      <c r="F133" s="50">
        <f>VLOOKUP($A133,'Data shares'!$C:$FM,108)</f>
        <v>-13.04</v>
      </c>
      <c r="G133" s="50">
        <f t="shared" si="3"/>
        <v>0.66103457239407326</v>
      </c>
    </row>
    <row r="134" spans="1:7" x14ac:dyDescent="0.25">
      <c r="A134" s="49" t="str">
        <f>'Data shares'!C129</f>
        <v>MAZDOCK</v>
      </c>
      <c r="B134" s="50">
        <f>VLOOKUP($A134,'Data shares'!$C:$FM,102)</f>
        <v>34.39</v>
      </c>
      <c r="C134" s="50">
        <f>VLOOKUP($A134,'Data shares'!$C:$FM,110)</f>
        <v>34.71</v>
      </c>
      <c r="D134" s="50">
        <f>VLOOKUP($A134,'Data shares'!$C:$FM,114)</f>
        <v>33.46</v>
      </c>
      <c r="E134" s="50">
        <f>VLOOKUP($A134,'Data shares'!$C:$FM,106)</f>
        <v>54.26</v>
      </c>
      <c r="F134" s="50">
        <f>VLOOKUP($A134,'Data shares'!$C:$FM,108)</f>
        <v>-19.87</v>
      </c>
      <c r="G134" s="50">
        <f t="shared" si="3"/>
        <v>0.63380022115739043</v>
      </c>
    </row>
    <row r="135" spans="1:7" x14ac:dyDescent="0.25">
      <c r="A135" s="49" t="str">
        <f>'Data shares'!C130</f>
        <v>MCX</v>
      </c>
      <c r="B135" s="50">
        <f>VLOOKUP($A135,'Data shares'!$C:$FM,102)</f>
        <v>31.98</v>
      </c>
      <c r="C135" s="50">
        <f>VLOOKUP($A135,'Data shares'!$C:$FM,110)</f>
        <v>31.54</v>
      </c>
      <c r="D135" s="50">
        <f>VLOOKUP($A135,'Data shares'!$C:$FM,114)</f>
        <v>32.950000000000003</v>
      </c>
      <c r="E135" s="50">
        <f>VLOOKUP($A135,'Data shares'!$C:$FM,106)</f>
        <v>44.71</v>
      </c>
      <c r="F135" s="50">
        <f>VLOOKUP($A135,'Data shares'!$C:$FM,108)</f>
        <v>-12.73</v>
      </c>
      <c r="G135" s="50">
        <f t="shared" ref="G135:G166" si="4">B135/E135</f>
        <v>0.71527622455826434</v>
      </c>
    </row>
    <row r="136" spans="1:7" x14ac:dyDescent="0.25">
      <c r="A136" s="49" t="str">
        <f>'Data shares'!C131</f>
        <v>MFSL</v>
      </c>
      <c r="B136" s="50">
        <f>VLOOKUP($A136,'Data shares'!$C:$FM,102)</f>
        <v>25.11</v>
      </c>
      <c r="C136" s="50">
        <f>VLOOKUP($A136,'Data shares'!$C:$FM,110)</f>
        <v>25.16</v>
      </c>
      <c r="D136" s="50">
        <f>VLOOKUP($A136,'Data shares'!$C:$FM,114)</f>
        <v>24.87</v>
      </c>
      <c r="E136" s="50">
        <f>VLOOKUP($A136,'Data shares'!$C:$FM,106)</f>
        <v>29.42</v>
      </c>
      <c r="F136" s="50">
        <f>VLOOKUP($A136,'Data shares'!$C:$FM,108)</f>
        <v>-4.3099999999999996</v>
      </c>
      <c r="G136" s="50">
        <f t="shared" si="4"/>
        <v>0.85350101971447989</v>
      </c>
    </row>
    <row r="137" spans="1:7" x14ac:dyDescent="0.25">
      <c r="A137" s="49" t="str">
        <f>'Data shares'!C132</f>
        <v>MIDCPNIFTY</v>
      </c>
      <c r="B137" s="50">
        <f>VLOOKUP($A137,'Data shares'!$C:$FM,102)</f>
        <v>14.89</v>
      </c>
      <c r="C137" s="50">
        <f>VLOOKUP($A137,'Data shares'!$C:$FM,110)</f>
        <v>13.97</v>
      </c>
      <c r="D137" s="50">
        <f>VLOOKUP($A137,'Data shares'!$C:$FM,114)</f>
        <v>15.74</v>
      </c>
      <c r="E137" s="50">
        <f>VLOOKUP($A137,'Data shares'!$C:$FM,106)</f>
        <v>21.39</v>
      </c>
      <c r="F137" s="50">
        <f>VLOOKUP($A137,'Data shares'!$C:$FM,108)</f>
        <v>-6.5</v>
      </c>
      <c r="G137" s="50">
        <f t="shared" si="4"/>
        <v>0.69611968209443664</v>
      </c>
    </row>
    <row r="138" spans="1:7" x14ac:dyDescent="0.25">
      <c r="A138" s="49" t="str">
        <f>'Data shares'!C133</f>
        <v>MOTHERSON</v>
      </c>
      <c r="B138" s="50">
        <f>VLOOKUP($A138,'Data shares'!$C:$FM,102)</f>
        <v>30.1</v>
      </c>
      <c r="C138" s="50">
        <f>VLOOKUP($A138,'Data shares'!$C:$FM,110)</f>
        <v>30.37</v>
      </c>
      <c r="D138" s="50">
        <f>VLOOKUP($A138,'Data shares'!$C:$FM,114)</f>
        <v>29.37</v>
      </c>
      <c r="E138" s="50">
        <f>VLOOKUP($A138,'Data shares'!$C:$FM,106)</f>
        <v>38.19</v>
      </c>
      <c r="F138" s="50">
        <f>VLOOKUP($A138,'Data shares'!$C:$FM,108)</f>
        <v>-8.09</v>
      </c>
      <c r="G138" s="50">
        <f t="shared" si="4"/>
        <v>0.78816444095312921</v>
      </c>
    </row>
    <row r="139" spans="1:7" x14ac:dyDescent="0.25">
      <c r="A139" s="49" t="str">
        <f>'Data shares'!C134</f>
        <v>MPHASIS</v>
      </c>
      <c r="B139" s="50">
        <f>VLOOKUP($A139,'Data shares'!$C:$FM,102)</f>
        <v>32.549999999999997</v>
      </c>
      <c r="C139" s="50">
        <f>VLOOKUP($A139,'Data shares'!$C:$FM,110)</f>
        <v>32.43</v>
      </c>
      <c r="D139" s="50">
        <f>VLOOKUP($A139,'Data shares'!$C:$FM,114)</f>
        <v>33.26</v>
      </c>
      <c r="E139" s="50">
        <f>VLOOKUP($A139,'Data shares'!$C:$FM,106)</f>
        <v>35.200000000000003</v>
      </c>
      <c r="F139" s="50">
        <f>VLOOKUP($A139,'Data shares'!$C:$FM,108)</f>
        <v>-2.65</v>
      </c>
      <c r="G139" s="50">
        <f t="shared" si="4"/>
        <v>0.92471590909090895</v>
      </c>
    </row>
    <row r="140" spans="1:7" x14ac:dyDescent="0.25">
      <c r="A140" s="49" t="str">
        <f>'Data shares'!C135</f>
        <v>MUTHOOTFIN</v>
      </c>
      <c r="B140" s="50">
        <f>VLOOKUP($A140,'Data shares'!$C:$FM,102)</f>
        <v>25.68</v>
      </c>
      <c r="C140" s="50">
        <f>VLOOKUP($A140,'Data shares'!$C:$FM,110)</f>
        <v>25.5</v>
      </c>
      <c r="D140" s="50">
        <f>VLOOKUP($A140,'Data shares'!$C:$FM,114)</f>
        <v>26.06</v>
      </c>
      <c r="E140" s="50">
        <f>VLOOKUP($A140,'Data shares'!$C:$FM,106)</f>
        <v>35.42</v>
      </c>
      <c r="F140" s="50">
        <f>VLOOKUP($A140,'Data shares'!$C:$FM,108)</f>
        <v>-9.74</v>
      </c>
      <c r="G140" s="50">
        <f t="shared" si="4"/>
        <v>0.72501411631846413</v>
      </c>
    </row>
    <row r="141" spans="1:7" x14ac:dyDescent="0.25">
      <c r="A141" s="49" t="str">
        <f>'Data shares'!C136</f>
        <v>NATIONALUM</v>
      </c>
      <c r="B141" s="50">
        <f>VLOOKUP($A141,'Data shares'!$C:$FM,102)</f>
        <v>37.99</v>
      </c>
      <c r="C141" s="50">
        <f>VLOOKUP($A141,'Data shares'!$C:$FM,110)</f>
        <v>37.61</v>
      </c>
      <c r="D141" s="50">
        <f>VLOOKUP($A141,'Data shares'!$C:$FM,114)</f>
        <v>38.86</v>
      </c>
      <c r="E141" s="50">
        <f>VLOOKUP($A141,'Data shares'!$C:$FM,106)</f>
        <v>46.8</v>
      </c>
      <c r="F141" s="50">
        <f>VLOOKUP($A141,'Data shares'!$C:$FM,108)</f>
        <v>-8.81</v>
      </c>
      <c r="G141" s="50">
        <f t="shared" si="4"/>
        <v>0.81175213675213687</v>
      </c>
    </row>
    <row r="142" spans="1:7" x14ac:dyDescent="0.25">
      <c r="A142" s="49" t="str">
        <f>'Data shares'!C137</f>
        <v>NAUKRI</v>
      </c>
      <c r="B142" s="50">
        <f>VLOOKUP($A142,'Data shares'!$C:$FM,102)</f>
        <v>29.72</v>
      </c>
      <c r="C142" s="50">
        <f>VLOOKUP($A142,'Data shares'!$C:$FM,110)</f>
        <v>30.08</v>
      </c>
      <c r="D142" s="50">
        <f>VLOOKUP($A142,'Data shares'!$C:$FM,114)</f>
        <v>28.13</v>
      </c>
      <c r="E142" s="50">
        <f>VLOOKUP($A142,'Data shares'!$C:$FM,106)</f>
        <v>35.619999999999997</v>
      </c>
      <c r="F142" s="50">
        <f>VLOOKUP($A142,'Data shares'!$C:$FM,108)</f>
        <v>-5.9</v>
      </c>
      <c r="G142" s="50">
        <f t="shared" si="4"/>
        <v>0.8343627175743964</v>
      </c>
    </row>
    <row r="143" spans="1:7" x14ac:dyDescent="0.25">
      <c r="A143" s="49" t="str">
        <f>'Data shares'!C138</f>
        <v>NBCC</v>
      </c>
      <c r="B143" s="50">
        <f>VLOOKUP($A143,'Data shares'!$C:$FM,102)</f>
        <v>33.840000000000003</v>
      </c>
      <c r="C143" s="50">
        <f>VLOOKUP($A143,'Data shares'!$C:$FM,110)</f>
        <v>34.61</v>
      </c>
      <c r="D143" s="50">
        <f>VLOOKUP($A143,'Data shares'!$C:$FM,114)</f>
        <v>32.06</v>
      </c>
      <c r="E143" s="50">
        <f>VLOOKUP($A143,'Data shares'!$C:$FM,106)</f>
        <v>50.57</v>
      </c>
      <c r="F143" s="50">
        <f>VLOOKUP($A143,'Data shares'!$C:$FM,108)</f>
        <v>-16.73</v>
      </c>
      <c r="G143" s="50">
        <f t="shared" si="4"/>
        <v>0.66917144552106</v>
      </c>
    </row>
    <row r="144" spans="1:7" x14ac:dyDescent="0.25">
      <c r="A144" s="49" t="str">
        <f>'Data shares'!C139</f>
        <v>NESTLEIND</v>
      </c>
      <c r="B144" s="50">
        <f>VLOOKUP($A144,'Data shares'!$C:$FM,102)</f>
        <v>18.75</v>
      </c>
      <c r="C144" s="50">
        <f>VLOOKUP($A144,'Data shares'!$C:$FM,110)</f>
        <v>18.41</v>
      </c>
      <c r="D144" s="50">
        <f>VLOOKUP($A144,'Data shares'!$C:$FM,114)</f>
        <v>19.399999999999999</v>
      </c>
      <c r="E144" s="50">
        <f>VLOOKUP($A144,'Data shares'!$C:$FM,106)</f>
        <v>22.75</v>
      </c>
      <c r="F144" s="50">
        <f>VLOOKUP($A144,'Data shares'!$C:$FM,108)</f>
        <v>-4</v>
      </c>
      <c r="G144" s="50">
        <f t="shared" si="4"/>
        <v>0.82417582417582413</v>
      </c>
    </row>
    <row r="145" spans="1:7" x14ac:dyDescent="0.25">
      <c r="A145" s="49" t="str">
        <f>'Data shares'!C140</f>
        <v>NHPC</v>
      </c>
      <c r="B145" s="50">
        <f>VLOOKUP($A145,'Data shares'!$C:$FM,102)</f>
        <v>26.83</v>
      </c>
      <c r="C145" s="50">
        <f>VLOOKUP($A145,'Data shares'!$C:$FM,110)</f>
        <v>26.97</v>
      </c>
      <c r="D145" s="50">
        <f>VLOOKUP($A145,'Data shares'!$C:$FM,114)</f>
        <v>26.47</v>
      </c>
      <c r="E145" s="50">
        <f>VLOOKUP($A145,'Data shares'!$C:$FM,106)</f>
        <v>36.450000000000003</v>
      </c>
      <c r="F145" s="50">
        <f>VLOOKUP($A145,'Data shares'!$C:$FM,108)</f>
        <v>-9.6199999999999992</v>
      </c>
      <c r="G145" s="50">
        <f t="shared" si="4"/>
        <v>0.7360768175582989</v>
      </c>
    </row>
    <row r="146" spans="1:7" x14ac:dyDescent="0.25">
      <c r="A146" s="49" t="str">
        <f>'Data shares'!C141</f>
        <v>NIFTY</v>
      </c>
      <c r="B146" s="50">
        <f>VLOOKUP($A146,'Data shares'!$C:$FM,102)</f>
        <v>8.0399999999999991</v>
      </c>
      <c r="C146" s="50">
        <f>VLOOKUP($A146,'Data shares'!$C:$FM,110)</f>
        <v>7.91</v>
      </c>
      <c r="D146" s="50">
        <f>VLOOKUP($A146,'Data shares'!$C:$FM,114)</f>
        <v>8.17</v>
      </c>
      <c r="E146" s="50">
        <f>VLOOKUP($A146,'Data shares'!$C:$FM,106)</f>
        <v>13.81</v>
      </c>
      <c r="F146" s="50">
        <f>VLOOKUP($A146,'Data shares'!$C:$FM,108)</f>
        <v>-5.77</v>
      </c>
      <c r="G146" s="50">
        <f t="shared" si="4"/>
        <v>0.58218682114409837</v>
      </c>
    </row>
    <row r="147" spans="1:7" x14ac:dyDescent="0.25">
      <c r="A147" s="49" t="str">
        <f>'Data shares'!C142</f>
        <v>NIFTYNXT50</v>
      </c>
      <c r="B147" s="50">
        <f>VLOOKUP($A147,'Data shares'!$C:$FM,102)</f>
        <v>12.25</v>
      </c>
      <c r="C147" s="50">
        <f>VLOOKUP($A147,'Data shares'!$C:$FM,110)</f>
        <v>11.48</v>
      </c>
      <c r="D147" s="50">
        <f>VLOOKUP($A147,'Data shares'!$C:$FM,114)</f>
        <v>12.9</v>
      </c>
      <c r="E147" s="50">
        <f>VLOOKUP($A147,'Data shares'!$C:$FM,106)</f>
        <v>19.440000000000001</v>
      </c>
      <c r="F147" s="50">
        <f>VLOOKUP($A147,'Data shares'!$C:$FM,108)</f>
        <v>-7.19</v>
      </c>
      <c r="G147" s="50">
        <f t="shared" si="4"/>
        <v>0.63014403292181065</v>
      </c>
    </row>
    <row r="148" spans="1:7" x14ac:dyDescent="0.25">
      <c r="A148" s="49" t="str">
        <f>'Data shares'!C143</f>
        <v>NMDC</v>
      </c>
      <c r="B148" s="50">
        <f>VLOOKUP($A148,'Data shares'!$C:$FM,102)</f>
        <v>28.71</v>
      </c>
      <c r="C148" s="50">
        <f>VLOOKUP($A148,'Data shares'!$C:$FM,110)</f>
        <v>28.62</v>
      </c>
      <c r="D148" s="50">
        <f>VLOOKUP($A148,'Data shares'!$C:$FM,114)</f>
        <v>29.02</v>
      </c>
      <c r="E148" s="50">
        <f>VLOOKUP($A148,'Data shares'!$C:$FM,106)</f>
        <v>37.130000000000003</v>
      </c>
      <c r="F148" s="50">
        <f>VLOOKUP($A148,'Data shares'!$C:$FM,108)</f>
        <v>-8.42</v>
      </c>
      <c r="G148" s="50">
        <f t="shared" si="4"/>
        <v>0.77322919472124962</v>
      </c>
    </row>
    <row r="149" spans="1:7" x14ac:dyDescent="0.25">
      <c r="A149" s="49" t="str">
        <f>'Data shares'!C144</f>
        <v>NTPC</v>
      </c>
      <c r="B149" s="50">
        <f>VLOOKUP($A149,'Data shares'!$C:$FM,102)</f>
        <v>17.46</v>
      </c>
      <c r="C149" s="50">
        <f>VLOOKUP($A149,'Data shares'!$C:$FM,110)</f>
        <v>17.260000000000002</v>
      </c>
      <c r="D149" s="50">
        <f>VLOOKUP($A149,'Data shares'!$C:$FM,114)</f>
        <v>17.899999999999999</v>
      </c>
      <c r="E149" s="50">
        <f>VLOOKUP($A149,'Data shares'!$C:$FM,106)</f>
        <v>26.79</v>
      </c>
      <c r="F149" s="50">
        <f>VLOOKUP($A149,'Data shares'!$C:$FM,108)</f>
        <v>-9.33</v>
      </c>
      <c r="G149" s="50">
        <f t="shared" si="4"/>
        <v>0.65173572228443455</v>
      </c>
    </row>
    <row r="150" spans="1:7" x14ac:dyDescent="0.25">
      <c r="A150" s="49" t="str">
        <f>'Data shares'!C145</f>
        <v>NUVAMA</v>
      </c>
      <c r="B150" s="50">
        <f>VLOOKUP($A150,'Data shares'!$C:$FM,102)</f>
        <v>30.39</v>
      </c>
      <c r="C150" s="50">
        <f>VLOOKUP($A150,'Data shares'!$C:$FM,110)</f>
        <v>30.3</v>
      </c>
      <c r="D150" s="50">
        <f>VLOOKUP($A150,'Data shares'!$C:$FM,114)</f>
        <v>30.87</v>
      </c>
      <c r="E150" s="50">
        <f>VLOOKUP($A150,'Data shares'!$C:$FM,106)</f>
        <v>48.1</v>
      </c>
      <c r="F150" s="50">
        <f>VLOOKUP($A150,'Data shares'!$C:$FM,108)</f>
        <v>-17.71</v>
      </c>
      <c r="G150" s="50">
        <f t="shared" si="4"/>
        <v>0.63180873180873176</v>
      </c>
    </row>
    <row r="151" spans="1:7" x14ac:dyDescent="0.25">
      <c r="A151" s="49" t="str">
        <f>'Data shares'!C146</f>
        <v>NYKAA</v>
      </c>
      <c r="B151" s="50">
        <f>VLOOKUP($A151,'Data shares'!$C:$FM,102)</f>
        <v>26.11</v>
      </c>
      <c r="C151" s="50">
        <f>VLOOKUP($A151,'Data shares'!$C:$FM,110)</f>
        <v>26.36</v>
      </c>
      <c r="D151" s="50">
        <f>VLOOKUP($A151,'Data shares'!$C:$FM,114)</f>
        <v>25.53</v>
      </c>
      <c r="E151" s="50">
        <f>VLOOKUP($A151,'Data shares'!$C:$FM,106)</f>
        <v>35.270000000000003</v>
      </c>
      <c r="F151" s="50">
        <f>VLOOKUP($A151,'Data shares'!$C:$FM,108)</f>
        <v>-9.16</v>
      </c>
      <c r="G151" s="50">
        <f t="shared" si="4"/>
        <v>0.74028919761837242</v>
      </c>
    </row>
    <row r="152" spans="1:7" x14ac:dyDescent="0.25">
      <c r="A152" s="49" t="str">
        <f>'Data shares'!C147</f>
        <v>OBEROIRLTY</v>
      </c>
      <c r="B152" s="50">
        <f>VLOOKUP($A152,'Data shares'!$C:$FM,102)</f>
        <v>29.96</v>
      </c>
      <c r="C152" s="50">
        <f>VLOOKUP($A152,'Data shares'!$C:$FM,110)</f>
        <v>29.84</v>
      </c>
      <c r="D152" s="50">
        <f>VLOOKUP($A152,'Data shares'!$C:$FM,114)</f>
        <v>30.27</v>
      </c>
      <c r="E152" s="50">
        <f>VLOOKUP($A152,'Data shares'!$C:$FM,106)</f>
        <v>36.1</v>
      </c>
      <c r="F152" s="50">
        <f>VLOOKUP($A152,'Data shares'!$C:$FM,108)</f>
        <v>-6.14</v>
      </c>
      <c r="G152" s="50">
        <f t="shared" si="4"/>
        <v>0.82991689750692521</v>
      </c>
    </row>
    <row r="153" spans="1:7" x14ac:dyDescent="0.25">
      <c r="A153" s="49" t="str">
        <f>'Data shares'!C148</f>
        <v>OFSS</v>
      </c>
      <c r="B153" s="50">
        <f>VLOOKUP($A153,'Data shares'!$C:$FM,102)</f>
        <v>33.6</v>
      </c>
      <c r="C153" s="50">
        <f>VLOOKUP($A153,'Data shares'!$C:$FM,110)</f>
        <v>33.340000000000003</v>
      </c>
      <c r="D153" s="50">
        <f>VLOOKUP($A153,'Data shares'!$C:$FM,114)</f>
        <v>34.659999999999997</v>
      </c>
      <c r="E153" s="50">
        <f>VLOOKUP($A153,'Data shares'!$C:$FM,106)</f>
        <v>38.14</v>
      </c>
      <c r="F153" s="50">
        <f>VLOOKUP($A153,'Data shares'!$C:$FM,108)</f>
        <v>-4.54</v>
      </c>
      <c r="G153" s="50">
        <f t="shared" si="4"/>
        <v>0.88096486628211856</v>
      </c>
    </row>
    <row r="154" spans="1:7" x14ac:dyDescent="0.25">
      <c r="A154" s="49" t="str">
        <f>'Data shares'!C149</f>
        <v>OIL</v>
      </c>
      <c r="B154" s="50">
        <f>VLOOKUP($A154,'Data shares'!$C:$FM,102)</f>
        <v>26.93</v>
      </c>
      <c r="C154" s="50">
        <f>VLOOKUP($A154,'Data shares'!$C:$FM,110)</f>
        <v>26.74</v>
      </c>
      <c r="D154" s="50">
        <f>VLOOKUP($A154,'Data shares'!$C:$FM,114)</f>
        <v>27.08</v>
      </c>
      <c r="E154" s="50">
        <f>VLOOKUP($A154,'Data shares'!$C:$FM,106)</f>
        <v>40.479999999999997</v>
      </c>
      <c r="F154" s="50">
        <f>VLOOKUP($A154,'Data shares'!$C:$FM,108)</f>
        <v>-13.55</v>
      </c>
      <c r="G154" s="50">
        <f t="shared" si="4"/>
        <v>0.6652667984189724</v>
      </c>
    </row>
    <row r="155" spans="1:7" x14ac:dyDescent="0.25">
      <c r="A155" s="49" t="str">
        <f>'Data shares'!C150</f>
        <v>ONGC</v>
      </c>
      <c r="B155" s="50">
        <f>VLOOKUP($A155,'Data shares'!$C:$FM,102)</f>
        <v>19.34</v>
      </c>
      <c r="C155" s="50">
        <f>VLOOKUP($A155,'Data shares'!$C:$FM,110)</f>
        <v>19.28</v>
      </c>
      <c r="D155" s="50">
        <f>VLOOKUP($A155,'Data shares'!$C:$FM,114)</f>
        <v>19.420000000000002</v>
      </c>
      <c r="E155" s="50">
        <f>VLOOKUP($A155,'Data shares'!$C:$FM,106)</f>
        <v>29.47</v>
      </c>
      <c r="F155" s="50">
        <f>VLOOKUP($A155,'Data shares'!$C:$FM,108)</f>
        <v>-10.130000000000001</v>
      </c>
      <c r="G155" s="50">
        <f t="shared" si="4"/>
        <v>0.65626060400407193</v>
      </c>
    </row>
    <row r="156" spans="1:7" x14ac:dyDescent="0.25">
      <c r="A156" s="49" t="str">
        <f>'Data shares'!C151</f>
        <v>PAGEIND</v>
      </c>
      <c r="B156" s="50">
        <f>VLOOKUP($A156,'Data shares'!$C:$FM,102)</f>
        <v>25.36</v>
      </c>
      <c r="C156" s="50">
        <f>VLOOKUP($A156,'Data shares'!$C:$FM,110)</f>
        <v>25.53</v>
      </c>
      <c r="D156" s="50">
        <f>VLOOKUP($A156,'Data shares'!$C:$FM,114)</f>
        <v>24.57</v>
      </c>
      <c r="E156" s="50">
        <f>VLOOKUP($A156,'Data shares'!$C:$FM,106)</f>
        <v>27.42</v>
      </c>
      <c r="F156" s="50">
        <f>VLOOKUP($A156,'Data shares'!$C:$FM,108)</f>
        <v>-2.06</v>
      </c>
      <c r="G156" s="50">
        <f t="shared" si="4"/>
        <v>0.92487235594456596</v>
      </c>
    </row>
    <row r="157" spans="1:7" x14ac:dyDescent="0.25">
      <c r="A157" s="49" t="str">
        <f>'Data shares'!C152</f>
        <v>PATANJALI</v>
      </c>
      <c r="B157" s="50">
        <f>VLOOKUP($A157,'Data shares'!$C:$FM,102)</f>
        <v>30.48</v>
      </c>
      <c r="C157" s="50">
        <f>VLOOKUP($A157,'Data shares'!$C:$FM,110)</f>
        <v>30.55</v>
      </c>
      <c r="D157" s="50">
        <f>VLOOKUP($A157,'Data shares'!$C:$FM,114)</f>
        <v>30.33</v>
      </c>
      <c r="E157" s="50">
        <f>VLOOKUP($A157,'Data shares'!$C:$FM,106)</f>
        <v>32.83</v>
      </c>
      <c r="F157" s="50">
        <f>VLOOKUP($A157,'Data shares'!$C:$FM,108)</f>
        <v>-2.35</v>
      </c>
      <c r="G157" s="50">
        <f t="shared" si="4"/>
        <v>0.9284191288455681</v>
      </c>
    </row>
    <row r="158" spans="1:7" x14ac:dyDescent="0.25">
      <c r="A158" s="49" t="str">
        <f>'Data shares'!C153</f>
        <v>PAYTM</v>
      </c>
      <c r="B158" s="50">
        <f>VLOOKUP($A158,'Data shares'!$C:$FM,102)</f>
        <v>31.9</v>
      </c>
      <c r="C158" s="50">
        <f>VLOOKUP($A158,'Data shares'!$C:$FM,110)</f>
        <v>31.88</v>
      </c>
      <c r="D158" s="50">
        <f>VLOOKUP($A158,'Data shares'!$C:$FM,114)</f>
        <v>31.95</v>
      </c>
      <c r="E158" s="50">
        <f>VLOOKUP($A158,'Data shares'!$C:$FM,106)</f>
        <v>51.09</v>
      </c>
      <c r="F158" s="50">
        <f>VLOOKUP($A158,'Data shares'!$C:$FM,108)</f>
        <v>-19.190000000000001</v>
      </c>
      <c r="G158" s="50">
        <f t="shared" si="4"/>
        <v>0.62438833431199836</v>
      </c>
    </row>
    <row r="159" spans="1:7" x14ac:dyDescent="0.25">
      <c r="A159" s="49" t="str">
        <f>'Data shares'!C154</f>
        <v>PERSISTENT</v>
      </c>
      <c r="B159" s="50">
        <f>VLOOKUP($A159,'Data shares'!$C:$FM,102)</f>
        <v>35.07</v>
      </c>
      <c r="C159" s="50">
        <f>VLOOKUP($A159,'Data shares'!$C:$FM,110)</f>
        <v>34.770000000000003</v>
      </c>
      <c r="D159" s="50">
        <f>VLOOKUP($A159,'Data shares'!$C:$FM,114)</f>
        <v>35.94</v>
      </c>
      <c r="E159" s="50">
        <f>VLOOKUP($A159,'Data shares'!$C:$FM,106)</f>
        <v>39.729999999999997</v>
      </c>
      <c r="F159" s="50">
        <f>VLOOKUP($A159,'Data shares'!$C:$FM,108)</f>
        <v>-4.66</v>
      </c>
      <c r="G159" s="50">
        <f t="shared" si="4"/>
        <v>0.88270828089604836</v>
      </c>
    </row>
    <row r="160" spans="1:7" x14ac:dyDescent="0.25">
      <c r="A160" s="49" t="str">
        <f>'Data shares'!C155</f>
        <v>PETRONET</v>
      </c>
      <c r="B160" s="50">
        <f>VLOOKUP($A160,'Data shares'!$C:$FM,102)</f>
        <v>22.19</v>
      </c>
      <c r="C160" s="50">
        <f>VLOOKUP($A160,'Data shares'!$C:$FM,110)</f>
        <v>21.9</v>
      </c>
      <c r="D160" s="50">
        <f>VLOOKUP($A160,'Data shares'!$C:$FM,114)</f>
        <v>23.11</v>
      </c>
      <c r="E160" s="50">
        <f>VLOOKUP($A160,'Data shares'!$C:$FM,106)</f>
        <v>30.68</v>
      </c>
      <c r="F160" s="50">
        <f>VLOOKUP($A160,'Data shares'!$C:$FM,108)</f>
        <v>-8.49</v>
      </c>
      <c r="G160" s="50">
        <f t="shared" si="4"/>
        <v>0.72327249022164286</v>
      </c>
    </row>
    <row r="161" spans="1:7" x14ac:dyDescent="0.25">
      <c r="A161" s="49" t="str">
        <f>'Data shares'!C156</f>
        <v>PFC</v>
      </c>
      <c r="B161" s="50">
        <f>VLOOKUP($A161,'Data shares'!$C:$FM,102)</f>
        <v>25.17</v>
      </c>
      <c r="C161" s="50">
        <f>VLOOKUP($A161,'Data shares'!$C:$FM,110)</f>
        <v>25.46</v>
      </c>
      <c r="D161" s="50">
        <f>VLOOKUP($A161,'Data shares'!$C:$FM,114)</f>
        <v>24.48</v>
      </c>
      <c r="E161" s="50">
        <f>VLOOKUP($A161,'Data shares'!$C:$FM,106)</f>
        <v>40.75</v>
      </c>
      <c r="F161" s="50">
        <f>VLOOKUP($A161,'Data shares'!$C:$FM,108)</f>
        <v>-15.58</v>
      </c>
      <c r="G161" s="50">
        <f t="shared" si="4"/>
        <v>0.61766871165644177</v>
      </c>
    </row>
    <row r="162" spans="1:7" x14ac:dyDescent="0.25">
      <c r="A162" s="49" t="str">
        <f>'Data shares'!C157</f>
        <v>PGEL</v>
      </c>
      <c r="B162" s="50">
        <f>VLOOKUP($A162,'Data shares'!$C:$FM,102)</f>
        <v>38.64</v>
      </c>
      <c r="C162" s="50">
        <f>VLOOKUP($A162,'Data shares'!$C:$FM,110)</f>
        <v>38.75</v>
      </c>
      <c r="D162" s="50">
        <f>VLOOKUP($A162,'Data shares'!$C:$FM,114)</f>
        <v>38.32</v>
      </c>
      <c r="E162" s="50">
        <f>VLOOKUP($A162,'Data shares'!$C:$FM,106)</f>
        <v>64.77</v>
      </c>
      <c r="F162" s="50">
        <f>VLOOKUP($A162,'Data shares'!$C:$FM,108)</f>
        <v>-26.13</v>
      </c>
      <c r="G162" s="50">
        <f t="shared" si="4"/>
        <v>0.59657248726262158</v>
      </c>
    </row>
    <row r="163" spans="1:7" x14ac:dyDescent="0.25">
      <c r="A163" s="49" t="str">
        <f>'Data shares'!C158</f>
        <v>PHOENIXLTD</v>
      </c>
      <c r="B163" s="50">
        <f>VLOOKUP($A163,'Data shares'!$C:$FM,102)</f>
        <v>25.68</v>
      </c>
      <c r="C163" s="50">
        <f>VLOOKUP($A163,'Data shares'!$C:$FM,110)</f>
        <v>25.76</v>
      </c>
      <c r="D163" s="50">
        <f>VLOOKUP($A163,'Data shares'!$C:$FM,114)</f>
        <v>25.54</v>
      </c>
      <c r="E163" s="50">
        <f>VLOOKUP($A163,'Data shares'!$C:$FM,106)</f>
        <v>40.07</v>
      </c>
      <c r="F163" s="50">
        <f>VLOOKUP($A163,'Data shares'!$C:$FM,108)</f>
        <v>-14.39</v>
      </c>
      <c r="G163" s="50">
        <f t="shared" si="4"/>
        <v>0.64087846269029203</v>
      </c>
    </row>
    <row r="164" spans="1:7" x14ac:dyDescent="0.25">
      <c r="A164" s="49" t="str">
        <f>'Data shares'!C159</f>
        <v>PIDILITIND</v>
      </c>
      <c r="B164" s="50">
        <f>VLOOKUP($A164,'Data shares'!$C:$FM,102)</f>
        <v>19.41</v>
      </c>
      <c r="C164" s="50">
        <f>VLOOKUP($A164,'Data shares'!$C:$FM,110)</f>
        <v>19.25</v>
      </c>
      <c r="D164" s="50">
        <f>VLOOKUP($A164,'Data shares'!$C:$FM,114)</f>
        <v>20.09</v>
      </c>
      <c r="E164" s="50">
        <f>VLOOKUP($A164,'Data shares'!$C:$FM,106)</f>
        <v>21.13</v>
      </c>
      <c r="F164" s="50">
        <f>VLOOKUP($A164,'Data shares'!$C:$FM,108)</f>
        <v>-1.72</v>
      </c>
      <c r="G164" s="50">
        <f t="shared" si="4"/>
        <v>0.91859914813062005</v>
      </c>
    </row>
    <row r="165" spans="1:7" x14ac:dyDescent="0.25">
      <c r="A165" s="49" t="str">
        <f>'Data shares'!C160</f>
        <v>PIIND</v>
      </c>
      <c r="B165" s="50">
        <f>VLOOKUP($A165,'Data shares'!$C:$FM,102)</f>
        <v>22.74</v>
      </c>
      <c r="C165" s="50">
        <f>VLOOKUP($A165,'Data shares'!$C:$FM,110)</f>
        <v>22.76</v>
      </c>
      <c r="D165" s="50">
        <f>VLOOKUP($A165,'Data shares'!$C:$FM,114)</f>
        <v>22.64</v>
      </c>
      <c r="E165" s="50">
        <f>VLOOKUP($A165,'Data shares'!$C:$FM,106)</f>
        <v>28.69</v>
      </c>
      <c r="F165" s="50">
        <f>VLOOKUP($A165,'Data shares'!$C:$FM,108)</f>
        <v>-5.95</v>
      </c>
      <c r="G165" s="50">
        <f t="shared" si="4"/>
        <v>0.79261066573719052</v>
      </c>
    </row>
    <row r="166" spans="1:7" x14ac:dyDescent="0.25">
      <c r="A166" s="49" t="str">
        <f>'Data shares'!C161</f>
        <v>PNB</v>
      </c>
      <c r="B166" s="50">
        <f>VLOOKUP($A166,'Data shares'!$C:$FM,102)</f>
        <v>26.12</v>
      </c>
      <c r="C166" s="50">
        <f>VLOOKUP($A166,'Data shares'!$C:$FM,110)</f>
        <v>25.73</v>
      </c>
      <c r="D166" s="50">
        <f>VLOOKUP($A166,'Data shares'!$C:$FM,114)</f>
        <v>26.6</v>
      </c>
      <c r="E166" s="50">
        <f>VLOOKUP($A166,'Data shares'!$C:$FM,106)</f>
        <v>34.869999999999997</v>
      </c>
      <c r="F166" s="50">
        <f>VLOOKUP($A166,'Data shares'!$C:$FM,108)</f>
        <v>-8.75</v>
      </c>
      <c r="G166" s="50">
        <f t="shared" si="4"/>
        <v>0.749067966733582</v>
      </c>
    </row>
    <row r="167" spans="1:7" x14ac:dyDescent="0.25">
      <c r="A167" s="49" t="str">
        <f>'Data shares'!C162</f>
        <v>PNBHOUSING</v>
      </c>
      <c r="B167" s="50">
        <f>VLOOKUP($A167,'Data shares'!$C:$FM,102)</f>
        <v>27.6</v>
      </c>
      <c r="C167" s="50">
        <f>VLOOKUP($A167,'Data shares'!$C:$FM,110)</f>
        <v>27.24</v>
      </c>
      <c r="D167" s="50">
        <f>VLOOKUP($A167,'Data shares'!$C:$FM,114)</f>
        <v>28.18</v>
      </c>
      <c r="E167" s="50">
        <f>VLOOKUP($A167,'Data shares'!$C:$FM,106)</f>
        <v>45.7</v>
      </c>
      <c r="F167" s="50">
        <f>VLOOKUP($A167,'Data shares'!$C:$FM,108)</f>
        <v>-18.100000000000001</v>
      </c>
      <c r="G167" s="50">
        <f t="shared" ref="G167:G189" si="5">B167/E167</f>
        <v>0.60393873085339167</v>
      </c>
    </row>
    <row r="168" spans="1:7" x14ac:dyDescent="0.25">
      <c r="A168" s="49" t="str">
        <f>'Data shares'!C163</f>
        <v>POLICYBZR</v>
      </c>
      <c r="B168" s="50">
        <f>VLOOKUP($A168,'Data shares'!$C:$FM,102)</f>
        <v>32.03</v>
      </c>
      <c r="C168" s="50">
        <f>VLOOKUP($A168,'Data shares'!$C:$FM,110)</f>
        <v>31.99</v>
      </c>
      <c r="D168" s="50">
        <f>VLOOKUP($A168,'Data shares'!$C:$FM,114)</f>
        <v>32.1</v>
      </c>
      <c r="E168" s="50">
        <f>VLOOKUP($A168,'Data shares'!$C:$FM,106)</f>
        <v>46.1</v>
      </c>
      <c r="F168" s="50">
        <f>VLOOKUP($A168,'Data shares'!$C:$FM,108)</f>
        <v>-14.07</v>
      </c>
      <c r="G168" s="50">
        <f t="shared" si="5"/>
        <v>0.69479392624728853</v>
      </c>
    </row>
    <row r="169" spans="1:7" x14ac:dyDescent="0.25">
      <c r="A169" s="49" t="str">
        <f>'Data shares'!C164</f>
        <v>POLYCAB</v>
      </c>
      <c r="B169" s="50">
        <f>VLOOKUP($A169,'Data shares'!$C:$FM,102)</f>
        <v>31.44</v>
      </c>
      <c r="C169" s="50">
        <f>VLOOKUP($A169,'Data shares'!$C:$FM,110)</f>
        <v>31.38</v>
      </c>
      <c r="D169" s="50">
        <f>VLOOKUP($A169,'Data shares'!$C:$FM,114)</f>
        <v>31.61</v>
      </c>
      <c r="E169" s="50">
        <f>VLOOKUP($A169,'Data shares'!$C:$FM,106)</f>
        <v>38.29</v>
      </c>
      <c r="F169" s="50">
        <f>VLOOKUP($A169,'Data shares'!$C:$FM,108)</f>
        <v>-6.85</v>
      </c>
      <c r="G169" s="50">
        <f t="shared" si="5"/>
        <v>0.82110211543483946</v>
      </c>
    </row>
    <row r="170" spans="1:7" x14ac:dyDescent="0.25">
      <c r="A170" s="49" t="str">
        <f>'Data shares'!C165</f>
        <v>POWERGRID</v>
      </c>
      <c r="B170" s="50">
        <f>VLOOKUP($A170,'Data shares'!$C:$FM,102)</f>
        <v>20.9</v>
      </c>
      <c r="C170" s="50">
        <f>VLOOKUP($A170,'Data shares'!$C:$FM,110)</f>
        <v>21.3</v>
      </c>
      <c r="D170" s="50">
        <f>VLOOKUP($A170,'Data shares'!$C:$FM,114)</f>
        <v>19.88</v>
      </c>
      <c r="E170" s="50">
        <f>VLOOKUP($A170,'Data shares'!$C:$FM,106)</f>
        <v>27.5</v>
      </c>
      <c r="F170" s="50">
        <f>VLOOKUP($A170,'Data shares'!$C:$FM,108)</f>
        <v>-6.6</v>
      </c>
      <c r="G170" s="50">
        <f t="shared" si="5"/>
        <v>0.7599999999999999</v>
      </c>
    </row>
    <row r="171" spans="1:7" x14ac:dyDescent="0.25">
      <c r="A171" s="49" t="str">
        <f>'Data shares'!C166</f>
        <v>POWERINDIA</v>
      </c>
      <c r="B171" s="50">
        <f>VLOOKUP($A171,'Data shares'!$C:$FM,102)</f>
        <v>37.369999999999997</v>
      </c>
      <c r="C171" s="50">
        <f>VLOOKUP($A171,'Data shares'!$C:$FM,110)</f>
        <v>37.17</v>
      </c>
      <c r="D171" s="50">
        <f>VLOOKUP($A171,'Data shares'!$C:$FM,114)</f>
        <v>38.47</v>
      </c>
      <c r="E171" s="50">
        <f>VLOOKUP($A171,'Data shares'!$C:$FM,106)</f>
        <v>57.13</v>
      </c>
      <c r="F171" s="50">
        <f>VLOOKUP($A171,'Data shares'!$C:$FM,108)</f>
        <v>-19.760000000000002</v>
      </c>
      <c r="G171" s="50">
        <f t="shared" si="5"/>
        <v>0.65412217748993517</v>
      </c>
    </row>
    <row r="172" spans="1:7" x14ac:dyDescent="0.25">
      <c r="A172" s="49" t="str">
        <f>'Data shares'!C167</f>
        <v>PPLPHARMA</v>
      </c>
      <c r="B172" s="50">
        <f>VLOOKUP($A172,'Data shares'!$C:$FM,102)</f>
        <v>32.49</v>
      </c>
      <c r="C172" s="50">
        <f>VLOOKUP($A172,'Data shares'!$C:$FM,110)</f>
        <v>32.49</v>
      </c>
      <c r="D172" s="50">
        <f>VLOOKUP($A172,'Data shares'!$C:$FM,114)</f>
        <v>32.53</v>
      </c>
      <c r="E172" s="50">
        <f>VLOOKUP($A172,'Data shares'!$C:$FM,106)</f>
        <v>43.26</v>
      </c>
      <c r="F172" s="50">
        <f>VLOOKUP($A172,'Data shares'!$C:$FM,108)</f>
        <v>-10.77</v>
      </c>
      <c r="G172" s="50">
        <f t="shared" si="5"/>
        <v>0.75104022191400843</v>
      </c>
    </row>
    <row r="173" spans="1:7" x14ac:dyDescent="0.25">
      <c r="A173" s="49" t="str">
        <f>'Data shares'!C168</f>
        <v>PREMIERENE</v>
      </c>
      <c r="B173" s="50">
        <f>VLOOKUP($A173,'Data shares'!$C:$FM,102)</f>
        <v>45.14</v>
      </c>
      <c r="C173" s="50">
        <f>VLOOKUP($A173,'Data shares'!$C:$FM,110)</f>
        <v>45.04</v>
      </c>
      <c r="D173" s="50">
        <f>VLOOKUP($A173,'Data shares'!$C:$FM,114)</f>
        <v>45.31</v>
      </c>
      <c r="E173" s="50">
        <f>VLOOKUP($A173,'Data shares'!$C:$FM,106)</f>
        <v>45.71</v>
      </c>
      <c r="F173" s="50">
        <f>VLOOKUP($A173,'Data shares'!$C:$FM,108)</f>
        <v>-0.56999999999999995</v>
      </c>
      <c r="G173" s="50">
        <f t="shared" si="5"/>
        <v>0.98753008094508865</v>
      </c>
    </row>
    <row r="174" spans="1:7" x14ac:dyDescent="0.25">
      <c r="A174" s="49" t="str">
        <f>'Data shares'!C169</f>
        <v>PRESTIGE</v>
      </c>
      <c r="B174" s="50">
        <f>VLOOKUP($A174,'Data shares'!$C:$FM,102)</f>
        <v>30.66</v>
      </c>
      <c r="C174" s="50">
        <f>VLOOKUP($A174,'Data shares'!$C:$FM,110)</f>
        <v>30.83</v>
      </c>
      <c r="D174" s="50">
        <f>VLOOKUP($A174,'Data shares'!$C:$FM,114)</f>
        <v>30.3</v>
      </c>
      <c r="E174" s="50">
        <f>VLOOKUP($A174,'Data shares'!$C:$FM,106)</f>
        <v>43.77</v>
      </c>
      <c r="F174" s="50">
        <f>VLOOKUP($A174,'Data shares'!$C:$FM,108)</f>
        <v>-13.11</v>
      </c>
      <c r="G174" s="50">
        <f t="shared" si="5"/>
        <v>0.70047978067169292</v>
      </c>
    </row>
    <row r="175" spans="1:7" x14ac:dyDescent="0.25">
      <c r="A175" s="49" t="str">
        <f>'Data shares'!C170</f>
        <v>RBLBANK</v>
      </c>
      <c r="B175" s="50">
        <f>VLOOKUP($A175,'Data shares'!$C:$FM,102)</f>
        <v>30.42</v>
      </c>
      <c r="C175" s="50">
        <f>VLOOKUP($A175,'Data shares'!$C:$FM,110)</f>
        <v>30.12</v>
      </c>
      <c r="D175" s="50">
        <f>VLOOKUP($A175,'Data shares'!$C:$FM,114)</f>
        <v>30.93</v>
      </c>
      <c r="E175" s="50">
        <f>VLOOKUP($A175,'Data shares'!$C:$FM,106)</f>
        <v>43.55</v>
      </c>
      <c r="F175" s="50">
        <f>VLOOKUP($A175,'Data shares'!$C:$FM,108)</f>
        <v>-13.13</v>
      </c>
      <c r="G175" s="50">
        <f t="shared" si="5"/>
        <v>0.69850746268656727</v>
      </c>
    </row>
    <row r="176" spans="1:7" x14ac:dyDescent="0.25">
      <c r="A176" s="49" t="str">
        <f>'Data shares'!C171</f>
        <v>RECLTD</v>
      </c>
      <c r="B176" s="50">
        <f>VLOOKUP($A176,'Data shares'!$C:$FM,102)</f>
        <v>27.05</v>
      </c>
      <c r="C176" s="50">
        <f>VLOOKUP($A176,'Data shares'!$C:$FM,110)</f>
        <v>26.98</v>
      </c>
      <c r="D176" s="50">
        <f>VLOOKUP($A176,'Data shares'!$C:$FM,114)</f>
        <v>27.2</v>
      </c>
      <c r="E176" s="50">
        <f>VLOOKUP($A176,'Data shares'!$C:$FM,106)</f>
        <v>41.44</v>
      </c>
      <c r="F176" s="50">
        <f>VLOOKUP($A176,'Data shares'!$C:$FM,108)</f>
        <v>-14.39</v>
      </c>
      <c r="G176" s="50">
        <f t="shared" si="5"/>
        <v>0.65275096525096532</v>
      </c>
    </row>
    <row r="177" spans="1:7" x14ac:dyDescent="0.25">
      <c r="A177" s="49" t="str">
        <f>'Data shares'!C172</f>
        <v>RELIANCE</v>
      </c>
      <c r="B177" s="50">
        <f>VLOOKUP($A177,'Data shares'!$C:$FM,102)</f>
        <v>21.34</v>
      </c>
      <c r="C177" s="50">
        <f>VLOOKUP($A177,'Data shares'!$C:$FM,110)</f>
        <v>21.06</v>
      </c>
      <c r="D177" s="50">
        <f>VLOOKUP($A177,'Data shares'!$C:$FM,114)</f>
        <v>21.84</v>
      </c>
      <c r="E177" s="50">
        <f>VLOOKUP($A177,'Data shares'!$C:$FM,106)</f>
        <v>23.73</v>
      </c>
      <c r="F177" s="50">
        <f>VLOOKUP($A177,'Data shares'!$C:$FM,108)</f>
        <v>-2.39</v>
      </c>
      <c r="G177" s="50">
        <f t="shared" si="5"/>
        <v>0.89928360724820899</v>
      </c>
    </row>
    <row r="178" spans="1:7" x14ac:dyDescent="0.25">
      <c r="A178" s="49" t="str">
        <f>'Data shares'!C173</f>
        <v>RVNL</v>
      </c>
      <c r="B178" s="50">
        <f>VLOOKUP($A178,'Data shares'!$C:$FM,102)</f>
        <v>47.37</v>
      </c>
      <c r="C178" s="50">
        <f>VLOOKUP($A178,'Data shares'!$C:$FM,110)</f>
        <v>47.82</v>
      </c>
      <c r="D178" s="50">
        <f>VLOOKUP($A178,'Data shares'!$C:$FM,114)</f>
        <v>45.86</v>
      </c>
      <c r="E178" s="50">
        <f>VLOOKUP($A178,'Data shares'!$C:$FM,106)</f>
        <v>55.77</v>
      </c>
      <c r="F178" s="50">
        <f>VLOOKUP($A178,'Data shares'!$C:$FM,108)</f>
        <v>-8.4</v>
      </c>
      <c r="G178" s="50">
        <f t="shared" si="5"/>
        <v>0.84938138784292616</v>
      </c>
    </row>
    <row r="179" spans="1:7" x14ac:dyDescent="0.25">
      <c r="A179" s="49" t="str">
        <f>'Data shares'!C174</f>
        <v>SAIL</v>
      </c>
      <c r="B179" s="50">
        <f>VLOOKUP($A179,'Data shares'!$C:$FM,102)</f>
        <v>31.87</v>
      </c>
      <c r="C179" s="50">
        <f>VLOOKUP($A179,'Data shares'!$C:$FM,110)</f>
        <v>31.1</v>
      </c>
      <c r="D179" s="50">
        <f>VLOOKUP($A179,'Data shares'!$C:$FM,114)</f>
        <v>32.68</v>
      </c>
      <c r="E179" s="50">
        <f>VLOOKUP($A179,'Data shares'!$C:$FM,106)</f>
        <v>43.42</v>
      </c>
      <c r="F179" s="50">
        <f>VLOOKUP($A179,'Data shares'!$C:$FM,108)</f>
        <v>-11.55</v>
      </c>
      <c r="G179" s="50">
        <f t="shared" si="5"/>
        <v>0.73399355135882083</v>
      </c>
    </row>
    <row r="180" spans="1:7" x14ac:dyDescent="0.25">
      <c r="A180" s="49" t="str">
        <f>'Data shares'!C175</f>
        <v>SAMMAANCAP</v>
      </c>
      <c r="B180" s="50">
        <f>VLOOKUP($A180,'Data shares'!$C:$FM,102)</f>
        <v>36.07</v>
      </c>
      <c r="C180" s="50">
        <f>VLOOKUP($A180,'Data shares'!$C:$FM,110)</f>
        <v>34.869999999999997</v>
      </c>
      <c r="D180" s="50">
        <f>VLOOKUP($A180,'Data shares'!$C:$FM,114)</f>
        <v>38.33</v>
      </c>
      <c r="E180" s="50">
        <f>VLOOKUP($A180,'Data shares'!$C:$FM,106)</f>
        <v>56.15</v>
      </c>
      <c r="F180" s="50">
        <f>VLOOKUP($A180,'Data shares'!$C:$FM,108)</f>
        <v>-20.079999999999998</v>
      </c>
      <c r="G180" s="50">
        <f t="shared" si="5"/>
        <v>0.64238646482635797</v>
      </c>
    </row>
    <row r="181" spans="1:7" x14ac:dyDescent="0.25">
      <c r="A181" s="49" t="str">
        <f>'Data shares'!C176</f>
        <v>SBICARD</v>
      </c>
      <c r="B181" s="50">
        <f>VLOOKUP($A181,'Data shares'!$C:$FM,102)</f>
        <v>28.51</v>
      </c>
      <c r="C181" s="50">
        <f>VLOOKUP($A181,'Data shares'!$C:$FM,110)</f>
        <v>28.65</v>
      </c>
      <c r="D181" s="50">
        <f>VLOOKUP($A181,'Data shares'!$C:$FM,114)</f>
        <v>28.21</v>
      </c>
      <c r="E181" s="50">
        <f>VLOOKUP($A181,'Data shares'!$C:$FM,106)</f>
        <v>29.37</v>
      </c>
      <c r="F181" s="50">
        <f>VLOOKUP($A181,'Data shares'!$C:$FM,108)</f>
        <v>-0.86</v>
      </c>
      <c r="G181" s="50">
        <f t="shared" si="5"/>
        <v>0.97071842015662246</v>
      </c>
    </row>
    <row r="182" spans="1:7" x14ac:dyDescent="0.25">
      <c r="A182" s="49" t="str">
        <f>'Data shares'!C177</f>
        <v>SBILIFE</v>
      </c>
      <c r="B182" s="50">
        <f>VLOOKUP($A182,'Data shares'!$C:$FM,102)</f>
        <v>17.32</v>
      </c>
      <c r="C182" s="50">
        <f>VLOOKUP($A182,'Data shares'!$C:$FM,110)</f>
        <v>17.05</v>
      </c>
      <c r="D182" s="50">
        <f>VLOOKUP($A182,'Data shares'!$C:$FM,114)</f>
        <v>18.04</v>
      </c>
      <c r="E182" s="50">
        <f>VLOOKUP($A182,'Data shares'!$C:$FM,106)</f>
        <v>23.9</v>
      </c>
      <c r="F182" s="50">
        <f>VLOOKUP($A182,'Data shares'!$C:$FM,108)</f>
        <v>-6.58</v>
      </c>
      <c r="G182" s="50">
        <f t="shared" si="5"/>
        <v>0.72468619246861932</v>
      </c>
    </row>
    <row r="183" spans="1:7" x14ac:dyDescent="0.25">
      <c r="A183" s="49" t="str">
        <f>'Data shares'!C178</f>
        <v>SBIN</v>
      </c>
      <c r="B183" s="50">
        <f>VLOOKUP($A183,'Data shares'!$C:$FM,102)</f>
        <v>16.54</v>
      </c>
      <c r="C183" s="50">
        <f>VLOOKUP($A183,'Data shares'!$C:$FM,110)</f>
        <v>16.45</v>
      </c>
      <c r="D183" s="50">
        <f>VLOOKUP($A183,'Data shares'!$C:$FM,114)</f>
        <v>16.66</v>
      </c>
      <c r="E183" s="50">
        <f>VLOOKUP($A183,'Data shares'!$C:$FM,106)</f>
        <v>24.26</v>
      </c>
      <c r="F183" s="50">
        <f>VLOOKUP($A183,'Data shares'!$C:$FM,108)</f>
        <v>-7.72</v>
      </c>
      <c r="G183" s="50">
        <f t="shared" si="5"/>
        <v>0.68178070898598508</v>
      </c>
    </row>
    <row r="184" spans="1:7" x14ac:dyDescent="0.25">
      <c r="A184" s="49" t="str">
        <f>'Data shares'!C179</f>
        <v>SHREECEM</v>
      </c>
      <c r="B184" s="50">
        <f>VLOOKUP($A184,'Data shares'!$C:$FM,102)</f>
        <v>20.64</v>
      </c>
      <c r="C184" s="50">
        <f>VLOOKUP($A184,'Data shares'!$C:$FM,110)</f>
        <v>20.99</v>
      </c>
      <c r="D184" s="50">
        <f>VLOOKUP($A184,'Data shares'!$C:$FM,114)</f>
        <v>20.18</v>
      </c>
      <c r="E184" s="50">
        <f>VLOOKUP($A184,'Data shares'!$C:$FM,106)</f>
        <v>24.34</v>
      </c>
      <c r="F184" s="50">
        <f>VLOOKUP($A184,'Data shares'!$C:$FM,108)</f>
        <v>-3.7</v>
      </c>
      <c r="G184" s="50">
        <f t="shared" si="5"/>
        <v>0.84798685291700904</v>
      </c>
    </row>
    <row r="185" spans="1:7" x14ac:dyDescent="0.25">
      <c r="A185" s="49" t="str">
        <f>'Data shares'!C180</f>
        <v>SHRIRAMFIN</v>
      </c>
      <c r="B185" s="50">
        <f>VLOOKUP($A185,'Data shares'!$C:$FM,102)</f>
        <v>29.48</v>
      </c>
      <c r="C185" s="50">
        <f>VLOOKUP($A185,'Data shares'!$C:$FM,110)</f>
        <v>29.42</v>
      </c>
      <c r="D185" s="50">
        <f>VLOOKUP($A185,'Data shares'!$C:$FM,114)</f>
        <v>29.58</v>
      </c>
      <c r="E185" s="50">
        <f>VLOOKUP($A185,'Data shares'!$C:$FM,106)</f>
        <v>39</v>
      </c>
      <c r="F185" s="50">
        <f>VLOOKUP($A185,'Data shares'!$C:$FM,108)</f>
        <v>-9.52</v>
      </c>
      <c r="G185" s="50">
        <f t="shared" si="5"/>
        <v>0.75589743589743585</v>
      </c>
    </row>
    <row r="186" spans="1:7" x14ac:dyDescent="0.25">
      <c r="A186" s="49" t="str">
        <f>'Data shares'!C181</f>
        <v>SIEMENS</v>
      </c>
      <c r="B186" s="50">
        <f>VLOOKUP($A186,'Data shares'!$C:$FM,102)</f>
        <v>24.56</v>
      </c>
      <c r="C186" s="50">
        <f>VLOOKUP($A186,'Data shares'!$C:$FM,110)</f>
        <v>24.58</v>
      </c>
      <c r="D186" s="50">
        <f>VLOOKUP($A186,'Data shares'!$C:$FM,114)</f>
        <v>24.51</v>
      </c>
      <c r="E186" s="50">
        <f>VLOOKUP($A186,'Data shares'!$C:$FM,106)</f>
        <v>36.86</v>
      </c>
      <c r="F186" s="50">
        <f>VLOOKUP($A186,'Data shares'!$C:$FM,108)</f>
        <v>-12.3</v>
      </c>
      <c r="G186" s="50">
        <f t="shared" si="5"/>
        <v>0.66630493760173626</v>
      </c>
    </row>
    <row r="187" spans="1:7" x14ac:dyDescent="0.25">
      <c r="A187" s="49" t="str">
        <f>'Data shares'!C182</f>
        <v>SOLARINDS</v>
      </c>
      <c r="B187" s="50">
        <f>VLOOKUP($A187,'Data shares'!$C:$FM,102)</f>
        <v>32.18</v>
      </c>
      <c r="C187" s="50">
        <f>VLOOKUP($A187,'Data shares'!$C:$FM,110)</f>
        <v>32.21</v>
      </c>
      <c r="D187" s="50">
        <f>VLOOKUP($A187,'Data shares'!$C:$FM,114)</f>
        <v>32.08</v>
      </c>
      <c r="E187" s="50">
        <f>VLOOKUP($A187,'Data shares'!$C:$FM,106)</f>
        <v>39.5</v>
      </c>
      <c r="F187" s="50">
        <f>VLOOKUP($A187,'Data shares'!$C:$FM,108)</f>
        <v>-7.32</v>
      </c>
      <c r="G187" s="50">
        <f t="shared" si="5"/>
        <v>0.81468354430379741</v>
      </c>
    </row>
    <row r="188" spans="1:7" x14ac:dyDescent="0.25">
      <c r="A188" s="49" t="str">
        <f>'Data shares'!C183</f>
        <v>SONACOMS</v>
      </c>
      <c r="B188" s="50">
        <f>VLOOKUP($A188,'Data shares'!$C:$FM,102)</f>
        <v>30</v>
      </c>
      <c r="C188" s="50">
        <f>VLOOKUP($A188,'Data shares'!$C:$FM,110)</f>
        <v>30.22</v>
      </c>
      <c r="D188" s="50">
        <f>VLOOKUP($A188,'Data shares'!$C:$FM,114)</f>
        <v>29.6</v>
      </c>
      <c r="E188" s="50">
        <f>VLOOKUP($A188,'Data shares'!$C:$FM,106)</f>
        <v>38.1</v>
      </c>
      <c r="F188" s="50">
        <f>VLOOKUP($A188,'Data shares'!$C:$FM,108)</f>
        <v>-8.1</v>
      </c>
      <c r="G188" s="50">
        <f t="shared" si="5"/>
        <v>0.78740157480314954</v>
      </c>
    </row>
    <row r="189" spans="1:7" x14ac:dyDescent="0.25">
      <c r="A189" s="49" t="str">
        <f>'Data shares'!C215</f>
        <v>ZYDUSLIFE</v>
      </c>
      <c r="B189" s="50">
        <f>VLOOKUP($A189,'Data shares'!$C:$FM,102)</f>
        <v>21.16</v>
      </c>
      <c r="C189" s="50">
        <f>VLOOKUP($A189,'Data shares'!$C:$FM,110)</f>
        <v>20.88</v>
      </c>
      <c r="D189" s="50">
        <f>VLOOKUP($A189,'Data shares'!$C:$FM,114)</f>
        <v>21.77</v>
      </c>
      <c r="E189" s="50">
        <f>VLOOKUP($A189,'Data shares'!$C:$FM,106)</f>
        <v>27.32</v>
      </c>
      <c r="F189" s="50">
        <f>VLOOKUP($A189,'Data shares'!$C:$FM,108)</f>
        <v>-6.16</v>
      </c>
      <c r="G189" s="50">
        <f t="shared" si="5"/>
        <v>0.77452415812591513</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I15" sqref="I15"/>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682</v>
      </c>
      <c r="B5" s="49">
        <v>36943219</v>
      </c>
      <c r="C5" s="49">
        <v>4072000</v>
      </c>
      <c r="D5" s="49">
        <v>2178005.7041850002</v>
      </c>
      <c r="E5" s="50">
        <f>VLOOKUP($A5,'Data shares'!$C:$FA,154)*100</f>
        <v>11.23</v>
      </c>
      <c r="F5" s="173">
        <f>C5/B5</f>
        <v>0.11022320496760177</v>
      </c>
    </row>
    <row r="6" spans="1:6" x14ac:dyDescent="0.25">
      <c r="A6" s="99" t="s">
        <v>553</v>
      </c>
      <c r="B6" s="49">
        <v>7946564</v>
      </c>
      <c r="C6" s="49">
        <v>3466375</v>
      </c>
      <c r="D6" s="49">
        <v>2147658.4748762501</v>
      </c>
      <c r="E6" s="50">
        <f>VLOOKUP($A6,'Data shares'!$C:$FA,154)*100</f>
        <v>44.2</v>
      </c>
      <c r="F6" s="173">
        <f>C6/B6</f>
        <v>0.43621054332413356</v>
      </c>
    </row>
    <row r="7" spans="1:6" x14ac:dyDescent="0.25">
      <c r="A7" s="99" t="s">
        <v>544</v>
      </c>
      <c r="B7" s="49">
        <v>122657000</v>
      </c>
      <c r="C7" s="49">
        <v>114154400</v>
      </c>
      <c r="D7" s="49">
        <v>79694897.277225003</v>
      </c>
      <c r="E7" s="50">
        <f>VLOOKUP($A7,'Data shares'!$C:$FA,154)*100</f>
        <v>94.07</v>
      </c>
      <c r="F7" s="173">
        <f>C7/B7</f>
        <v>0.93067986335879727</v>
      </c>
    </row>
    <row r="8" spans="1:6" x14ac:dyDescent="0.25">
      <c r="A8" s="99" t="s">
        <v>579</v>
      </c>
      <c r="B8" s="49">
        <v>43791427</v>
      </c>
      <c r="C8" s="49">
        <v>22547700</v>
      </c>
      <c r="D8" s="49">
        <v>15756022.0573177</v>
      </c>
      <c r="E8" s="50">
        <f>VLOOKUP($A8,'Data shares'!$C:$FA,154)*100</f>
        <v>52.21</v>
      </c>
      <c r="F8" s="173">
        <f>C8/B8</f>
        <v>0.51488845065496491</v>
      </c>
    </row>
    <row r="9" spans="1:6" x14ac:dyDescent="0.25">
      <c r="A9" s="99" t="s">
        <v>159</v>
      </c>
      <c r="B9" s="49">
        <v>49117354</v>
      </c>
      <c r="C9" s="49">
        <v>33016959</v>
      </c>
      <c r="D9" s="49">
        <v>18650013.9600989</v>
      </c>
      <c r="E9" s="50">
        <f>VLOOKUP($A9,'Data shares'!$C:$FA,154)*100</f>
        <v>69.710000000000008</v>
      </c>
      <c r="F9" s="173">
        <f>C9/B9</f>
        <v>0.67220557117144375</v>
      </c>
    </row>
    <row r="10" spans="1:6" x14ac:dyDescent="0.25">
      <c r="A10" s="99" t="s">
        <v>606</v>
      </c>
      <c r="B10" s="49">
        <v>92816927</v>
      </c>
      <c r="C10" s="49">
        <v>33915600</v>
      </c>
      <c r="D10" s="49">
        <v>20299505.11428</v>
      </c>
      <c r="E10" s="50">
        <f>VLOOKUP($A10,'Data shares'!$C:$FA,154)*100</f>
        <v>37.019999999999996</v>
      </c>
      <c r="F10" s="173">
        <f>C10/B10</f>
        <v>0.3654031769442227</v>
      </c>
    </row>
    <row r="11" spans="1:6" x14ac:dyDescent="0.25">
      <c r="A11" s="99" t="s">
        <v>160</v>
      </c>
      <c r="B11" s="49">
        <v>84394936</v>
      </c>
      <c r="C11" s="49">
        <v>36478575</v>
      </c>
      <c r="D11" s="49">
        <v>24933937.727168702</v>
      </c>
      <c r="E11" s="50">
        <f>VLOOKUP($A11,'Data shares'!$C:$FA,154)*100</f>
        <v>43.78</v>
      </c>
      <c r="F11" s="173">
        <f>C11/B11</f>
        <v>0.43223653845771032</v>
      </c>
    </row>
    <row r="12" spans="1:6" x14ac:dyDescent="0.25">
      <c r="A12" s="99" t="s">
        <v>497</v>
      </c>
      <c r="B12" s="49">
        <v>7334235</v>
      </c>
      <c r="C12" s="49">
        <v>1858875</v>
      </c>
      <c r="D12" s="49">
        <v>1480091.7667237499</v>
      </c>
      <c r="E12" s="50">
        <f>VLOOKUP($A12,'Data shares'!$C:$FA,154)*100</f>
        <v>25.45</v>
      </c>
      <c r="F12" s="173">
        <f>C12/B12</f>
        <v>0.25345179149563657</v>
      </c>
    </row>
    <row r="13" spans="1:6" x14ac:dyDescent="0.25">
      <c r="A13" s="99" t="s">
        <v>681</v>
      </c>
      <c r="B13" s="49">
        <v>3257355</v>
      </c>
      <c r="C13" s="49">
        <v>1654700</v>
      </c>
      <c r="D13" s="49">
        <v>860406.53933499998</v>
      </c>
      <c r="E13" s="50">
        <f>VLOOKUP($A13,'Data shares'!$C:$FA,154)*100</f>
        <v>53.09</v>
      </c>
      <c r="F13" s="173">
        <f>C13/B13</f>
        <v>0.50798884370908304</v>
      </c>
    </row>
    <row r="14" spans="1:6" x14ac:dyDescent="0.25">
      <c r="A14" s="99" t="s">
        <v>164</v>
      </c>
      <c r="B14" s="49">
        <v>79841849</v>
      </c>
      <c r="C14" s="49">
        <v>73082100</v>
      </c>
      <c r="D14" s="49">
        <v>47857115.788985997</v>
      </c>
      <c r="E14" s="50">
        <f>VLOOKUP($A14,'Data shares'!$C:$FA,154)*100</f>
        <v>92.820000000000007</v>
      </c>
      <c r="F14" s="173">
        <f>C14/B14</f>
        <v>0.91533576583377974</v>
      </c>
    </row>
    <row r="15" spans="1:6" x14ac:dyDescent="0.25">
      <c r="A15" s="99" t="s">
        <v>609</v>
      </c>
      <c r="B15" s="49">
        <v>9673308</v>
      </c>
      <c r="C15" s="49">
        <v>7594000</v>
      </c>
      <c r="D15" s="49">
        <v>3574343.1021475</v>
      </c>
      <c r="E15" s="50">
        <f>VLOOKUP($A15,'Data shares'!$C:$FA,154)*100</f>
        <v>81.88</v>
      </c>
      <c r="F15" s="173">
        <f>C15/B15</f>
        <v>0.78504685263820817</v>
      </c>
    </row>
    <row r="16" spans="1:6" x14ac:dyDescent="0.25">
      <c r="A16" s="99" t="s">
        <v>598</v>
      </c>
      <c r="B16" s="49">
        <v>23068453</v>
      </c>
      <c r="C16" s="49">
        <v>11636450</v>
      </c>
      <c r="D16" s="49">
        <v>8917582.2753605004</v>
      </c>
      <c r="E16" s="50">
        <f>VLOOKUP($A16,'Data shares'!$C:$FA,154)*100</f>
        <v>50.62</v>
      </c>
      <c r="F16" s="173">
        <f>C16/B16</f>
        <v>0.50443131145378495</v>
      </c>
    </row>
    <row r="17" spans="1:6" x14ac:dyDescent="0.25">
      <c r="A17" s="99" t="s">
        <v>165</v>
      </c>
      <c r="B17" s="49">
        <v>15524629</v>
      </c>
      <c r="C17" s="49">
        <v>5320875</v>
      </c>
      <c r="D17" s="49">
        <v>3113594.9176699999</v>
      </c>
      <c r="E17" s="50">
        <f>VLOOKUP($A17,'Data shares'!$C:$FA,154)*100</f>
        <v>35.06</v>
      </c>
      <c r="F17" s="173">
        <f>C17/B17</f>
        <v>0.34273765898044972</v>
      </c>
    </row>
    <row r="18" spans="1:6" x14ac:dyDescent="0.25">
      <c r="A18" s="99" t="s">
        <v>167</v>
      </c>
      <c r="B18" s="49">
        <v>423719104</v>
      </c>
      <c r="C18" s="49">
        <v>268820000</v>
      </c>
      <c r="D18" s="49">
        <v>166989634.60945001</v>
      </c>
      <c r="E18" s="50">
        <f>VLOOKUP($A18,'Data shares'!$C:$FA,154)*100</f>
        <v>65.510000000000005</v>
      </c>
      <c r="F18" s="173">
        <f>C18/B18</f>
        <v>0.63442973767828981</v>
      </c>
    </row>
    <row r="19" spans="1:6" x14ac:dyDescent="0.25">
      <c r="A19" s="99" t="s">
        <v>169</v>
      </c>
      <c r="B19" s="49">
        <v>49389162</v>
      </c>
      <c r="C19" s="49">
        <v>20406250</v>
      </c>
      <c r="D19" s="49">
        <v>12839956.5045675</v>
      </c>
      <c r="E19" s="50">
        <f>VLOOKUP($A19,'Data shares'!$C:$FA,154)*100</f>
        <v>42.16</v>
      </c>
      <c r="F19" s="173">
        <f>C19/B19</f>
        <v>0.41317263086990624</v>
      </c>
    </row>
    <row r="20" spans="1:6" x14ac:dyDescent="0.25">
      <c r="A20" s="99" t="s">
        <v>503</v>
      </c>
      <c r="B20" s="49">
        <v>18450534</v>
      </c>
      <c r="C20" s="49">
        <v>11211925</v>
      </c>
      <c r="D20" s="49">
        <v>6411706.4797937497</v>
      </c>
      <c r="E20" s="50">
        <f>VLOOKUP($A20,'Data shares'!$C:$FA,154)*100</f>
        <v>62.029999999999994</v>
      </c>
      <c r="F20" s="173">
        <f>C20/B20</f>
        <v>0.60767482393734507</v>
      </c>
    </row>
    <row r="21" spans="1:6" x14ac:dyDescent="0.25">
      <c r="A21" s="99" t="s">
        <v>495</v>
      </c>
      <c r="B21" s="49">
        <v>86371921</v>
      </c>
      <c r="C21" s="49">
        <v>28535000</v>
      </c>
      <c r="D21" s="49">
        <v>20191992.411970001</v>
      </c>
      <c r="E21" s="50">
        <f>VLOOKUP($A21,'Data shares'!$C:$FA,154)*100</f>
        <v>33.650000000000006</v>
      </c>
      <c r="F21" s="173">
        <f>C21/B21</f>
        <v>0.33037357129060496</v>
      </c>
    </row>
    <row r="22" spans="1:6" x14ac:dyDescent="0.25">
      <c r="A22" s="99" t="s">
        <v>171</v>
      </c>
      <c r="B22" s="49">
        <v>41977935</v>
      </c>
      <c r="C22" s="49">
        <v>30463950</v>
      </c>
      <c r="D22" s="49">
        <v>20746630.423183501</v>
      </c>
      <c r="E22" s="50">
        <f>VLOOKUP($A22,'Data shares'!$C:$FA,154)*100</f>
        <v>73.240000000000009</v>
      </c>
      <c r="F22" s="173">
        <f>C22/B22</f>
        <v>0.72571340157632813</v>
      </c>
    </row>
    <row r="23" spans="1:6" x14ac:dyDescent="0.25">
      <c r="A23" s="99" t="s">
        <v>173</v>
      </c>
      <c r="B23" s="49">
        <v>296371456</v>
      </c>
      <c r="C23" s="49">
        <v>112822500</v>
      </c>
      <c r="D23" s="49">
        <v>75389052.602312505</v>
      </c>
      <c r="E23" s="50">
        <f>VLOOKUP($A23,'Data shares'!$C:$FA,154)*100</f>
        <v>39.25</v>
      </c>
      <c r="F23" s="173">
        <f>C23/B23</f>
        <v>0.38067937284756598</v>
      </c>
    </row>
    <row r="24" spans="1:6" x14ac:dyDescent="0.25">
      <c r="A24" s="99" t="s">
        <v>174</v>
      </c>
      <c r="B24" s="49">
        <v>15906526</v>
      </c>
      <c r="C24" s="49">
        <v>6187200</v>
      </c>
      <c r="D24" s="49">
        <v>3612784.1371169998</v>
      </c>
      <c r="E24" s="50">
        <f>VLOOKUP($A24,'Data shares'!$C:$FA,154)*100</f>
        <v>39.950000000000003</v>
      </c>
      <c r="F24" s="173">
        <f>C24/B24</f>
        <v>0.38897242553150824</v>
      </c>
    </row>
    <row r="25" spans="1:6" x14ac:dyDescent="0.25">
      <c r="A25" s="99" t="s">
        <v>176</v>
      </c>
      <c r="B25" s="49">
        <v>65701623</v>
      </c>
      <c r="C25" s="49">
        <v>25146250</v>
      </c>
      <c r="D25" s="49">
        <v>17640438.591120001</v>
      </c>
      <c r="E25" s="50">
        <f>VLOOKUP($A25,'Data shares'!$C:$FA,154)*100</f>
        <v>38.51</v>
      </c>
      <c r="F25" s="173">
        <f>C25/B25</f>
        <v>0.38273407644739615</v>
      </c>
    </row>
    <row r="26" spans="1:6" x14ac:dyDescent="0.25">
      <c r="A26" s="99" t="s">
        <v>691</v>
      </c>
      <c r="B26" s="49">
        <v>5401993</v>
      </c>
      <c r="C26" s="49">
        <v>183150</v>
      </c>
      <c r="D26" s="49">
        <v>97192.655819000007</v>
      </c>
      <c r="E26" s="50">
        <f>VLOOKUP($A26,'Data shares'!$C:$FA,154)*100</f>
        <v>3.51</v>
      </c>
      <c r="F26" s="173">
        <f>C26/B26</f>
        <v>3.3904153522598048E-2</v>
      </c>
    </row>
    <row r="27" spans="1:6" x14ac:dyDescent="0.25">
      <c r="A27" s="99" t="s">
        <v>177</v>
      </c>
      <c r="B27" s="49">
        <v>317526833</v>
      </c>
      <c r="C27" s="49">
        <v>145029000</v>
      </c>
      <c r="D27" s="49">
        <v>97162218.9852525</v>
      </c>
      <c r="E27" s="50">
        <f>VLOOKUP($A27,'Data shares'!$C:$FA,154)*100</f>
        <v>46.6</v>
      </c>
      <c r="F27" s="173">
        <f>C27/B27</f>
        <v>0.45674565084708918</v>
      </c>
    </row>
    <row r="28" spans="1:6" x14ac:dyDescent="0.25">
      <c r="A28" s="99" t="s">
        <v>179</v>
      </c>
      <c r="B28" s="49">
        <v>144289555</v>
      </c>
      <c r="C28" s="49">
        <v>193996800</v>
      </c>
      <c r="D28" s="49">
        <v>120945652.608132</v>
      </c>
      <c r="E28" s="50">
        <f>VLOOKUP($A28,'Data shares'!$C:$FA,154)*100</f>
        <v>136.31</v>
      </c>
      <c r="F28" s="173">
        <f>C28/B28</f>
        <v>1.344496488328625</v>
      </c>
    </row>
    <row r="29" spans="1:6" x14ac:dyDescent="0.25">
      <c r="A29" s="99" t="s">
        <v>180</v>
      </c>
      <c r="B29" s="49">
        <v>279476623</v>
      </c>
      <c r="C29" s="49">
        <v>161647200</v>
      </c>
      <c r="D29" s="49">
        <v>84179406.2266462</v>
      </c>
      <c r="E29" s="50">
        <f>VLOOKUP($A29,'Data shares'!$C:$FA,154)*100</f>
        <v>58.720000000000006</v>
      </c>
      <c r="F29" s="173">
        <f>C29/B29</f>
        <v>0.57839256201403288</v>
      </c>
    </row>
    <row r="30" spans="1:6" x14ac:dyDescent="0.25">
      <c r="A30" s="99" t="s">
        <v>602</v>
      </c>
      <c r="B30" s="49">
        <v>181770921</v>
      </c>
      <c r="C30" s="49">
        <v>85404800</v>
      </c>
      <c r="D30" s="49">
        <v>49551010.479620002</v>
      </c>
      <c r="E30" s="50">
        <f>VLOOKUP($A30,'Data shares'!$C:$FA,154)*100</f>
        <v>47.46</v>
      </c>
      <c r="F30" s="173">
        <f>C30/B30</f>
        <v>0.46984852984268038</v>
      </c>
    </row>
    <row r="31" spans="1:6" x14ac:dyDescent="0.25">
      <c r="A31" s="99" t="s">
        <v>671</v>
      </c>
      <c r="B31" s="49">
        <v>13786716</v>
      </c>
      <c r="C31" s="49">
        <v>11358900</v>
      </c>
      <c r="D31" s="49">
        <v>4402354.5661025001</v>
      </c>
      <c r="E31" s="50">
        <f>VLOOKUP($A31,'Data shares'!$C:$FA,154)*100</f>
        <v>83.57</v>
      </c>
      <c r="F31" s="173">
        <f>C31/B31</f>
        <v>0.82390179068024616</v>
      </c>
    </row>
    <row r="32" spans="1:6" x14ac:dyDescent="0.25">
      <c r="A32" s="99" t="s">
        <v>185</v>
      </c>
      <c r="B32" s="49">
        <v>535778534</v>
      </c>
      <c r="C32" s="49">
        <v>198270225</v>
      </c>
      <c r="D32" s="49">
        <v>117294360.973535</v>
      </c>
      <c r="E32" s="50">
        <f>VLOOKUP($A32,'Data shares'!$C:$FA,154)*100</f>
        <v>37.730000000000004</v>
      </c>
      <c r="F32" s="173">
        <f>C32/B32</f>
        <v>0.37006003865022336</v>
      </c>
    </row>
    <row r="33" spans="1:6" x14ac:dyDescent="0.25">
      <c r="A33" s="99" t="s">
        <v>187</v>
      </c>
      <c r="B33" s="49">
        <v>40107751</v>
      </c>
      <c r="C33" s="49">
        <v>12313500</v>
      </c>
      <c r="D33" s="49">
        <v>7232543.7929100003</v>
      </c>
      <c r="E33" s="50">
        <f>VLOOKUP($A33,'Data shares'!$C:$FA,154)*100</f>
        <v>31.15</v>
      </c>
      <c r="F33" s="173">
        <f>C33/B33</f>
        <v>0.30701048283659682</v>
      </c>
    </row>
    <row r="34" spans="1:6" x14ac:dyDescent="0.25">
      <c r="A34" s="99" t="s">
        <v>189</v>
      </c>
      <c r="B34" s="49">
        <v>367085962</v>
      </c>
      <c r="C34" s="49">
        <v>63107075</v>
      </c>
      <c r="D34" s="49">
        <v>48612889.904795997</v>
      </c>
      <c r="E34" s="50">
        <f>VLOOKUP($A34,'Data shares'!$C:$FA,154)*100</f>
        <v>17.48</v>
      </c>
      <c r="F34" s="173">
        <f>C34/B34</f>
        <v>0.17191361569963823</v>
      </c>
    </row>
    <row r="35" spans="1:6" x14ac:dyDescent="0.25">
      <c r="A35" s="99" t="s">
        <v>190</v>
      </c>
      <c r="B35" s="49">
        <v>192361942</v>
      </c>
      <c r="C35" s="49">
        <v>134544375</v>
      </c>
      <c r="D35" s="49">
        <v>69912576.721994996</v>
      </c>
      <c r="E35" s="50">
        <f>VLOOKUP($A35,'Data shares'!$C:$FA,154)*100</f>
        <v>72.350000000000009</v>
      </c>
      <c r="F35" s="173">
        <f>C35/B35</f>
        <v>0.69943344094540283</v>
      </c>
    </row>
    <row r="36" spans="1:6" x14ac:dyDescent="0.25">
      <c r="A36" s="99" t="s">
        <v>191</v>
      </c>
      <c r="B36" s="49">
        <v>91057772</v>
      </c>
      <c r="C36" s="49">
        <v>75987500</v>
      </c>
      <c r="D36" s="49">
        <v>41634715.613449998</v>
      </c>
      <c r="E36" s="50">
        <f>VLOOKUP($A36,'Data shares'!$C:$FA,154)*100</f>
        <v>84.73</v>
      </c>
      <c r="F36" s="173">
        <f>C36/B36</f>
        <v>0.83449768571100114</v>
      </c>
    </row>
    <row r="37" spans="1:6" x14ac:dyDescent="0.25">
      <c r="A37" s="99" t="s">
        <v>679</v>
      </c>
      <c r="B37" s="49">
        <v>17213286</v>
      </c>
      <c r="C37" s="49">
        <v>3521050</v>
      </c>
      <c r="D37" s="49">
        <v>1935093.4474202499</v>
      </c>
      <c r="E37" s="50">
        <f>VLOOKUP($A37,'Data shares'!$C:$FA,154)*100</f>
        <v>20.64</v>
      </c>
      <c r="F37" s="173">
        <f>C37/B37</f>
        <v>0.20455420307313782</v>
      </c>
    </row>
    <row r="38" spans="1:6" x14ac:dyDescent="0.25">
      <c r="A38" s="99" t="s">
        <v>192</v>
      </c>
      <c r="B38" s="49">
        <v>882048</v>
      </c>
      <c r="C38" s="49">
        <v>603900</v>
      </c>
      <c r="D38" s="49">
        <v>210975.74574775001</v>
      </c>
      <c r="E38" s="50">
        <f>VLOOKUP($A38,'Data shares'!$C:$FA,154)*100</f>
        <v>69.820000000000007</v>
      </c>
      <c r="F38" s="173">
        <f>C38/B38</f>
        <v>0.68465661732694816</v>
      </c>
    </row>
    <row r="39" spans="1:6" x14ac:dyDescent="0.25">
      <c r="A39" s="99" t="s">
        <v>194</v>
      </c>
      <c r="B39" s="49">
        <v>306020745</v>
      </c>
      <c r="C39" s="49">
        <v>53419800</v>
      </c>
      <c r="D39" s="49">
        <v>30250860.436335701</v>
      </c>
      <c r="E39" s="50">
        <f>VLOOKUP($A39,'Data shares'!$C:$FA,154)*100</f>
        <v>17.919999999999998</v>
      </c>
      <c r="F39" s="173">
        <f>C39/B39</f>
        <v>0.1745626754813632</v>
      </c>
    </row>
    <row r="40" spans="1:6" x14ac:dyDescent="0.25">
      <c r="A40" s="99" t="s">
        <v>195</v>
      </c>
      <c r="B40" s="49">
        <v>16370935</v>
      </c>
      <c r="C40" s="49">
        <v>4234250</v>
      </c>
      <c r="D40" s="49">
        <v>3043262.428535</v>
      </c>
      <c r="E40" s="50">
        <f>VLOOKUP($A40,'Data shares'!$C:$FA,154)*100</f>
        <v>26.229999999999997</v>
      </c>
      <c r="F40" s="173">
        <f>C40/B40</f>
        <v>0.25864435965325133</v>
      </c>
    </row>
    <row r="41" spans="1:6" x14ac:dyDescent="0.25">
      <c r="A41" s="99" t="s">
        <v>584</v>
      </c>
      <c r="B41" s="49">
        <v>61094861</v>
      </c>
      <c r="C41" s="49">
        <v>22591875</v>
      </c>
      <c r="D41" s="49">
        <v>11872196.653151199</v>
      </c>
      <c r="E41" s="50">
        <f>VLOOKUP($A41,'Data shares'!$C:$FA,154)*100</f>
        <v>38.409999999999997</v>
      </c>
      <c r="F41" s="173">
        <f>C41/B41</f>
        <v>0.36978355675447072</v>
      </c>
    </row>
    <row r="42" spans="1:6" x14ac:dyDescent="0.25">
      <c r="A42" s="99" t="s">
        <v>611</v>
      </c>
      <c r="B42" s="49">
        <v>37122288</v>
      </c>
      <c r="C42" s="49">
        <v>12891750</v>
      </c>
      <c r="D42" s="49">
        <v>7110405.5306099998</v>
      </c>
      <c r="E42" s="50">
        <f>VLOOKUP($A42,'Data shares'!$C:$FA,154)*100</f>
        <v>35.049999999999997</v>
      </c>
      <c r="F42" s="173">
        <f>C42/B42</f>
        <v>0.34727789407808052</v>
      </c>
    </row>
    <row r="43" spans="1:6" x14ac:dyDescent="0.25">
      <c r="A43" s="99" t="s">
        <v>196</v>
      </c>
      <c r="B43" s="49">
        <v>504315430</v>
      </c>
      <c r="C43" s="49">
        <v>307226250</v>
      </c>
      <c r="D43" s="49">
        <v>143554187.93040001</v>
      </c>
      <c r="E43" s="50">
        <f>VLOOKUP($A43,'Data shares'!$C:$FA,154)*100</f>
        <v>62.55</v>
      </c>
      <c r="F43" s="173">
        <f>C43/B43</f>
        <v>0.6091946264662178</v>
      </c>
    </row>
    <row r="44" spans="1:6" x14ac:dyDescent="0.25">
      <c r="A44" s="99" t="s">
        <v>597</v>
      </c>
      <c r="B44" s="49">
        <v>26647500</v>
      </c>
      <c r="C44" s="49">
        <v>22312650</v>
      </c>
      <c r="D44" s="49">
        <v>9624590.9666762501</v>
      </c>
      <c r="E44" s="50">
        <f>VLOOKUP($A44,'Data shares'!$C:$FA,154)*100</f>
        <v>85.16</v>
      </c>
      <c r="F44" s="173">
        <f>C44/B44</f>
        <v>0.83732620320855611</v>
      </c>
    </row>
    <row r="45" spans="1:6" x14ac:dyDescent="0.25">
      <c r="A45" s="99" t="s">
        <v>612</v>
      </c>
      <c r="B45" s="49">
        <v>103060454</v>
      </c>
      <c r="C45" s="49">
        <v>24806400</v>
      </c>
      <c r="D45" s="49">
        <v>15123238.333818501</v>
      </c>
      <c r="E45" s="50">
        <f>VLOOKUP($A45,'Data shares'!$C:$FA,154)*100</f>
        <v>24.29</v>
      </c>
      <c r="F45" s="173">
        <f>C45/B45</f>
        <v>0.24069756184074254</v>
      </c>
    </row>
    <row r="46" spans="1:6" x14ac:dyDescent="0.25">
      <c r="A46" s="99" t="s">
        <v>198</v>
      </c>
      <c r="B46" s="49">
        <v>63257923</v>
      </c>
      <c r="C46" s="49">
        <v>20376250</v>
      </c>
      <c r="D46" s="49">
        <v>11288484.7441875</v>
      </c>
      <c r="E46" s="50">
        <f>VLOOKUP($A46,'Data shares'!$C:$FA,154)*100</f>
        <v>33.410000000000004</v>
      </c>
      <c r="F46" s="173">
        <f>C46/B46</f>
        <v>0.32211380066968054</v>
      </c>
    </row>
    <row r="47" spans="1:6" x14ac:dyDescent="0.25">
      <c r="A47" s="99" t="s">
        <v>199</v>
      </c>
      <c r="B47" s="49">
        <v>59297360</v>
      </c>
      <c r="C47" s="49">
        <v>23402625</v>
      </c>
      <c r="D47" s="49">
        <v>13834103.953638701</v>
      </c>
      <c r="E47" s="50">
        <f>VLOOKUP($A47,'Data shares'!$C:$FA,154)*100</f>
        <v>40.43</v>
      </c>
      <c r="F47" s="173">
        <f>C47/B47</f>
        <v>0.39466554666177384</v>
      </c>
    </row>
    <row r="48" spans="1:6" x14ac:dyDescent="0.25">
      <c r="A48" s="99" t="s">
        <v>200</v>
      </c>
      <c r="B48" s="49">
        <v>278206904</v>
      </c>
      <c r="C48" s="49">
        <v>126646200</v>
      </c>
      <c r="D48" s="49">
        <v>60578145.691173002</v>
      </c>
      <c r="E48" s="50"/>
      <c r="F48" s="173">
        <f>C48/B48</f>
        <v>0.45522306664251583</v>
      </c>
    </row>
    <row r="49" spans="1:6" x14ac:dyDescent="0.25">
      <c r="A49" s="99" t="s">
        <v>470</v>
      </c>
      <c r="B49" s="49">
        <v>50189409</v>
      </c>
      <c r="C49" s="49">
        <v>30489000</v>
      </c>
      <c r="D49" s="49">
        <v>16392033.84804</v>
      </c>
      <c r="E49" s="50">
        <f>VLOOKUP($A49,'Data shares'!$C:$FA,154)*100</f>
        <v>64.319999999999993</v>
      </c>
      <c r="F49" s="173">
        <f>C49/B49</f>
        <v>0.60747876110675059</v>
      </c>
    </row>
    <row r="50" spans="1:6" x14ac:dyDescent="0.25">
      <c r="A50" s="99" t="s">
        <v>201</v>
      </c>
      <c r="B50" s="49">
        <v>19546143</v>
      </c>
      <c r="C50" s="49">
        <v>11096325</v>
      </c>
      <c r="D50" s="49">
        <v>6195769.8854512498</v>
      </c>
      <c r="E50" s="50">
        <f>VLOOKUP($A50,'Data shares'!$C:$FA,154)*100</f>
        <v>57.37</v>
      </c>
      <c r="F50" s="173">
        <f>C50/B50</f>
        <v>0.56769895728277442</v>
      </c>
    </row>
    <row r="51" spans="1:6" x14ac:dyDescent="0.25">
      <c r="A51" s="99" t="s">
        <v>202</v>
      </c>
      <c r="B51" s="49">
        <v>51639257</v>
      </c>
      <c r="C51" s="49">
        <v>55525000</v>
      </c>
      <c r="D51" s="49">
        <v>30030333.7793875</v>
      </c>
      <c r="E51" s="50">
        <f>VLOOKUP($A51,'Data shares'!$C:$FA,154)*100</f>
        <v>109.66</v>
      </c>
      <c r="F51" s="173">
        <f>C51/B51</f>
        <v>1.0752478487442219</v>
      </c>
    </row>
    <row r="52" spans="1:6" x14ac:dyDescent="0.25">
      <c r="A52" s="99" t="s">
        <v>523</v>
      </c>
      <c r="B52" s="49">
        <v>96587231</v>
      </c>
      <c r="C52" s="49">
        <v>82783800</v>
      </c>
      <c r="D52" s="49">
        <v>51966036.866250001</v>
      </c>
      <c r="E52" s="50">
        <f>VLOOKUP($A52,'Data shares'!$C:$FA,154)*100</f>
        <v>86.79</v>
      </c>
      <c r="F52" s="173">
        <f>C52/B52</f>
        <v>0.85708844888616798</v>
      </c>
    </row>
    <row r="53" spans="1:6" x14ac:dyDescent="0.25">
      <c r="A53" s="99" t="s">
        <v>203</v>
      </c>
      <c r="B53" s="49">
        <v>19131188</v>
      </c>
      <c r="C53" s="49">
        <v>5938000</v>
      </c>
      <c r="D53" s="49">
        <v>3591413.1364079998</v>
      </c>
      <c r="E53" s="50">
        <f>VLOOKUP($A53,'Data shares'!$C:$FA,154)*100</f>
        <v>31.819999999999997</v>
      </c>
      <c r="F53" s="173">
        <f>C53/B53</f>
        <v>0.31038323391103573</v>
      </c>
    </row>
    <row r="54" spans="1:6" x14ac:dyDescent="0.25">
      <c r="A54" s="99" t="s">
        <v>204</v>
      </c>
      <c r="B54" s="49">
        <v>89873278</v>
      </c>
      <c r="C54" s="49">
        <v>45751250</v>
      </c>
      <c r="D54" s="49">
        <v>21388472.110975001</v>
      </c>
      <c r="E54" s="50">
        <f>VLOOKUP($A54,'Data shares'!$C:$FA,154)*100</f>
        <v>53.37</v>
      </c>
      <c r="F54" s="173">
        <f>C54/B54</f>
        <v>0.50906399564061744</v>
      </c>
    </row>
    <row r="55" spans="1:6" x14ac:dyDescent="0.25">
      <c r="A55" s="99" t="s">
        <v>524</v>
      </c>
      <c r="B55" s="49">
        <v>12425041</v>
      </c>
      <c r="C55" s="49">
        <v>4194775</v>
      </c>
      <c r="D55" s="49">
        <v>2673942.8014877499</v>
      </c>
      <c r="E55" s="50">
        <f>VLOOKUP($A55,'Data shares'!$C:$FA,154)*100</f>
        <v>34.200000000000003</v>
      </c>
      <c r="F55" s="173">
        <f>C55/B55</f>
        <v>0.33760653184162531</v>
      </c>
    </row>
    <row r="56" spans="1:6" x14ac:dyDescent="0.25">
      <c r="A56" s="99" t="s">
        <v>600</v>
      </c>
      <c r="B56" s="49">
        <v>112112283</v>
      </c>
      <c r="C56" s="49">
        <v>32652200</v>
      </c>
      <c r="D56" s="49">
        <v>20185019.791384201</v>
      </c>
      <c r="E56" s="50">
        <f>VLOOKUP($A56,'Data shares'!$C:$FA,154)*100</f>
        <v>29.59</v>
      </c>
      <c r="F56" s="173">
        <f>C56/B56</f>
        <v>0.29124551856641789</v>
      </c>
    </row>
    <row r="57" spans="1:6" x14ac:dyDescent="0.25">
      <c r="A57" s="99" t="s">
        <v>205</v>
      </c>
      <c r="B57" s="49">
        <v>14898112</v>
      </c>
      <c r="C57" s="49">
        <v>5401000</v>
      </c>
      <c r="D57" s="49">
        <v>3385869.3991479999</v>
      </c>
      <c r="E57" s="50">
        <f>VLOOKUP($A57,'Data shares'!$C:$FA,154)*100</f>
        <v>36.61</v>
      </c>
      <c r="F57" s="173">
        <f>C57/B57</f>
        <v>0.36252915805707464</v>
      </c>
    </row>
    <row r="58" spans="1:6" x14ac:dyDescent="0.25">
      <c r="A58" s="99" t="s">
        <v>512</v>
      </c>
      <c r="B58" s="49">
        <v>6452220</v>
      </c>
      <c r="C58" s="49">
        <v>7573400</v>
      </c>
      <c r="D58" s="49">
        <v>2970690.1098170001</v>
      </c>
      <c r="E58" s="50">
        <f>VLOOKUP($A58,'Data shares'!$C:$FA,154)*100</f>
        <v>121.59</v>
      </c>
      <c r="F58" s="173">
        <f>C58/B58</f>
        <v>1.1737665485677797</v>
      </c>
    </row>
    <row r="59" spans="1:6" x14ac:dyDescent="0.25">
      <c r="A59" s="99" t="s">
        <v>207</v>
      </c>
      <c r="B59" s="49">
        <v>96058266</v>
      </c>
      <c r="C59" s="49">
        <v>75206175</v>
      </c>
      <c r="D59" s="49">
        <v>47623654.620250501</v>
      </c>
      <c r="E59" s="50">
        <f>VLOOKUP($A59,'Data shares'!$C:$FA,154)*100</f>
        <v>79.36</v>
      </c>
      <c r="F59" s="173">
        <f>C59/B59</f>
        <v>0.78292247124261016</v>
      </c>
    </row>
    <row r="60" spans="1:6" x14ac:dyDescent="0.25">
      <c r="A60" s="99" t="s">
        <v>583</v>
      </c>
      <c r="B60" s="49">
        <v>18750186</v>
      </c>
      <c r="C60" s="49">
        <v>8835300</v>
      </c>
      <c r="D60" s="49">
        <v>4708067.7616889998</v>
      </c>
      <c r="E60" s="50">
        <f>VLOOKUP($A60,'Data shares'!$C:$FA,154)*100</f>
        <v>48.79</v>
      </c>
      <c r="F60" s="173">
        <f>C60/B60</f>
        <v>0.4712113255836502</v>
      </c>
    </row>
    <row r="61" spans="1:6" x14ac:dyDescent="0.25">
      <c r="A61" s="99" t="s">
        <v>208</v>
      </c>
      <c r="B61" s="49">
        <v>91531454</v>
      </c>
      <c r="C61" s="49">
        <v>22151250</v>
      </c>
      <c r="D61" s="49">
        <v>13001360.3191875</v>
      </c>
      <c r="E61" s="50">
        <f>VLOOKUP($A61,'Data shares'!$C:$FA,154)*100</f>
        <v>24.57</v>
      </c>
      <c r="F61" s="173">
        <f>C61/B61</f>
        <v>0.24200697172362193</v>
      </c>
    </row>
    <row r="62" spans="1:6" x14ac:dyDescent="0.25">
      <c r="A62" s="99" t="s">
        <v>209</v>
      </c>
      <c r="B62" s="49">
        <v>19199175</v>
      </c>
      <c r="C62" s="49">
        <v>5676700</v>
      </c>
      <c r="D62" s="49">
        <v>3245447.180706</v>
      </c>
      <c r="E62" s="50">
        <f>VLOOKUP($A62,'Data shares'!$C:$FA,154)*100</f>
        <v>30.049999999999997</v>
      </c>
      <c r="F62" s="173">
        <f>C62/B62</f>
        <v>0.29567416308252831</v>
      </c>
    </row>
    <row r="63" spans="1:6" x14ac:dyDescent="0.25">
      <c r="A63" s="99" t="s">
        <v>667</v>
      </c>
      <c r="B63" s="49">
        <v>1251309857</v>
      </c>
      <c r="C63" s="49">
        <v>364007050</v>
      </c>
      <c r="D63" s="49">
        <v>279917065.77652502</v>
      </c>
      <c r="E63" s="50">
        <f>VLOOKUP($A63,'Data shares'!$C:$FA,154)*100</f>
        <v>29.49</v>
      </c>
      <c r="F63" s="173">
        <f>C63/B63</f>
        <v>0.2909008092309785</v>
      </c>
    </row>
    <row r="64" spans="1:6" x14ac:dyDescent="0.25">
      <c r="A64" s="99" t="s">
        <v>211</v>
      </c>
      <c r="B64" s="49">
        <v>68856800</v>
      </c>
      <c r="C64" s="49">
        <v>56489400</v>
      </c>
      <c r="D64" s="49">
        <v>25327054.578437999</v>
      </c>
      <c r="E64" s="50"/>
      <c r="F64" s="173">
        <f>C64/B64</f>
        <v>0.82038956210570346</v>
      </c>
    </row>
    <row r="65" spans="1:6" x14ac:dyDescent="0.25">
      <c r="A65" s="99" t="s">
        <v>212</v>
      </c>
      <c r="B65" s="49">
        <v>320636733</v>
      </c>
      <c r="C65" s="49">
        <v>108755000</v>
      </c>
      <c r="D65" s="49">
        <v>55747409.673349999</v>
      </c>
      <c r="E65" s="50">
        <f>VLOOKUP($A65,'Data shares'!$C:$FA,154)*100</f>
        <v>35.099999999999994</v>
      </c>
      <c r="F65" s="173">
        <f>C65/B65</f>
        <v>0.33918446892359022</v>
      </c>
    </row>
    <row r="66" spans="1:6" x14ac:dyDescent="0.25">
      <c r="A66" s="99" t="s">
        <v>677</v>
      </c>
      <c r="B66" s="49">
        <v>77949604</v>
      </c>
      <c r="C66" s="49">
        <v>16574150</v>
      </c>
      <c r="D66" s="49">
        <v>11079621.452444701</v>
      </c>
      <c r="E66" s="50">
        <f>VLOOKUP($A66,'Data shares'!$C:$FA,154)*100</f>
        <v>21.52</v>
      </c>
      <c r="F66" s="173">
        <f>C66/B66</f>
        <v>0.21262648107872364</v>
      </c>
    </row>
    <row r="67" spans="1:6" x14ac:dyDescent="0.25">
      <c r="A67" s="99" t="s">
        <v>213</v>
      </c>
      <c r="B67" s="49">
        <v>435694919</v>
      </c>
      <c r="C67" s="49">
        <v>157808700</v>
      </c>
      <c r="D67" s="49">
        <v>88253518.104045004</v>
      </c>
      <c r="E67" s="50">
        <f>VLOOKUP($A67,'Data shares'!$C:$FA,154)*100</f>
        <v>36.69</v>
      </c>
      <c r="F67" s="173">
        <f>C67/B67</f>
        <v>0.36220000077623121</v>
      </c>
    </row>
    <row r="68" spans="1:6" x14ac:dyDescent="0.25">
      <c r="A68" s="99" t="s">
        <v>214</v>
      </c>
      <c r="B68" s="49">
        <v>22585180</v>
      </c>
      <c r="C68" s="49">
        <v>15886875</v>
      </c>
      <c r="D68" s="49">
        <v>10488515.03943</v>
      </c>
      <c r="E68" s="50">
        <f>VLOOKUP($A68,'Data shares'!$C:$FA,154)*100</f>
        <v>71.5</v>
      </c>
      <c r="F68" s="173">
        <f>C68/B68</f>
        <v>0.70342034024081279</v>
      </c>
    </row>
    <row r="69" spans="1:6" x14ac:dyDescent="0.25">
      <c r="A69" s="99" t="s">
        <v>631</v>
      </c>
      <c r="B69" s="49">
        <v>534704421</v>
      </c>
      <c r="C69" s="49">
        <v>316372050</v>
      </c>
      <c r="D69" s="49">
        <v>159764132.52597299</v>
      </c>
      <c r="E69" s="50">
        <f>VLOOKUP($A69,'Data shares'!$C:$FA,154)*100</f>
        <v>59.99</v>
      </c>
      <c r="F69" s="173">
        <f>C69/B69</f>
        <v>0.59167651804397559</v>
      </c>
    </row>
    <row r="70" spans="1:6" x14ac:dyDescent="0.25">
      <c r="A70" s="99" t="s">
        <v>217</v>
      </c>
      <c r="B70" s="49">
        <v>72031016</v>
      </c>
      <c r="C70" s="49">
        <v>12219500</v>
      </c>
      <c r="D70" s="49">
        <v>9316278.0784249995</v>
      </c>
      <c r="E70" s="50">
        <f>VLOOKUP($A70,'Data shares'!$C:$FA,154)*100</f>
        <v>17.29</v>
      </c>
      <c r="F70" s="173">
        <f>C70/B70</f>
        <v>0.16964219968797886</v>
      </c>
    </row>
    <row r="71" spans="1:6" x14ac:dyDescent="0.25">
      <c r="A71" s="99" t="s">
        <v>218</v>
      </c>
      <c r="B71" s="49">
        <v>17263909</v>
      </c>
      <c r="C71" s="49">
        <v>13525325</v>
      </c>
      <c r="D71" s="49">
        <v>8669811.3449200001</v>
      </c>
      <c r="E71" s="50">
        <f>VLOOKUP($A71,'Data shares'!$C:$FA,154)*100</f>
        <v>79.290000000000006</v>
      </c>
      <c r="F71" s="173">
        <f>C71/B71</f>
        <v>0.78344510504544485</v>
      </c>
    </row>
    <row r="72" spans="1:6" x14ac:dyDescent="0.25">
      <c r="A72" s="99" t="s">
        <v>219</v>
      </c>
      <c r="B72" s="49">
        <v>38505832</v>
      </c>
      <c r="C72" s="49">
        <v>18825500</v>
      </c>
      <c r="D72" s="49">
        <v>14010930.8288475</v>
      </c>
      <c r="E72" s="50"/>
      <c r="F72" s="173">
        <f>C72/B72</f>
        <v>0.48889996715302764</v>
      </c>
    </row>
    <row r="73" spans="1:6" x14ac:dyDescent="0.25">
      <c r="A73" s="99" t="s">
        <v>513</v>
      </c>
      <c r="B73" s="49">
        <v>28450886</v>
      </c>
      <c r="C73" s="49">
        <v>16989150</v>
      </c>
      <c r="D73" s="49">
        <v>8687425.8644145001</v>
      </c>
      <c r="E73" s="50">
        <f>VLOOKUP($A73,'Data shares'!$C:$FA,154)*100</f>
        <v>60.629999999999995</v>
      </c>
      <c r="F73" s="173">
        <f>C73/B73</f>
        <v>0.59713957589932354</v>
      </c>
    </row>
    <row r="74" spans="1:6" x14ac:dyDescent="0.25">
      <c r="A74" s="99" t="s">
        <v>220</v>
      </c>
      <c r="B74" s="49">
        <v>35667502</v>
      </c>
      <c r="C74" s="49">
        <v>13280000</v>
      </c>
      <c r="D74" s="49">
        <v>8447025.3229249995</v>
      </c>
      <c r="E74" s="50">
        <f>VLOOKUP($A74,'Data shares'!$C:$FA,154)*100</f>
        <v>37.74</v>
      </c>
      <c r="F74" s="173">
        <f>C74/B74</f>
        <v>0.37232772847394807</v>
      </c>
    </row>
    <row r="75" spans="1:6" x14ac:dyDescent="0.25">
      <c r="A75" s="99" t="s">
        <v>222</v>
      </c>
      <c r="B75" s="49">
        <v>106857976</v>
      </c>
      <c r="C75" s="49">
        <v>28882000</v>
      </c>
      <c r="D75" s="49">
        <v>18009195.206372999</v>
      </c>
      <c r="E75" s="50">
        <f>VLOOKUP($A75,'Data shares'!$C:$FA,154)*100</f>
        <v>27.66</v>
      </c>
      <c r="F75" s="173">
        <f>C75/B75</f>
        <v>0.27028398890879235</v>
      </c>
    </row>
    <row r="76" spans="1:6" x14ac:dyDescent="0.25">
      <c r="A76" s="99" t="s">
        <v>475</v>
      </c>
      <c r="B76" s="49">
        <v>30592324</v>
      </c>
      <c r="C76" s="49">
        <v>9343200</v>
      </c>
      <c r="D76" s="49">
        <v>6572535.1091670003</v>
      </c>
      <c r="E76" s="50">
        <f>VLOOKUP($A76,'Data shares'!$C:$FA,154)*100</f>
        <v>30.98</v>
      </c>
      <c r="F76" s="173">
        <f>C76/B76</f>
        <v>0.30540994531830928</v>
      </c>
    </row>
    <row r="77" spans="1:6" x14ac:dyDescent="0.25">
      <c r="A77" s="99" t="s">
        <v>224</v>
      </c>
      <c r="B77" s="49">
        <v>1330694977</v>
      </c>
      <c r="C77" s="49">
        <v>316762050</v>
      </c>
      <c r="D77" s="49">
        <v>224904452.26583901</v>
      </c>
      <c r="E77" s="50">
        <f>VLOOKUP($A77,'Data shares'!$C:$FA,154)*100</f>
        <v>24.25</v>
      </c>
      <c r="F77" s="173">
        <f>C77/B77</f>
        <v>0.23804256833833379</v>
      </c>
    </row>
    <row r="78" spans="1:6" x14ac:dyDescent="0.25">
      <c r="A78" s="99" t="s">
        <v>225</v>
      </c>
      <c r="B78" s="49">
        <v>128849634</v>
      </c>
      <c r="C78" s="49">
        <v>52035500</v>
      </c>
      <c r="D78" s="49">
        <v>37326756.290394999</v>
      </c>
      <c r="E78" s="50">
        <f>VLOOKUP($A78,'Data shares'!$C:$FA,154)*100</f>
        <v>40.949999999999996</v>
      </c>
      <c r="F78" s="173">
        <f>C78/B78</f>
        <v>0.40384670398054834</v>
      </c>
    </row>
    <row r="79" spans="1:6" x14ac:dyDescent="0.25">
      <c r="A79" s="99" t="s">
        <v>226</v>
      </c>
      <c r="B79" s="49">
        <v>19586951</v>
      </c>
      <c r="C79" s="49">
        <v>9228750</v>
      </c>
      <c r="D79" s="49">
        <v>5721583.8540944997</v>
      </c>
      <c r="E79" s="50">
        <f>VLOOKUP($A79,'Data shares'!$C:$FA,154)*100</f>
        <v>48.99</v>
      </c>
      <c r="F79" s="173">
        <f>C79/B79</f>
        <v>0.47116827933045835</v>
      </c>
    </row>
    <row r="80" spans="1:6" x14ac:dyDescent="0.25">
      <c r="A80" s="99" t="s">
        <v>228</v>
      </c>
      <c r="B80" s="49">
        <v>212176873</v>
      </c>
      <c r="C80" s="49">
        <v>85866900</v>
      </c>
      <c r="D80" s="49">
        <v>59190919.904963002</v>
      </c>
      <c r="E80" s="50">
        <f>VLOOKUP($A80,'Data shares'!$C:$FA,154)*100</f>
        <v>41.69</v>
      </c>
      <c r="F80" s="173">
        <f>C80/B80</f>
        <v>0.40469490753594056</v>
      </c>
    </row>
    <row r="81" spans="1:6" x14ac:dyDescent="0.25">
      <c r="A81" s="99" t="s">
        <v>229</v>
      </c>
      <c r="B81" s="49">
        <v>143933168</v>
      </c>
      <c r="C81" s="49">
        <v>60079725</v>
      </c>
      <c r="D81" s="49">
        <v>36245842.228991203</v>
      </c>
      <c r="E81" s="50">
        <f>VLOOKUP($A81,'Data shares'!$C:$FA,154)*100</f>
        <v>42.57</v>
      </c>
      <c r="F81" s="173">
        <f>C81/B81</f>
        <v>0.4174140389934306</v>
      </c>
    </row>
    <row r="82" spans="1:6" x14ac:dyDescent="0.25">
      <c r="A82" s="99" t="s">
        <v>230</v>
      </c>
      <c r="B82" s="49">
        <v>91001773</v>
      </c>
      <c r="C82" s="49">
        <v>22131000</v>
      </c>
      <c r="D82" s="49">
        <v>14188076.914527001</v>
      </c>
      <c r="E82" s="50">
        <f>VLOOKUP($A82,'Data shares'!$C:$FA,154)*100</f>
        <v>24.990000000000002</v>
      </c>
      <c r="F82" s="173">
        <f>C82/B82</f>
        <v>0.24319306394173221</v>
      </c>
    </row>
    <row r="83" spans="1:6" x14ac:dyDescent="0.25">
      <c r="A83" s="99" t="s">
        <v>668</v>
      </c>
      <c r="B83" s="49">
        <v>161247058</v>
      </c>
      <c r="C83" s="49">
        <v>98957950</v>
      </c>
      <c r="D83" s="49">
        <v>36018464.935750499</v>
      </c>
      <c r="E83" s="50">
        <f>VLOOKUP($A83,'Data shares'!$C:$FA,154)*100</f>
        <v>63.149999999999991</v>
      </c>
      <c r="F83" s="173">
        <f>C83/B83</f>
        <v>0.61370391018234882</v>
      </c>
    </row>
    <row r="84" spans="1:6" x14ac:dyDescent="0.25">
      <c r="A84" s="99" t="s">
        <v>608</v>
      </c>
      <c r="B84" s="49">
        <v>75071250</v>
      </c>
      <c r="C84" s="49">
        <v>72688350</v>
      </c>
      <c r="D84" s="49">
        <v>36644191.011894003</v>
      </c>
      <c r="E84" s="50">
        <f>VLOOKUP($A84,'Data shares'!$C:$FA,154)*100</f>
        <v>98.9</v>
      </c>
      <c r="F84" s="173">
        <f>C84/B84</f>
        <v>0.96825815475298471</v>
      </c>
    </row>
    <row r="85" spans="1:6" x14ac:dyDescent="0.25">
      <c r="A85" s="99" t="s">
        <v>232</v>
      </c>
      <c r="B85" s="49">
        <v>580601807</v>
      </c>
      <c r="C85" s="49">
        <v>167325900</v>
      </c>
      <c r="D85" s="49">
        <v>114237914.97062001</v>
      </c>
      <c r="E85" s="50">
        <f>VLOOKUP($A85,'Data shares'!$C:$FA,154)*100</f>
        <v>29.509999999999998</v>
      </c>
      <c r="F85" s="173">
        <f>C85/B85</f>
        <v>0.28819390153913177</v>
      </c>
    </row>
    <row r="86" spans="1:6" x14ac:dyDescent="0.25">
      <c r="A86" s="99" t="s">
        <v>472</v>
      </c>
      <c r="B86" s="49">
        <v>28747897</v>
      </c>
      <c r="C86" s="49">
        <v>6955325</v>
      </c>
      <c r="D86" s="49">
        <v>5000193.5088267503</v>
      </c>
      <c r="E86" s="50">
        <f>VLOOKUP($A86,'Data shares'!$C:$FA,154)*100</f>
        <v>24.39</v>
      </c>
      <c r="F86" s="173">
        <f>C86/B86</f>
        <v>0.24194204536074412</v>
      </c>
    </row>
    <row r="87" spans="1:6" x14ac:dyDescent="0.25">
      <c r="A87" s="99" t="s">
        <v>233</v>
      </c>
      <c r="B87" s="49">
        <v>58746582</v>
      </c>
      <c r="C87" s="49">
        <v>21284250</v>
      </c>
      <c r="D87" s="49">
        <v>16027219.7000925</v>
      </c>
      <c r="E87" s="50">
        <f>VLOOKUP($A87,'Data shares'!$C:$FA,154)*100</f>
        <v>36.520000000000003</v>
      </c>
      <c r="F87" s="173">
        <f>C87/B87</f>
        <v>0.36230618489429733</v>
      </c>
    </row>
    <row r="88" spans="1:6" x14ac:dyDescent="0.25">
      <c r="A88" s="99" t="s">
        <v>234</v>
      </c>
      <c r="B88" s="49">
        <v>12037179660</v>
      </c>
      <c r="C88" s="49">
        <v>11112289725</v>
      </c>
      <c r="D88" s="49">
        <v>6427873840.4101</v>
      </c>
      <c r="E88" s="50">
        <f>VLOOKUP($A88,'Data shares'!$C:$FA,154)*100</f>
        <v>93.62</v>
      </c>
      <c r="F88" s="173">
        <f>C88/B88</f>
        <v>0.92316390042150454</v>
      </c>
    </row>
    <row r="89" spans="1:6" x14ac:dyDescent="0.25">
      <c r="A89" s="99" t="s">
        <v>235</v>
      </c>
      <c r="B89" s="49">
        <v>936861183</v>
      </c>
      <c r="C89" s="49">
        <v>497946925</v>
      </c>
      <c r="D89" s="49">
        <v>306607852.43022698</v>
      </c>
      <c r="E89" s="50">
        <f>VLOOKUP($A89,'Data shares'!$C:$FA,154)*100</f>
        <v>54.02</v>
      </c>
      <c r="F89" s="173">
        <f>C89/B89</f>
        <v>0.53150555710450431</v>
      </c>
    </row>
    <row r="90" spans="1:6" x14ac:dyDescent="0.25">
      <c r="A90" s="99" t="s">
        <v>514</v>
      </c>
      <c r="B90" s="49">
        <v>133395043</v>
      </c>
      <c r="C90" s="49">
        <v>228086250</v>
      </c>
      <c r="D90" s="49">
        <v>83358885.254437506</v>
      </c>
      <c r="E90" s="50">
        <f>VLOOKUP($A90,'Data shares'!$C:$FA,154)*100</f>
        <v>175.31</v>
      </c>
      <c r="F90" s="173">
        <f>C90/B90</f>
        <v>1.7098555153957258</v>
      </c>
    </row>
    <row r="91" spans="1:6" x14ac:dyDescent="0.25">
      <c r="A91" s="99" t="s">
        <v>666</v>
      </c>
      <c r="B91" s="49">
        <v>35669230</v>
      </c>
      <c r="C91" s="49">
        <v>21073800</v>
      </c>
      <c r="D91" s="49">
        <v>10786032.4288365</v>
      </c>
      <c r="E91" s="50">
        <f>VLOOKUP($A91,'Data shares'!$C:$FA,154)*100</f>
        <v>60.07</v>
      </c>
      <c r="F91" s="173">
        <f>C91/B91</f>
        <v>0.59081174446434648</v>
      </c>
    </row>
    <row r="92" spans="1:6" x14ac:dyDescent="0.25">
      <c r="A92" s="99" t="s">
        <v>501</v>
      </c>
      <c r="B92" s="49">
        <v>132129624</v>
      </c>
      <c r="C92" s="49">
        <v>44336000</v>
      </c>
      <c r="D92" s="49">
        <v>27904542.047649998</v>
      </c>
      <c r="E92" s="50">
        <f>VLOOKUP($A92,'Data shares'!$C:$FA,154)*100</f>
        <v>34.33</v>
      </c>
      <c r="F92" s="173">
        <f>C92/B92</f>
        <v>0.33554927848731336</v>
      </c>
    </row>
    <row r="93" spans="1:6" x14ac:dyDescent="0.25">
      <c r="A93" s="99" t="s">
        <v>578</v>
      </c>
      <c r="B93" s="49">
        <v>52862157</v>
      </c>
      <c r="C93" s="49">
        <v>17183000</v>
      </c>
      <c r="D93" s="49">
        <v>9456867.0960499998</v>
      </c>
      <c r="E93" s="50"/>
      <c r="F93" s="173">
        <f>C93/B93</f>
        <v>0.32505294855826639</v>
      </c>
    </row>
    <row r="94" spans="1:6" x14ac:dyDescent="0.25">
      <c r="A94" s="99" t="s">
        <v>238</v>
      </c>
      <c r="B94" s="49">
        <v>33874835</v>
      </c>
      <c r="C94" s="49">
        <v>16646400</v>
      </c>
      <c r="D94" s="49">
        <v>8996147.3620244991</v>
      </c>
      <c r="E94" s="50">
        <f>VLOOKUP($A94,'Data shares'!$C:$FA,154)*100</f>
        <v>50.07</v>
      </c>
      <c r="F94" s="173">
        <f>C94/B94</f>
        <v>0.49140903564548727</v>
      </c>
    </row>
    <row r="95" spans="1:6" x14ac:dyDescent="0.25">
      <c r="A95" s="99" t="s">
        <v>239</v>
      </c>
      <c r="B95" s="49">
        <v>93808799</v>
      </c>
      <c r="C95" s="49">
        <v>67506600</v>
      </c>
      <c r="D95" s="49">
        <v>40125952.282577001</v>
      </c>
      <c r="E95" s="50">
        <f>VLOOKUP($A95,'Data shares'!$C:$FA,154)*100</f>
        <v>73.240000000000009</v>
      </c>
      <c r="F95" s="173">
        <f>C95/B95</f>
        <v>0.71961906259987407</v>
      </c>
    </row>
    <row r="96" spans="1:6" x14ac:dyDescent="0.25">
      <c r="A96" s="99" t="s">
        <v>473</v>
      </c>
      <c r="B96" s="49">
        <v>193623116</v>
      </c>
      <c r="C96" s="49">
        <v>133004600</v>
      </c>
      <c r="D96" s="49">
        <v>83910844.765459001</v>
      </c>
      <c r="E96" s="50">
        <f>VLOOKUP($A96,'Data shares'!$C:$FA,154)*100</f>
        <v>69.58</v>
      </c>
      <c r="F96" s="173">
        <f>C96/B96</f>
        <v>0.68692521196694301</v>
      </c>
    </row>
    <row r="97" spans="1:6" x14ac:dyDescent="0.25">
      <c r="A97" s="99" t="s">
        <v>240</v>
      </c>
      <c r="B97" s="49">
        <v>368703409</v>
      </c>
      <c r="C97" s="49">
        <v>105912400</v>
      </c>
      <c r="D97" s="49">
        <v>72008780.607056007</v>
      </c>
      <c r="E97" s="50">
        <f>VLOOKUP($A97,'Data shares'!$C:$FA,154)*100</f>
        <v>29.26</v>
      </c>
      <c r="F97" s="173">
        <f>C97/B97</f>
        <v>0.28725636219978645</v>
      </c>
    </row>
    <row r="98" spans="1:6" x14ac:dyDescent="0.25">
      <c r="A98" s="99" t="s">
        <v>669</v>
      </c>
      <c r="B98" s="49">
        <v>144708707</v>
      </c>
      <c r="C98" s="49">
        <v>137576725</v>
      </c>
      <c r="D98" s="49">
        <v>77443119.991380006</v>
      </c>
      <c r="E98" s="50"/>
      <c r="F98" s="173">
        <f>C98/B98</f>
        <v>0.95071490756945265</v>
      </c>
    </row>
    <row r="99" spans="1:6" x14ac:dyDescent="0.25">
      <c r="A99" s="99" t="s">
        <v>241</v>
      </c>
      <c r="B99" s="49">
        <v>684903861</v>
      </c>
      <c r="C99" s="49">
        <v>187097625</v>
      </c>
      <c r="D99" s="49">
        <v>106775220.947118</v>
      </c>
      <c r="E99" s="50">
        <f>VLOOKUP($A99,'Data shares'!$C:$FA,154)*100</f>
        <v>27.67</v>
      </c>
      <c r="F99" s="173">
        <f>C99/B99</f>
        <v>0.27317355858795489</v>
      </c>
    </row>
    <row r="100" spans="1:6" x14ac:dyDescent="0.25">
      <c r="A100" s="99" t="s">
        <v>490</v>
      </c>
      <c r="B100" s="49">
        <v>32504261</v>
      </c>
      <c r="C100" s="49">
        <v>55396250</v>
      </c>
      <c r="D100" s="49">
        <v>21584978.53568</v>
      </c>
      <c r="E100" s="50">
        <f>VLOOKUP($A100,'Data shares'!$C:$FA,154)*100</f>
        <v>175.44</v>
      </c>
      <c r="F100" s="173">
        <f>C100/B100</f>
        <v>1.7042765562336581</v>
      </c>
    </row>
    <row r="101" spans="1:6" x14ac:dyDescent="0.25">
      <c r="A101" s="99" t="s">
        <v>664</v>
      </c>
      <c r="B101" s="49">
        <v>119011160</v>
      </c>
      <c r="C101" s="49">
        <v>110917500</v>
      </c>
      <c r="D101" s="49">
        <v>50037343.762762502</v>
      </c>
      <c r="E101" s="50">
        <f>VLOOKUP($A101,'Data shares'!$C:$FA,154)*100</f>
        <v>94.83</v>
      </c>
      <c r="F101" s="173">
        <f>C101/B101</f>
        <v>0.93199242827311324</v>
      </c>
    </row>
    <row r="102" spans="1:6" x14ac:dyDescent="0.25">
      <c r="A102" s="99" t="s">
        <v>592</v>
      </c>
      <c r="B102" s="49">
        <v>200960551</v>
      </c>
      <c r="C102" s="49">
        <v>178500000</v>
      </c>
      <c r="D102" s="49">
        <v>60634842.5758375</v>
      </c>
      <c r="E102" s="50">
        <f>VLOOKUP($A102,'Data shares'!$C:$FA,154)*100</f>
        <v>90.3</v>
      </c>
      <c r="F102" s="173">
        <f>C102/B102</f>
        <v>0.88823402957329667</v>
      </c>
    </row>
    <row r="103" spans="1:6" x14ac:dyDescent="0.25">
      <c r="A103" s="99" t="s">
        <v>242</v>
      </c>
      <c r="B103" s="49">
        <v>1252401670</v>
      </c>
      <c r="C103" s="49">
        <v>716755200</v>
      </c>
      <c r="D103" s="49">
        <v>236832484.873072</v>
      </c>
      <c r="E103" s="50">
        <f>VLOOKUP($A103,'Data shares'!$C:$FA,154)*100</f>
        <v>60.18</v>
      </c>
      <c r="F103" s="173">
        <f>C103/B103</f>
        <v>0.57230457062549267</v>
      </c>
    </row>
    <row r="104" spans="1:6" x14ac:dyDescent="0.25">
      <c r="A104" s="99" t="s">
        <v>243</v>
      </c>
      <c r="B104" s="49">
        <v>48257090</v>
      </c>
      <c r="C104" s="49">
        <v>21080000</v>
      </c>
      <c r="D104" s="49">
        <v>13000480.446975</v>
      </c>
      <c r="E104" s="50">
        <f>VLOOKUP($A104,'Data shares'!$C:$FA,154)*100</f>
        <v>44.57</v>
      </c>
      <c r="F104" s="173">
        <f>C104/B104</f>
        <v>0.4368270030372739</v>
      </c>
    </row>
    <row r="105" spans="1:6" x14ac:dyDescent="0.25">
      <c r="A105" s="99" t="s">
        <v>570</v>
      </c>
      <c r="B105" s="49">
        <v>355358091</v>
      </c>
      <c r="C105" s="49">
        <v>252845900</v>
      </c>
      <c r="D105" s="49">
        <v>151990363.58438399</v>
      </c>
      <c r="E105" s="50">
        <f>VLOOKUP($A105,'Data shares'!$C:$FA,154)*100</f>
        <v>72.099999999999994</v>
      </c>
      <c r="F105" s="173">
        <f>C105/B105</f>
        <v>0.71152425230694971</v>
      </c>
    </row>
    <row r="106" spans="1:6" x14ac:dyDescent="0.25">
      <c r="A106" s="99" t="s">
        <v>580</v>
      </c>
      <c r="B106" s="49">
        <v>80385888</v>
      </c>
      <c r="C106" s="49">
        <v>51838000</v>
      </c>
      <c r="D106" s="49">
        <v>36501288.670379996</v>
      </c>
      <c r="E106" s="50">
        <f>VLOOKUP($A106,'Data shares'!$C:$FA,154)*100</f>
        <v>64.73</v>
      </c>
      <c r="F106" s="173">
        <f>C106/B106</f>
        <v>0.64486443192616094</v>
      </c>
    </row>
    <row r="107" spans="1:6" x14ac:dyDescent="0.25">
      <c r="A107" s="99" t="s">
        <v>244</v>
      </c>
      <c r="B107" s="49">
        <v>133434355</v>
      </c>
      <c r="C107" s="49">
        <v>66798000</v>
      </c>
      <c r="D107" s="49">
        <v>49193252.049307503</v>
      </c>
      <c r="E107" s="50">
        <f>VLOOKUP($A107,'Data shares'!$C:$FA,154)*100</f>
        <v>50.660000000000004</v>
      </c>
      <c r="F107" s="173">
        <f>C107/B107</f>
        <v>0.50060570982637864</v>
      </c>
    </row>
    <row r="108" spans="1:6" x14ac:dyDescent="0.25">
      <c r="A108" s="99" t="s">
        <v>245</v>
      </c>
      <c r="B108" s="49">
        <v>58761693</v>
      </c>
      <c r="C108" s="49">
        <v>45943750</v>
      </c>
      <c r="D108" s="49">
        <v>23498071.271137498</v>
      </c>
      <c r="E108" s="50">
        <f>VLOOKUP($A108,'Data shares'!$C:$FA,154)*100</f>
        <v>79.679999999999993</v>
      </c>
      <c r="F108" s="173">
        <f>C108/B108</f>
        <v>0.78186566203938335</v>
      </c>
    </row>
    <row r="109" spans="1:6" x14ac:dyDescent="0.25">
      <c r="A109" s="99" t="s">
        <v>582</v>
      </c>
      <c r="B109" s="49">
        <v>57654984</v>
      </c>
      <c r="C109" s="49">
        <v>52958425</v>
      </c>
      <c r="D109" s="49">
        <v>33744176.259270199</v>
      </c>
      <c r="E109" s="50">
        <f>VLOOKUP($A109,'Data shares'!$C:$FA,154)*100</f>
        <v>92.84</v>
      </c>
      <c r="F109" s="173">
        <f>C109/B109</f>
        <v>0.91854027745459088</v>
      </c>
    </row>
    <row r="110" spans="1:6" x14ac:dyDescent="0.25">
      <c r="A110" s="99" t="s">
        <v>676</v>
      </c>
      <c r="B110" s="49">
        <v>4679418</v>
      </c>
      <c r="C110" s="49">
        <v>8702000</v>
      </c>
      <c r="D110" s="49">
        <v>3342395.0291180001</v>
      </c>
      <c r="E110" s="50">
        <f>VLOOKUP($A110,'Data shares'!$C:$FA,154)*100</f>
        <v>193.23</v>
      </c>
      <c r="F110" s="173">
        <f>C110/B110</f>
        <v>1.8596329714507231</v>
      </c>
    </row>
    <row r="111" spans="1:6" x14ac:dyDescent="0.25">
      <c r="A111" s="99" t="s">
        <v>610</v>
      </c>
      <c r="B111" s="49">
        <v>8553821</v>
      </c>
      <c r="C111" s="49">
        <v>1699600</v>
      </c>
      <c r="D111" s="49">
        <v>995804.43961074995</v>
      </c>
      <c r="E111" s="50">
        <f>VLOOKUP($A111,'Data shares'!$C:$FA,154)*100</f>
        <v>20.190000000000001</v>
      </c>
      <c r="F111" s="173">
        <f>C111/B111</f>
        <v>0.19869482889576484</v>
      </c>
    </row>
    <row r="112" spans="1:6" x14ac:dyDescent="0.25">
      <c r="A112" s="99" t="s">
        <v>683</v>
      </c>
      <c r="B112" s="49">
        <v>19924232</v>
      </c>
      <c r="C112" s="49">
        <v>6504000</v>
      </c>
      <c r="D112" s="49">
        <v>3378134.29801</v>
      </c>
      <c r="E112" s="50">
        <f>VLOOKUP($A112,'Data shares'!$C:$FA,154)*100</f>
        <v>33.129999999999995</v>
      </c>
      <c r="F112" s="173">
        <f>C112/B112</f>
        <v>0.32643667269082188</v>
      </c>
    </row>
    <row r="113" spans="1:6" x14ac:dyDescent="0.25">
      <c r="A113" s="99" t="s">
        <v>246</v>
      </c>
      <c r="B113" s="49">
        <v>156205070</v>
      </c>
      <c r="C113" s="49">
        <v>51413200</v>
      </c>
      <c r="D113" s="49">
        <v>36709565.947772004</v>
      </c>
      <c r="E113" s="50">
        <f>VLOOKUP($A113,'Data shares'!$C:$FA,154)*100</f>
        <v>33.53</v>
      </c>
      <c r="F113" s="173">
        <f>C113/B113</f>
        <v>0.32913912461356087</v>
      </c>
    </row>
    <row r="114" spans="1:6" x14ac:dyDescent="0.25">
      <c r="A114" s="99" t="s">
        <v>577</v>
      </c>
      <c r="B114" s="49">
        <v>24589408</v>
      </c>
      <c r="C114" s="49">
        <v>6546700</v>
      </c>
      <c r="D114" s="49">
        <v>3105451.5610587499</v>
      </c>
      <c r="E114" s="50">
        <f>VLOOKUP($A114,'Data shares'!$C:$FA,154)*100</f>
        <v>26.939999999999998</v>
      </c>
      <c r="F114" s="173">
        <f>C114/B114</f>
        <v>0.26624065125927393</v>
      </c>
    </row>
    <row r="115" spans="1:6" x14ac:dyDescent="0.25">
      <c r="A115" s="99" t="s">
        <v>535</v>
      </c>
      <c r="B115" s="49">
        <v>58629477</v>
      </c>
      <c r="C115" s="49">
        <v>27241650</v>
      </c>
      <c r="D115" s="49">
        <v>14298146.245060001</v>
      </c>
      <c r="E115" s="50">
        <f>VLOOKUP($A115,'Data shares'!$C:$FA,154)*100</f>
        <v>47.599999999999994</v>
      </c>
      <c r="F115" s="173">
        <f>C115/B115</f>
        <v>0.46464084951670298</v>
      </c>
    </row>
    <row r="116" spans="1:6" x14ac:dyDescent="0.25">
      <c r="A116" s="99" t="s">
        <v>248</v>
      </c>
      <c r="B116" s="49">
        <v>45183075</v>
      </c>
      <c r="C116" s="49">
        <v>48172000</v>
      </c>
      <c r="D116" s="49">
        <v>30976843.377549998</v>
      </c>
      <c r="E116" s="50">
        <f>VLOOKUP($A116,'Data shares'!$C:$FA,154)*100</f>
        <v>107.79</v>
      </c>
      <c r="F116" s="173">
        <f>C116/B116</f>
        <v>1.0661514294899141</v>
      </c>
    </row>
    <row r="117" spans="1:6" x14ac:dyDescent="0.25">
      <c r="A117" s="99" t="s">
        <v>607</v>
      </c>
      <c r="B117" s="49">
        <v>33206238</v>
      </c>
      <c r="C117" s="49">
        <v>20229300</v>
      </c>
      <c r="D117" s="49">
        <v>10065106.039659999</v>
      </c>
      <c r="E117" s="50">
        <f>VLOOKUP($A117,'Data shares'!$C:$FA,154)*100</f>
        <v>61.71</v>
      </c>
      <c r="F117" s="173">
        <f>C117/B117</f>
        <v>0.60920180117964584</v>
      </c>
    </row>
    <row r="118" spans="1:6" x14ac:dyDescent="0.25">
      <c r="A118" s="99" t="s">
        <v>588</v>
      </c>
      <c r="B118" s="49">
        <v>42126960</v>
      </c>
      <c r="C118" s="49">
        <v>16855650</v>
      </c>
      <c r="D118" s="49">
        <v>11649254.920519499</v>
      </c>
      <c r="E118" s="50">
        <f>VLOOKUP($A118,'Data shares'!$C:$FA,154)*100</f>
        <v>40.479999999999997</v>
      </c>
      <c r="F118" s="173">
        <f>C118/B118</f>
        <v>0.40011550797873857</v>
      </c>
    </row>
    <row r="119" spans="1:6" x14ac:dyDescent="0.25">
      <c r="A119" s="99" t="s">
        <v>249</v>
      </c>
      <c r="B119" s="49">
        <v>136109374</v>
      </c>
      <c r="C119" s="49">
        <v>18834550</v>
      </c>
      <c r="D119" s="49">
        <v>14109728.3235317</v>
      </c>
      <c r="E119" s="50">
        <f>VLOOKUP($A119,'Data shares'!$C:$FA,154)*100</f>
        <v>14.19</v>
      </c>
      <c r="F119" s="173">
        <f>C119/B119</f>
        <v>0.13837805175711115</v>
      </c>
    </row>
    <row r="120" spans="1:6" x14ac:dyDescent="0.25">
      <c r="A120" s="99" t="s">
        <v>565</v>
      </c>
      <c r="B120" s="49">
        <v>127100972</v>
      </c>
      <c r="C120" s="49">
        <v>76182750</v>
      </c>
      <c r="D120" s="49">
        <v>38865246.725610003</v>
      </c>
      <c r="E120" s="50">
        <f>VLOOKUP($A120,'Data shares'!$C:$FA,154)*100</f>
        <v>62.839999999999996</v>
      </c>
      <c r="F120" s="173">
        <f>C120/B120</f>
        <v>0.59938762702774606</v>
      </c>
    </row>
    <row r="121" spans="1:6" x14ac:dyDescent="0.25">
      <c r="A121" s="99" t="s">
        <v>561</v>
      </c>
      <c r="B121" s="49">
        <v>9672091</v>
      </c>
      <c r="C121" s="49">
        <v>3797250</v>
      </c>
      <c r="D121" s="49">
        <v>2239453.7367854998</v>
      </c>
      <c r="E121" s="50">
        <f>VLOOKUP($A121,'Data shares'!$C:$FA,154)*100</f>
        <v>40.020000000000003</v>
      </c>
      <c r="F121" s="173">
        <f>C121/B121</f>
        <v>0.3925986635154694</v>
      </c>
    </row>
    <row r="122" spans="1:6" x14ac:dyDescent="0.25">
      <c r="A122" s="99" t="s">
        <v>250</v>
      </c>
      <c r="B122" s="49">
        <v>36381777</v>
      </c>
      <c r="C122" s="49">
        <v>11362800</v>
      </c>
      <c r="D122" s="49">
        <v>7324276.8343577497</v>
      </c>
      <c r="E122" s="50">
        <f>VLOOKUP($A122,'Data shares'!$C:$FA,154)*100</f>
        <v>31.790000000000003</v>
      </c>
      <c r="F122" s="173">
        <f>C122/B122</f>
        <v>0.31232119310719758</v>
      </c>
    </row>
    <row r="123" spans="1:6" x14ac:dyDescent="0.25">
      <c r="A123" s="99" t="s">
        <v>251</v>
      </c>
      <c r="B123" s="49">
        <v>95452027</v>
      </c>
      <c r="C123" s="49">
        <v>23091400</v>
      </c>
      <c r="D123" s="49">
        <v>18590811.839667998</v>
      </c>
      <c r="E123" s="50">
        <f>VLOOKUP($A123,'Data shares'!$C:$FA,154)*100</f>
        <v>24.62</v>
      </c>
      <c r="F123" s="173">
        <f>C123/B123</f>
        <v>0.24191628743515317</v>
      </c>
    </row>
    <row r="124" spans="1:6" x14ac:dyDescent="0.25">
      <c r="A124" s="99" t="s">
        <v>253</v>
      </c>
      <c r="B124" s="49">
        <v>82205057</v>
      </c>
      <c r="C124" s="49">
        <v>72657000</v>
      </c>
      <c r="D124" s="49">
        <v>41046151.726170003</v>
      </c>
      <c r="E124" s="50">
        <f>VLOOKUP($A124,'Data shares'!$C:$FA,154)*100</f>
        <v>89.259999999999991</v>
      </c>
      <c r="F124" s="173">
        <f>C124/B124</f>
        <v>0.88385073438973472</v>
      </c>
    </row>
    <row r="125" spans="1:6" x14ac:dyDescent="0.25">
      <c r="A125" s="99" t="s">
        <v>672</v>
      </c>
      <c r="B125" s="49">
        <v>16919681</v>
      </c>
      <c r="C125" s="49">
        <v>3188925</v>
      </c>
      <c r="D125" s="49">
        <v>1972319.6709157501</v>
      </c>
      <c r="E125" s="50"/>
      <c r="F125" s="173">
        <f>C125/B125</f>
        <v>0.18847429806743993</v>
      </c>
    </row>
    <row r="126" spans="1:6" x14ac:dyDescent="0.25">
      <c r="A126" s="99" t="s">
        <v>254</v>
      </c>
      <c r="B126" s="49">
        <v>79442217</v>
      </c>
      <c r="C126" s="49">
        <v>41251200</v>
      </c>
      <c r="D126" s="49">
        <v>31688540.309411999</v>
      </c>
      <c r="E126" s="50">
        <f>VLOOKUP($A126,'Data shares'!$C:$FA,154)*100</f>
        <v>52.54</v>
      </c>
      <c r="F126" s="173">
        <f>C126/B126</f>
        <v>0.51926043302643476</v>
      </c>
    </row>
    <row r="127" spans="1:6" x14ac:dyDescent="0.25">
      <c r="A127" s="99" t="s">
        <v>255</v>
      </c>
      <c r="B127" s="49">
        <v>17687048</v>
      </c>
      <c r="C127" s="49">
        <v>5532650</v>
      </c>
      <c r="D127" s="49">
        <v>3133072.7777249999</v>
      </c>
      <c r="E127" s="50">
        <f>VLOOKUP($A127,'Data shares'!$C:$FA,154)*100</f>
        <v>32.28</v>
      </c>
      <c r="F127" s="173">
        <f>C127/B127</f>
        <v>0.31280799373643359</v>
      </c>
    </row>
    <row r="128" spans="1:6" x14ac:dyDescent="0.25">
      <c r="A128" s="99" t="s">
        <v>603</v>
      </c>
      <c r="B128" s="49">
        <v>111218809</v>
      </c>
      <c r="C128" s="49">
        <v>27502125</v>
      </c>
      <c r="D128" s="49">
        <v>22385820.423351001</v>
      </c>
      <c r="E128" s="50">
        <f>VLOOKUP($A128,'Data shares'!$C:$FA,154)*100</f>
        <v>25.040000000000003</v>
      </c>
      <c r="F128" s="173">
        <f>C128/B128</f>
        <v>0.24727944173543523</v>
      </c>
    </row>
    <row r="129" spans="1:6" x14ac:dyDescent="0.25">
      <c r="A129" s="99" t="s">
        <v>673</v>
      </c>
      <c r="B129" s="49">
        <v>11364224</v>
      </c>
      <c r="C129" s="49">
        <v>11268400</v>
      </c>
      <c r="D129" s="49">
        <v>5016875.9848239999</v>
      </c>
      <c r="E129" s="50">
        <f>VLOOKUP($A129,'Data shares'!$C:$FA,154)*100</f>
        <v>100.63</v>
      </c>
      <c r="F129" s="173">
        <f>C129/B129</f>
        <v>0.99156792403951211</v>
      </c>
    </row>
    <row r="130" spans="1:6" x14ac:dyDescent="0.25">
      <c r="A130" s="99" t="s">
        <v>517</v>
      </c>
      <c r="B130" s="49">
        <v>38177110</v>
      </c>
      <c r="C130" s="49">
        <v>29283750</v>
      </c>
      <c r="D130" s="49">
        <v>14600130.57815</v>
      </c>
      <c r="E130" s="50">
        <f>VLOOKUP($A130,'Data shares'!$C:$FA,154)*100</f>
        <v>80.14</v>
      </c>
      <c r="F130" s="173">
        <f>C130/B130</f>
        <v>0.76704994170590701</v>
      </c>
    </row>
    <row r="131" spans="1:6" x14ac:dyDescent="0.25">
      <c r="A131" s="99" t="s">
        <v>257</v>
      </c>
      <c r="B131" s="49">
        <v>33919851</v>
      </c>
      <c r="C131" s="49">
        <v>11364000</v>
      </c>
      <c r="D131" s="49">
        <v>8989299.6677839998</v>
      </c>
      <c r="E131" s="50"/>
      <c r="F131" s="173">
        <f>C131/B131</f>
        <v>0.33502505656643361</v>
      </c>
    </row>
    <row r="132" spans="1:6" x14ac:dyDescent="0.25">
      <c r="A132" s="99" t="s">
        <v>559</v>
      </c>
      <c r="B132" s="49">
        <v>606151620</v>
      </c>
      <c r="C132" s="49">
        <v>260108100</v>
      </c>
      <c r="D132" s="49">
        <v>161187341.96931699</v>
      </c>
      <c r="E132" s="50">
        <f>VLOOKUP($A132,'Data shares'!$C:$FA,154)*100</f>
        <v>43.309999999999995</v>
      </c>
      <c r="F132" s="173">
        <f>C132/B132</f>
        <v>0.42911392367473999</v>
      </c>
    </row>
    <row r="133" spans="1:6" x14ac:dyDescent="0.25">
      <c r="A133" s="99" t="s">
        <v>487</v>
      </c>
      <c r="B133" s="49">
        <v>17093933</v>
      </c>
      <c r="C133" s="49">
        <v>6683875</v>
      </c>
      <c r="D133" s="49">
        <v>5060370.1507892497</v>
      </c>
      <c r="E133" s="50">
        <f>VLOOKUP($A133,'Data shares'!$C:$FA,154)*100</f>
        <v>39.4</v>
      </c>
      <c r="F133" s="173">
        <f>C133/B133</f>
        <v>0.39100861106686213</v>
      </c>
    </row>
    <row r="134" spans="1:6" x14ac:dyDescent="0.25">
      <c r="A134" s="99" t="s">
        <v>262</v>
      </c>
      <c r="B134" s="49">
        <v>14790848</v>
      </c>
      <c r="C134" s="49">
        <v>7107925</v>
      </c>
      <c r="D134" s="49">
        <v>3929142.8470387501</v>
      </c>
      <c r="E134" s="50">
        <f>VLOOKUP($A134,'Data shares'!$C:$FA,154)*100</f>
        <v>49.19</v>
      </c>
      <c r="F134" s="173">
        <f>C134/B134</f>
        <v>0.48056237208306107</v>
      </c>
    </row>
    <row r="135" spans="1:6" x14ac:dyDescent="0.25">
      <c r="A135" s="99" t="s">
        <v>263</v>
      </c>
      <c r="B135" s="49">
        <v>134225816</v>
      </c>
      <c r="C135" s="49">
        <v>136612500</v>
      </c>
      <c r="D135" s="49">
        <v>52445301.410850003</v>
      </c>
      <c r="E135" s="50">
        <f>VLOOKUP($A135,'Data shares'!$C:$FA,154)*100</f>
        <v>105.66</v>
      </c>
      <c r="F135" s="173">
        <f>C135/B135</f>
        <v>1.0177811100064387</v>
      </c>
    </row>
    <row r="136" spans="1:6" x14ac:dyDescent="0.25">
      <c r="A136" s="99" t="s">
        <v>264</v>
      </c>
      <c r="B136" s="49">
        <v>45110207</v>
      </c>
      <c r="C136" s="49">
        <v>13292250</v>
      </c>
      <c r="D136" s="49">
        <v>8330388.9579750001</v>
      </c>
      <c r="E136" s="50">
        <f>VLOOKUP($A136,'Data shares'!$C:$FA,154)*100</f>
        <v>29.82</v>
      </c>
      <c r="F136" s="173">
        <f>C136/B136</f>
        <v>0.2946616937492661</v>
      </c>
    </row>
    <row r="137" spans="1:6" x14ac:dyDescent="0.25">
      <c r="A137" s="99" t="s">
        <v>550</v>
      </c>
      <c r="B137" s="49">
        <v>154894704</v>
      </c>
      <c r="C137" s="49">
        <v>162825000</v>
      </c>
      <c r="D137" s="49">
        <v>85115737.213650003</v>
      </c>
      <c r="E137" s="50">
        <f>VLOOKUP($A137,'Data shares'!$C:$FA,154)*100</f>
        <v>106.60000000000001</v>
      </c>
      <c r="F137" s="173">
        <f>C137/B137</f>
        <v>1.0511979802743934</v>
      </c>
    </row>
    <row r="138" spans="1:6" x14ac:dyDescent="0.25">
      <c r="A138" s="99" t="s">
        <v>265</v>
      </c>
      <c r="B138" s="49">
        <v>71801274</v>
      </c>
      <c r="C138" s="49">
        <v>23505500</v>
      </c>
      <c r="D138" s="49">
        <v>18190301.17771</v>
      </c>
      <c r="E138" s="50">
        <f>VLOOKUP($A138,'Data shares'!$C:$FA,154)*100</f>
        <v>33.06</v>
      </c>
      <c r="F138" s="173">
        <f>C138/B138</f>
        <v>0.32736884306537511</v>
      </c>
    </row>
    <row r="139" spans="1:6" x14ac:dyDescent="0.25">
      <c r="A139" s="99" t="s">
        <v>585</v>
      </c>
      <c r="B139" s="49">
        <v>491233252</v>
      </c>
      <c r="C139" s="49">
        <v>116774400</v>
      </c>
      <c r="D139" s="49">
        <v>59993937.849151999</v>
      </c>
      <c r="E139" s="50">
        <f>VLOOKUP($A139,'Data shares'!$C:$FA,154)*100</f>
        <v>24.11</v>
      </c>
      <c r="F139" s="173">
        <f>C139/B139</f>
        <v>0.23771680667903972</v>
      </c>
    </row>
    <row r="140" spans="1:6" x14ac:dyDescent="0.25">
      <c r="A140" s="99" t="s">
        <v>267</v>
      </c>
      <c r="B140" s="49">
        <v>517037525</v>
      </c>
      <c r="C140" s="49">
        <v>519608250</v>
      </c>
      <c r="D140" s="49">
        <v>286265265.30753702</v>
      </c>
      <c r="E140" s="50">
        <f>VLOOKUP($A140,'Data shares'!$C:$FA,154)*100</f>
        <v>101.98</v>
      </c>
      <c r="F140" s="173">
        <f>C140/B140</f>
        <v>1.0049720279006829</v>
      </c>
    </row>
    <row r="141" spans="1:6" x14ac:dyDescent="0.25">
      <c r="A141" s="99" t="s">
        <v>268</v>
      </c>
      <c r="B141" s="49">
        <v>474131988</v>
      </c>
      <c r="C141" s="49">
        <v>147607500</v>
      </c>
      <c r="D141" s="49">
        <v>87761887.735139996</v>
      </c>
      <c r="E141" s="50">
        <f>VLOOKUP($A141,'Data shares'!$C:$FA,154)*100</f>
        <v>31.990000000000002</v>
      </c>
      <c r="F141" s="173">
        <f>C141/B141</f>
        <v>0.31132153859232969</v>
      </c>
    </row>
    <row r="142" spans="1:6" x14ac:dyDescent="0.25">
      <c r="A142" s="99" t="s">
        <v>685</v>
      </c>
      <c r="B142" s="49">
        <v>12267678</v>
      </c>
      <c r="C142" s="49">
        <v>4229500</v>
      </c>
      <c r="D142" s="49">
        <v>2274378.9674249999</v>
      </c>
      <c r="E142" s="50">
        <f>VLOOKUP($A142,'Data shares'!$C:$FA,154)*100</f>
        <v>35.15</v>
      </c>
      <c r="F142" s="173">
        <f>C142/B142</f>
        <v>0.34476777104844125</v>
      </c>
    </row>
    <row r="143" spans="1:6" x14ac:dyDescent="0.25">
      <c r="A143" s="99" t="s">
        <v>613</v>
      </c>
      <c r="B143" s="49">
        <v>205483040</v>
      </c>
      <c r="C143" s="49">
        <v>62662500</v>
      </c>
      <c r="D143" s="49">
        <v>41331915.067968696</v>
      </c>
      <c r="E143" s="50">
        <f>VLOOKUP($A143,'Data shares'!$C:$FA,154)*100</f>
        <v>31.14</v>
      </c>
      <c r="F143" s="173">
        <f>C143/B143</f>
        <v>0.30495217512841938</v>
      </c>
    </row>
    <row r="144" spans="1:6" x14ac:dyDescent="0.25">
      <c r="A144" s="99" t="s">
        <v>528</v>
      </c>
      <c r="B144" s="49">
        <v>17614093</v>
      </c>
      <c r="C144" s="49">
        <v>5912200</v>
      </c>
      <c r="D144" s="49">
        <v>3847820.8298984999</v>
      </c>
      <c r="E144" s="50">
        <f>VLOOKUP($A144,'Data shares'!$C:$FA,154)*100</f>
        <v>33.92</v>
      </c>
      <c r="F144" s="173">
        <f>C144/B144</f>
        <v>0.33565168527269612</v>
      </c>
    </row>
    <row r="145" spans="1:6" x14ac:dyDescent="0.25">
      <c r="A145" s="99" t="s">
        <v>518</v>
      </c>
      <c r="B145" s="49">
        <v>3582756</v>
      </c>
      <c r="C145" s="49">
        <v>2193450</v>
      </c>
      <c r="D145" s="49">
        <v>1261687.3617990001</v>
      </c>
      <c r="E145" s="50">
        <f>VLOOKUP($A145,'Data shares'!$C:$FA,154)*100</f>
        <v>61.929999999999993</v>
      </c>
      <c r="F145" s="173">
        <f>C145/B145</f>
        <v>0.61222422068374183</v>
      </c>
    </row>
    <row r="146" spans="1:6" x14ac:dyDescent="0.25">
      <c r="A146" s="99" t="s">
        <v>587</v>
      </c>
      <c r="B146" s="49">
        <v>102006452</v>
      </c>
      <c r="C146" s="49">
        <v>21407400</v>
      </c>
      <c r="D146" s="49">
        <v>12165850.848703999</v>
      </c>
      <c r="E146" s="50">
        <f>VLOOKUP($A146,'Data shares'!$C:$FA,154)*100</f>
        <v>21.26</v>
      </c>
      <c r="F146" s="173">
        <f>C146/B146</f>
        <v>0.20986319571236534</v>
      </c>
    </row>
    <row r="147" spans="1:6" x14ac:dyDescent="0.25">
      <c r="A147" s="99" t="s">
        <v>269</v>
      </c>
      <c r="B147" s="49">
        <v>517141211</v>
      </c>
      <c r="C147" s="49">
        <v>208644750</v>
      </c>
      <c r="D147" s="49">
        <v>113914319.84124701</v>
      </c>
      <c r="E147" s="50">
        <f>VLOOKUP($A147,'Data shares'!$C:$FA,154)*100</f>
        <v>40.93</v>
      </c>
      <c r="F147" s="173">
        <f>C147/B147</f>
        <v>0.40345798316197234</v>
      </c>
    </row>
    <row r="148" spans="1:6" x14ac:dyDescent="0.25">
      <c r="A148" s="99" t="s">
        <v>270</v>
      </c>
      <c r="B148" s="49">
        <v>955549</v>
      </c>
      <c r="C148" s="49">
        <v>359460</v>
      </c>
      <c r="D148" s="49">
        <v>239456.94889694999</v>
      </c>
      <c r="E148" s="50">
        <f>VLOOKUP($A148,'Data shares'!$C:$FA,154)*100</f>
        <v>37.96</v>
      </c>
      <c r="F148" s="173">
        <f>C148/B148</f>
        <v>0.37618165054853281</v>
      </c>
    </row>
    <row r="149" spans="1:6" x14ac:dyDescent="0.25">
      <c r="A149" s="99" t="s">
        <v>665</v>
      </c>
      <c r="B149" s="49">
        <v>50886533</v>
      </c>
      <c r="C149" s="49">
        <v>48508200</v>
      </c>
      <c r="D149" s="49">
        <v>23685040.852892999</v>
      </c>
      <c r="E149" s="50">
        <f>VLOOKUP($A149,'Data shares'!$C:$FA,154)*100</f>
        <v>95.5</v>
      </c>
      <c r="F149" s="173">
        <f>C149/B149</f>
        <v>0.95326203496709039</v>
      </c>
    </row>
    <row r="150" spans="1:6" x14ac:dyDescent="0.25">
      <c r="A150" s="99" t="s">
        <v>575</v>
      </c>
      <c r="B150" s="49">
        <v>95799519</v>
      </c>
      <c r="C150" s="49">
        <v>24262125</v>
      </c>
      <c r="D150" s="49">
        <v>16223989.1348942</v>
      </c>
      <c r="E150" s="50">
        <f>VLOOKUP($A150,'Data shares'!$C:$FA,154)*100</f>
        <v>25.81</v>
      </c>
      <c r="F150" s="173">
        <f>C150/B150</f>
        <v>0.25325936135441346</v>
      </c>
    </row>
    <row r="151" spans="1:6" x14ac:dyDescent="0.25">
      <c r="A151" s="99" t="s">
        <v>529</v>
      </c>
      <c r="B151" s="49">
        <v>15732422</v>
      </c>
      <c r="C151" s="49">
        <v>3362400</v>
      </c>
      <c r="D151" s="49">
        <v>2270280.9253730001</v>
      </c>
      <c r="E151" s="50">
        <f>VLOOKUP($A151,'Data shares'!$C:$FA,154)*100</f>
        <v>21.95</v>
      </c>
      <c r="F151" s="173">
        <f>C151/B151</f>
        <v>0.2137242441119365</v>
      </c>
    </row>
    <row r="152" spans="1:6" x14ac:dyDescent="0.25">
      <c r="A152" s="99" t="s">
        <v>272</v>
      </c>
      <c r="B152" s="49">
        <v>108255733</v>
      </c>
      <c r="C152" s="49">
        <v>75145000</v>
      </c>
      <c r="D152" s="49">
        <v>39231840.893275</v>
      </c>
      <c r="E152" s="50">
        <f>VLOOKUP($A152,'Data shares'!$C:$FA,154)*100</f>
        <v>71.040000000000006</v>
      </c>
      <c r="F152" s="173">
        <f>C152/B152</f>
        <v>0.69414337622193178</v>
      </c>
    </row>
    <row r="153" spans="1:6" x14ac:dyDescent="0.25">
      <c r="A153" s="99" t="s">
        <v>273</v>
      </c>
      <c r="B153" s="49">
        <v>217835555</v>
      </c>
      <c r="C153" s="49">
        <v>144866800</v>
      </c>
      <c r="D153" s="49">
        <v>78347990.984510005</v>
      </c>
      <c r="E153" s="50">
        <f>VLOOKUP($A153,'Data shares'!$C:$FA,154)*100</f>
        <v>67.320000000000007</v>
      </c>
      <c r="F153" s="173">
        <f>C153/B153</f>
        <v>0.66502825950520339</v>
      </c>
    </row>
    <row r="154" spans="1:6" x14ac:dyDescent="0.25">
      <c r="A154" s="99" t="s">
        <v>680</v>
      </c>
      <c r="B154" s="49">
        <v>24030912</v>
      </c>
      <c r="C154" s="49">
        <v>22536850</v>
      </c>
      <c r="D154" s="49">
        <v>9585194.0715664998</v>
      </c>
      <c r="E154" s="50">
        <f>VLOOKUP($A154,'Data shares'!$C:$FA,154)*100</f>
        <v>95.509999999999991</v>
      </c>
      <c r="F154" s="173">
        <f>C154/B154</f>
        <v>0.93782749485329564</v>
      </c>
    </row>
    <row r="155" spans="1:6" x14ac:dyDescent="0.25">
      <c r="A155" s="99" t="s">
        <v>645</v>
      </c>
      <c r="B155" s="49">
        <v>19533471</v>
      </c>
      <c r="C155" s="49">
        <v>4915050</v>
      </c>
      <c r="D155" s="49">
        <v>3320988.8003564999</v>
      </c>
      <c r="E155" s="50">
        <f>VLOOKUP($A155,'Data shares'!$C:$FA,154)*100</f>
        <v>25.31</v>
      </c>
      <c r="F155" s="173">
        <f>C155/B155</f>
        <v>0.25162194675999977</v>
      </c>
    </row>
    <row r="156" spans="1:6" x14ac:dyDescent="0.25">
      <c r="A156" s="99" t="s">
        <v>274</v>
      </c>
      <c r="B156" s="49">
        <v>31214205</v>
      </c>
      <c r="C156" s="49">
        <v>9717500</v>
      </c>
      <c r="D156" s="49">
        <v>7677502.0313200001</v>
      </c>
      <c r="E156" s="50">
        <f>VLOOKUP($A156,'Data shares'!$C:$FA,154)*100</f>
        <v>31.230000000000004</v>
      </c>
      <c r="F156" s="173">
        <f>C156/B156</f>
        <v>0.31131659447998117</v>
      </c>
    </row>
    <row r="157" spans="1:6" x14ac:dyDescent="0.25">
      <c r="A157" s="99" t="s">
        <v>483</v>
      </c>
      <c r="B157" s="49">
        <v>10712372</v>
      </c>
      <c r="C157" s="49">
        <v>3358075</v>
      </c>
      <c r="D157" s="49">
        <v>2174770.0730280001</v>
      </c>
      <c r="E157" s="50">
        <f>VLOOKUP($A157,'Data shares'!$C:$FA,154)*100</f>
        <v>31.56</v>
      </c>
      <c r="F157" s="173">
        <f>C157/B157</f>
        <v>0.31347632438455275</v>
      </c>
    </row>
    <row r="158" spans="1:6" x14ac:dyDescent="0.25">
      <c r="A158" s="99" t="s">
        <v>275</v>
      </c>
      <c r="B158" s="49">
        <v>515822637</v>
      </c>
      <c r="C158" s="49">
        <v>378336000</v>
      </c>
      <c r="D158" s="49">
        <v>232344461.21256</v>
      </c>
      <c r="E158" s="50">
        <f>VLOOKUP($A158,'Data shares'!$C:$FA,154)*100</f>
        <v>75.14</v>
      </c>
      <c r="F158" s="173">
        <f>C158/B158</f>
        <v>0.73346141262893039</v>
      </c>
    </row>
    <row r="159" spans="1:6" x14ac:dyDescent="0.25">
      <c r="A159" s="99" t="s">
        <v>670</v>
      </c>
      <c r="B159" s="49">
        <v>28118603</v>
      </c>
      <c r="C159" s="49">
        <v>19484400</v>
      </c>
      <c r="D159" s="49">
        <v>14041400.3069015</v>
      </c>
      <c r="E159" s="50">
        <f>VLOOKUP($A159,'Data shares'!$C:$FA,154)*100</f>
        <v>69.97</v>
      </c>
      <c r="F159" s="173">
        <f>C159/B159</f>
        <v>0.69293627425231619</v>
      </c>
    </row>
    <row r="160" spans="1:6" x14ac:dyDescent="0.25">
      <c r="A160" s="99" t="s">
        <v>573</v>
      </c>
      <c r="B160" s="49">
        <v>60642005</v>
      </c>
      <c r="C160" s="49">
        <v>9935100</v>
      </c>
      <c r="D160" s="49">
        <v>6393921.3818164999</v>
      </c>
      <c r="E160" s="50">
        <f>VLOOKUP($A160,'Data shares'!$C:$FA,154)*100</f>
        <v>16.75</v>
      </c>
      <c r="F160" s="173">
        <f>C160/B160</f>
        <v>0.16383198411727976</v>
      </c>
    </row>
    <row r="161" spans="1:6" x14ac:dyDescent="0.25">
      <c r="A161" s="99" t="s">
        <v>519</v>
      </c>
      <c r="B161" s="49">
        <v>8688405</v>
      </c>
      <c r="C161" s="49">
        <v>4392500</v>
      </c>
      <c r="D161" s="49">
        <v>3352206.5902462499</v>
      </c>
      <c r="E161" s="50">
        <f>VLOOKUP($A161,'Data shares'!$C:$FA,154)*100</f>
        <v>51.680000000000007</v>
      </c>
      <c r="F161" s="173">
        <f>C161/B161</f>
        <v>0.50555884538071139</v>
      </c>
    </row>
    <row r="162" spans="1:6" x14ac:dyDescent="0.25">
      <c r="A162" s="99" t="s">
        <v>276</v>
      </c>
      <c r="B162" s="49">
        <v>678857930</v>
      </c>
      <c r="C162" s="49">
        <v>154692300</v>
      </c>
      <c r="D162" s="49">
        <v>98916019.280043006</v>
      </c>
      <c r="E162" s="50">
        <f>VLOOKUP($A162,'Data shares'!$C:$FA,154)*100</f>
        <v>23.150000000000002</v>
      </c>
      <c r="F162" s="173">
        <f>C162/B162</f>
        <v>0.22787138982084218</v>
      </c>
    </row>
    <row r="163" spans="1:6" x14ac:dyDescent="0.25">
      <c r="A163" s="99" t="s">
        <v>687</v>
      </c>
      <c r="B163" s="49">
        <v>1917916</v>
      </c>
      <c r="C163" s="49">
        <v>452750</v>
      </c>
      <c r="D163" s="49">
        <v>251761.76378499999</v>
      </c>
      <c r="E163" s="50">
        <f>VLOOKUP($A163,'Data shares'!$C:$FA,154)*100</f>
        <v>23.86</v>
      </c>
      <c r="F163" s="173">
        <f>C163/B163</f>
        <v>0.23606351894452104</v>
      </c>
    </row>
    <row r="164" spans="1:6" x14ac:dyDescent="0.25">
      <c r="A164" s="99" t="s">
        <v>678</v>
      </c>
      <c r="B164" s="49">
        <v>107697729</v>
      </c>
      <c r="C164" s="49">
        <v>43139250</v>
      </c>
      <c r="D164" s="49">
        <v>21417074.053016201</v>
      </c>
      <c r="E164" s="50">
        <f>VLOOKUP($A164,'Data shares'!$C:$FA,154)*100</f>
        <v>40.75</v>
      </c>
      <c r="F164" s="173">
        <f>C164/B164</f>
        <v>0.40055858559468788</v>
      </c>
    </row>
    <row r="165" spans="1:6" x14ac:dyDescent="0.25">
      <c r="A165" s="99" t="s">
        <v>690</v>
      </c>
      <c r="B165" s="49">
        <v>23923093</v>
      </c>
      <c r="C165" s="49">
        <v>9686450</v>
      </c>
      <c r="D165" s="49">
        <v>2936261.5801605</v>
      </c>
      <c r="E165" s="50"/>
      <c r="F165" s="173">
        <f>C165/B165</f>
        <v>0.40489956712537128</v>
      </c>
    </row>
    <row r="166" spans="1:6" x14ac:dyDescent="0.25">
      <c r="A166" s="99" t="s">
        <v>605</v>
      </c>
      <c r="B166" s="49">
        <v>22697169</v>
      </c>
      <c r="C166" s="49">
        <v>6308100</v>
      </c>
      <c r="D166" s="49">
        <v>4043560.9929479999</v>
      </c>
      <c r="E166" s="50">
        <f>VLOOKUP($A166,'Data shares'!$C:$FA,154)*100</f>
        <v>28.28</v>
      </c>
      <c r="F166" s="173">
        <f>C166/B166</f>
        <v>0.27792452882559937</v>
      </c>
    </row>
    <row r="167" spans="1:6" x14ac:dyDescent="0.25">
      <c r="A167" s="99" t="s">
        <v>279</v>
      </c>
      <c r="B167" s="49">
        <v>91953095</v>
      </c>
      <c r="C167" s="49">
        <v>98215450</v>
      </c>
      <c r="D167" s="49">
        <v>58848741.938329697</v>
      </c>
      <c r="E167" s="50">
        <f>VLOOKUP($A167,'Data shares'!$C:$FA,154)*100</f>
        <v>108.22</v>
      </c>
      <c r="F167" s="173">
        <f>C167/B167</f>
        <v>1.0681037979200156</v>
      </c>
    </row>
    <row r="168" spans="1:6" x14ac:dyDescent="0.25">
      <c r="A168" s="99" t="s">
        <v>280</v>
      </c>
      <c r="B168" s="49">
        <v>187084550</v>
      </c>
      <c r="C168" s="49">
        <v>151341400</v>
      </c>
      <c r="D168" s="49">
        <v>77585280.950197995</v>
      </c>
      <c r="E168" s="50">
        <f>VLOOKUP($A168,'Data shares'!$C:$FA,154)*100</f>
        <v>83.08</v>
      </c>
      <c r="F168" s="173">
        <f>C168/B168</f>
        <v>0.80894654315388415</v>
      </c>
    </row>
    <row r="169" spans="1:6" x14ac:dyDescent="0.25">
      <c r="A169" s="99" t="s">
        <v>281</v>
      </c>
      <c r="B169" s="49">
        <v>664266681</v>
      </c>
      <c r="C169" s="49">
        <v>215515500</v>
      </c>
      <c r="D169" s="49">
        <v>113088234.687535</v>
      </c>
      <c r="E169" s="50">
        <f>VLOOKUP($A169,'Data shares'!$C:$FA,154)*100</f>
        <v>33.51</v>
      </c>
      <c r="F169" s="173">
        <f>C169/B169</f>
        <v>0.32444123145776149</v>
      </c>
    </row>
    <row r="170" spans="1:6" x14ac:dyDescent="0.25">
      <c r="A170" s="99" t="s">
        <v>675</v>
      </c>
      <c r="B170" s="49">
        <v>84941460</v>
      </c>
      <c r="C170" s="49">
        <v>105156375</v>
      </c>
      <c r="D170" s="49">
        <v>37209338.138882697</v>
      </c>
      <c r="E170" s="50">
        <f>VLOOKUP($A170,'Data shares'!$C:$FA,154)*100</f>
        <v>126.85</v>
      </c>
      <c r="F170" s="173">
        <f>C170/B170</f>
        <v>1.2379864320674498</v>
      </c>
    </row>
    <row r="171" spans="1:6" x14ac:dyDescent="0.25">
      <c r="A171" s="99" t="s">
        <v>282</v>
      </c>
      <c r="B171" s="49">
        <v>216861410</v>
      </c>
      <c r="C171" s="49">
        <v>273455400</v>
      </c>
      <c r="D171" s="49">
        <v>171966079.29822201</v>
      </c>
      <c r="E171" s="50">
        <f>VLOOKUP($A171,'Data shares'!$C:$FA,154)*100</f>
        <v>128.85</v>
      </c>
      <c r="F171" s="173">
        <f>C171/B171</f>
        <v>1.2609684682950277</v>
      </c>
    </row>
    <row r="172" spans="1:6" x14ac:dyDescent="0.25">
      <c r="A172" s="99" t="s">
        <v>686</v>
      </c>
      <c r="B172" s="49">
        <v>122326971</v>
      </c>
      <c r="C172" s="49">
        <v>175784000</v>
      </c>
      <c r="D172" s="49">
        <v>97091281.321000993</v>
      </c>
      <c r="E172" s="50">
        <f>VLOOKUP($A172,'Data shares'!$C:$FA,154)*100</f>
        <v>147.22</v>
      </c>
      <c r="F172" s="173">
        <f>C172/B172</f>
        <v>1.4370011663249636</v>
      </c>
    </row>
    <row r="173" spans="1:6" x14ac:dyDescent="0.25">
      <c r="A173" s="99" t="s">
        <v>536</v>
      </c>
      <c r="B173" s="49">
        <v>44836888</v>
      </c>
      <c r="C173" s="49">
        <v>25787200</v>
      </c>
      <c r="D173" s="49">
        <v>15641168.701424001</v>
      </c>
      <c r="E173" s="50">
        <f>VLOOKUP($A173,'Data shares'!$C:$FA,154)*100</f>
        <v>58.709999999999994</v>
      </c>
      <c r="F173" s="173">
        <f>C173/B173</f>
        <v>0.57513358197384257</v>
      </c>
    </row>
    <row r="174" spans="1:6" x14ac:dyDescent="0.25">
      <c r="A174" s="99" t="s">
        <v>462</v>
      </c>
      <c r="B174" s="49">
        <v>44756800</v>
      </c>
      <c r="C174" s="49">
        <v>17099250</v>
      </c>
      <c r="D174" s="49">
        <v>9544414.0452449992</v>
      </c>
      <c r="E174" s="50">
        <f>VLOOKUP($A174,'Data shares'!$C:$FA,154)*100</f>
        <v>38.97</v>
      </c>
      <c r="F174" s="173">
        <f>C174/B174</f>
        <v>0.38204809101633719</v>
      </c>
    </row>
    <row r="175" spans="1:6" x14ac:dyDescent="0.25">
      <c r="A175" s="99" t="s">
        <v>283</v>
      </c>
      <c r="B175" s="49">
        <v>436949195</v>
      </c>
      <c r="C175" s="49">
        <v>136675500</v>
      </c>
      <c r="D175" s="49">
        <v>77530453.874954998</v>
      </c>
      <c r="E175" s="50">
        <f>VLOOKUP($A175,'Data shares'!$C:$FA,154)*100</f>
        <v>32.019999999999996</v>
      </c>
      <c r="F175" s="173">
        <f>C175/B175</f>
        <v>0.31279494633237626</v>
      </c>
    </row>
    <row r="176" spans="1:6" x14ac:dyDescent="0.25">
      <c r="A176" s="99" t="s">
        <v>284</v>
      </c>
      <c r="B176" s="49">
        <v>1568093</v>
      </c>
      <c r="C176" s="49">
        <v>391525</v>
      </c>
      <c r="D176" s="49">
        <v>251476.30656624999</v>
      </c>
      <c r="E176" s="50">
        <f>VLOOKUP($A176,'Data shares'!$C:$FA,154)*100</f>
        <v>25.19</v>
      </c>
      <c r="F176" s="173">
        <f>C176/B176</f>
        <v>0.24968225736611285</v>
      </c>
    </row>
    <row r="177" spans="1:6" x14ac:dyDescent="0.25">
      <c r="A177" s="99" t="s">
        <v>562</v>
      </c>
      <c r="B177" s="49">
        <v>210513975</v>
      </c>
      <c r="C177" s="49">
        <v>72282375</v>
      </c>
      <c r="D177" s="49">
        <v>48022210.966289997</v>
      </c>
      <c r="E177" s="50">
        <f>VLOOKUP($A177,'Data shares'!$C:$FA,154)*100</f>
        <v>35.18</v>
      </c>
      <c r="F177" s="173">
        <f>C177/B177</f>
        <v>0.34336140866657427</v>
      </c>
    </row>
    <row r="178" spans="1:6" x14ac:dyDescent="0.25">
      <c r="A178" s="99" t="s">
        <v>285</v>
      </c>
      <c r="B178" s="49">
        <v>13354588</v>
      </c>
      <c r="C178" s="49">
        <v>4168150</v>
      </c>
      <c r="D178" s="49">
        <v>2479768.0551857501</v>
      </c>
      <c r="E178" s="50">
        <f>VLOOKUP($A178,'Data shares'!$C:$FA,154)*100</f>
        <v>31.8</v>
      </c>
      <c r="F178" s="173">
        <f>C178/B178</f>
        <v>0.31211370953562928</v>
      </c>
    </row>
    <row r="179" spans="1:6" x14ac:dyDescent="0.25">
      <c r="A179" s="99" t="s">
        <v>646</v>
      </c>
      <c r="B179" s="49">
        <v>3644817</v>
      </c>
      <c r="C179" s="49">
        <v>1798050</v>
      </c>
      <c r="D179" s="49">
        <v>1073354.808064</v>
      </c>
      <c r="E179" s="50">
        <f>VLOOKUP($A179,'Data shares'!$C:$FA,154)*100</f>
        <v>49.830000000000005</v>
      </c>
      <c r="F179" s="173">
        <f>C179/B179</f>
        <v>0.49331694842292495</v>
      </c>
    </row>
    <row r="180" spans="1:6" x14ac:dyDescent="0.25">
      <c r="A180" s="99" t="s">
        <v>614</v>
      </c>
      <c r="B180" s="49">
        <v>67126548</v>
      </c>
      <c r="C180" s="49">
        <v>19733525</v>
      </c>
      <c r="D180" s="49">
        <v>14493003.9388365</v>
      </c>
      <c r="E180" s="50">
        <f>VLOOKUP($A180,'Data shares'!$C:$FA,154)*100</f>
        <v>29.54</v>
      </c>
      <c r="F180" s="173">
        <f>C180/B180</f>
        <v>0.2939749709757159</v>
      </c>
    </row>
    <row r="181" spans="1:6" x14ac:dyDescent="0.25">
      <c r="A181" s="99" t="s">
        <v>286</v>
      </c>
      <c r="B181" s="49">
        <v>18529108</v>
      </c>
      <c r="C181" s="49">
        <v>5360400</v>
      </c>
      <c r="D181" s="49">
        <v>3357974.480434</v>
      </c>
      <c r="E181" s="50">
        <f>VLOOKUP($A181,'Data shares'!$C:$FA,154)*100</f>
        <v>29.5</v>
      </c>
      <c r="F181" s="173">
        <f>C181/B181</f>
        <v>0.28929617119183504</v>
      </c>
    </row>
    <row r="182" spans="1:6" x14ac:dyDescent="0.25">
      <c r="A182" s="99" t="s">
        <v>288</v>
      </c>
      <c r="B182" s="49">
        <v>109220043</v>
      </c>
      <c r="C182" s="49">
        <v>28038850</v>
      </c>
      <c r="D182" s="49">
        <v>18731714.702774499</v>
      </c>
      <c r="E182" s="50">
        <f>VLOOKUP($A182,'Data shares'!$C:$FA,154)*100</f>
        <v>26.290000000000003</v>
      </c>
      <c r="F182" s="173">
        <f>C182/B182</f>
        <v>0.25671890643734685</v>
      </c>
    </row>
    <row r="183" spans="1:6" x14ac:dyDescent="0.25">
      <c r="A183" s="99" t="s">
        <v>574</v>
      </c>
      <c r="B183" s="49">
        <v>9736357</v>
      </c>
      <c r="C183" s="49">
        <v>3004575</v>
      </c>
      <c r="D183" s="49">
        <v>1653739.2296460001</v>
      </c>
      <c r="E183" s="50">
        <f>VLOOKUP($A183,'Data shares'!$C:$FA,154)*100</f>
        <v>31.35</v>
      </c>
      <c r="F183" s="173">
        <f>C183/B183</f>
        <v>0.30859334759397172</v>
      </c>
    </row>
    <row r="184" spans="1:6" x14ac:dyDescent="0.25">
      <c r="A184" s="99" t="s">
        <v>684</v>
      </c>
      <c r="B184" s="49">
        <v>1814982173</v>
      </c>
      <c r="C184" s="49">
        <v>508955850</v>
      </c>
      <c r="D184" s="49">
        <v>257322466.20605901</v>
      </c>
      <c r="E184" s="50">
        <f>VLOOKUP($A184,'Data shares'!$C:$FA,154)*100</f>
        <v>28.79</v>
      </c>
      <c r="F184" s="173">
        <f>C184/B184</f>
        <v>0.28041920056919478</v>
      </c>
    </row>
    <row r="185" spans="1:6" x14ac:dyDescent="0.25">
      <c r="A185" s="99" t="s">
        <v>693</v>
      </c>
      <c r="B185" s="49">
        <v>375529891</v>
      </c>
      <c r="C185" s="49">
        <v>27271400</v>
      </c>
      <c r="D185" s="49">
        <v>17035744.738830999</v>
      </c>
      <c r="E185" s="50">
        <f>VLOOKUP($A185,'Data shares'!$C:$FA,154)*100</f>
        <v>7.3800000000000008</v>
      </c>
      <c r="F185" s="173">
        <f>C185/B185</f>
        <v>7.262111659708069E-2</v>
      </c>
    </row>
    <row r="186" spans="1:6" x14ac:dyDescent="0.25">
      <c r="A186" s="99" t="s">
        <v>520</v>
      </c>
      <c r="B186" s="49">
        <v>24733183</v>
      </c>
      <c r="C186" s="49">
        <v>16341000</v>
      </c>
      <c r="D186" s="49">
        <v>8312189.6363399997</v>
      </c>
      <c r="E186" s="50">
        <f>VLOOKUP($A186,'Data shares'!$C:$FA,154)*100</f>
        <v>67.95</v>
      </c>
      <c r="F186" s="173">
        <f>C186/B186</f>
        <v>0.66069134732880919</v>
      </c>
    </row>
    <row r="187" spans="1:6" x14ac:dyDescent="0.25">
      <c r="A187" s="99" t="s">
        <v>291</v>
      </c>
      <c r="B187" s="49">
        <v>65472326</v>
      </c>
      <c r="C187" s="49">
        <v>18182450</v>
      </c>
      <c r="D187" s="49">
        <v>11679455.354688</v>
      </c>
      <c r="E187" s="50">
        <f>VLOOKUP($A187,'Data shares'!$C:$FA,154)*100</f>
        <v>28.48</v>
      </c>
      <c r="F187" s="173">
        <f>C187/B187</f>
        <v>0.27771199086465936</v>
      </c>
    </row>
    <row r="188" spans="1:6" x14ac:dyDescent="0.25">
      <c r="A188" s="99" t="s">
        <v>604</v>
      </c>
      <c r="B188" s="49">
        <v>5241546</v>
      </c>
      <c r="C188" s="49">
        <v>3854000</v>
      </c>
      <c r="D188" s="49">
        <v>1719491.2978099999</v>
      </c>
      <c r="E188" s="50">
        <f>VLOOKUP($A188,'Data shares'!$C:$FA,154)*100</f>
        <v>75.8</v>
      </c>
      <c r="F188" s="173">
        <f>C188/B188</f>
        <v>0.73527924776392306</v>
      </c>
    </row>
    <row r="189" spans="1:6" x14ac:dyDescent="0.25">
      <c r="A189" s="99" t="s">
        <v>293</v>
      </c>
      <c r="B189" s="49">
        <v>202215001</v>
      </c>
      <c r="C189" s="49">
        <v>112315550</v>
      </c>
      <c r="D189" s="49">
        <v>53449424.350786999</v>
      </c>
      <c r="E189" s="50">
        <f>VLOOKUP($A189,'Data shares'!$C:$FA,154)*100</f>
        <v>56.879999999999995</v>
      </c>
      <c r="F189" s="173">
        <f>C189/B189</f>
        <v>0.55542639984458919</v>
      </c>
    </row>
    <row r="190" spans="1:6" x14ac:dyDescent="0.25">
      <c r="A190" s="99" t="s">
        <v>294</v>
      </c>
      <c r="B190" s="49">
        <v>872935214</v>
      </c>
      <c r="C190" s="49">
        <v>470574500</v>
      </c>
      <c r="D190" s="49">
        <v>259384092.814495</v>
      </c>
      <c r="E190" s="50">
        <f>VLOOKUP($A190,'Data shares'!$C:$FA,154)*100</f>
        <v>55.19</v>
      </c>
      <c r="F190" s="173">
        <f>C190/B190</f>
        <v>0.53907150548287996</v>
      </c>
    </row>
    <row r="191" spans="1:6" x14ac:dyDescent="0.25">
      <c r="A191" s="99" t="s">
        <v>663</v>
      </c>
      <c r="B191" s="49">
        <v>25116370</v>
      </c>
      <c r="C191" s="49">
        <v>24951200</v>
      </c>
      <c r="D191" s="49">
        <v>10061741.236632001</v>
      </c>
      <c r="E191" s="50">
        <f>VLOOKUP($A191,'Data shares'!$C:$FA,154)*100</f>
        <v>101.84</v>
      </c>
      <c r="F191" s="173">
        <f>C191/B191</f>
        <v>0.99342381084527742</v>
      </c>
    </row>
    <row r="192" spans="1:6" x14ac:dyDescent="0.25">
      <c r="A192" s="99" t="s">
        <v>295</v>
      </c>
      <c r="B192" s="49">
        <v>126444612</v>
      </c>
      <c r="C192" s="49">
        <v>37368800</v>
      </c>
      <c r="D192" s="49">
        <v>20620102.053284999</v>
      </c>
      <c r="E192" s="50">
        <f>VLOOKUP($A192,'Data shares'!$C:$FA,154)*100</f>
        <v>30.39</v>
      </c>
      <c r="F192" s="173">
        <f>C192/B192</f>
        <v>0.29553493350906879</v>
      </c>
    </row>
    <row r="193" spans="1:6" x14ac:dyDescent="0.25">
      <c r="A193" s="99" t="s">
        <v>296</v>
      </c>
      <c r="B193" s="49">
        <v>80031540</v>
      </c>
      <c r="C193" s="49">
        <v>26292000</v>
      </c>
      <c r="D193" s="49">
        <v>19605446.622701999</v>
      </c>
      <c r="E193" s="50">
        <f>VLOOKUP($A193,'Data shares'!$C:$FA,154)*100</f>
        <v>33.369999999999997</v>
      </c>
      <c r="F193" s="173">
        <f>C193/B193</f>
        <v>0.32852048080044444</v>
      </c>
    </row>
    <row r="194" spans="1:6" x14ac:dyDescent="0.25">
      <c r="A194" s="99" t="s">
        <v>595</v>
      </c>
      <c r="B194" s="49">
        <v>15879795</v>
      </c>
      <c r="C194" s="49">
        <v>5211400</v>
      </c>
      <c r="D194" s="49">
        <v>3718243.4054680001</v>
      </c>
      <c r="E194" s="50">
        <f>VLOOKUP($A194,'Data shares'!$C:$FA,154)*100</f>
        <v>33.03</v>
      </c>
      <c r="F194" s="173">
        <f>C194/B194</f>
        <v>0.32817804008175167</v>
      </c>
    </row>
    <row r="195" spans="1:6" x14ac:dyDescent="0.25">
      <c r="A195" s="99" t="s">
        <v>297</v>
      </c>
      <c r="B195" s="49">
        <v>45680146</v>
      </c>
      <c r="C195" s="49">
        <v>18566100</v>
      </c>
      <c r="D195" s="49">
        <v>10098855.821195699</v>
      </c>
      <c r="E195" s="50">
        <f>VLOOKUP($A195,'Data shares'!$C:$FA,154)*100</f>
        <v>42.059999999999995</v>
      </c>
      <c r="F195" s="173">
        <f>C195/B195</f>
        <v>0.40643696716731159</v>
      </c>
    </row>
    <row r="196" spans="1:6" x14ac:dyDescent="0.25">
      <c r="A196" s="99" t="s">
        <v>689</v>
      </c>
      <c r="B196" s="49">
        <v>317235726</v>
      </c>
      <c r="C196" s="49">
        <v>156161600</v>
      </c>
      <c r="D196" s="49">
        <v>87436874.300047994</v>
      </c>
      <c r="E196" s="50">
        <f>VLOOKUP($A196,'Data shares'!$C:$FA,154)*100</f>
        <v>50.33</v>
      </c>
      <c r="F196" s="173">
        <f>C196/B196</f>
        <v>0.49225729387111966</v>
      </c>
    </row>
    <row r="197" spans="1:6" x14ac:dyDescent="0.25">
      <c r="A197" s="99" t="s">
        <v>298</v>
      </c>
      <c r="B197" s="49">
        <v>10726004</v>
      </c>
      <c r="C197" s="49">
        <v>3093000</v>
      </c>
      <c r="D197" s="49">
        <v>2318314.7027650001</v>
      </c>
      <c r="E197" s="50"/>
      <c r="F197" s="173">
        <f>C197/B197</f>
        <v>0.28836461369956601</v>
      </c>
    </row>
    <row r="198" spans="1:6" x14ac:dyDescent="0.25">
      <c r="A198" s="99" t="s">
        <v>299</v>
      </c>
      <c r="B198" s="49">
        <v>24646022</v>
      </c>
      <c r="C198" s="49">
        <v>4655875</v>
      </c>
      <c r="D198" s="49">
        <v>2876061.3625075002</v>
      </c>
      <c r="E198" s="50">
        <f>VLOOKUP($A198,'Data shares'!$C:$FA,154)*100</f>
        <v>18.990000000000002</v>
      </c>
      <c r="F198" s="173">
        <f>C198/B198</f>
        <v>0.1889097964775005</v>
      </c>
    </row>
    <row r="199" spans="1:6" x14ac:dyDescent="0.25">
      <c r="A199" s="99" t="s">
        <v>482</v>
      </c>
      <c r="B199" s="49">
        <v>33590487</v>
      </c>
      <c r="C199" s="49">
        <v>18324700</v>
      </c>
      <c r="D199" s="49">
        <v>9402654.8714460004</v>
      </c>
      <c r="E199" s="50">
        <f>VLOOKUP($A199,'Data shares'!$C:$FA,154)*100</f>
        <v>56.2</v>
      </c>
      <c r="F199" s="173">
        <f>C199/B199</f>
        <v>0.54553243005973684</v>
      </c>
    </row>
    <row r="200" spans="1:6" x14ac:dyDescent="0.25">
      <c r="A200" s="99" t="s">
        <v>300</v>
      </c>
      <c r="B200" s="49">
        <v>31634588</v>
      </c>
      <c r="C200" s="49">
        <v>11005050</v>
      </c>
      <c r="D200" s="49">
        <v>7832897.567152</v>
      </c>
      <c r="E200" s="50">
        <f>VLOOKUP($A200,'Data shares'!$C:$FA,154)*100</f>
        <v>35.299999999999997</v>
      </c>
      <c r="F200" s="173">
        <f>C200/B200</f>
        <v>0.3478803011437987</v>
      </c>
    </row>
    <row r="201" spans="1:6" x14ac:dyDescent="0.25">
      <c r="A201" s="99" t="s">
        <v>302</v>
      </c>
      <c r="B201" s="49">
        <v>11955674</v>
      </c>
      <c r="C201" s="49">
        <v>3723850</v>
      </c>
      <c r="D201" s="49">
        <v>2873588.0267710001</v>
      </c>
      <c r="E201" s="50">
        <f>VLOOKUP($A201,'Data shares'!$C:$FA,154)*100</f>
        <v>31.47</v>
      </c>
      <c r="F201" s="173">
        <f>C201/B201</f>
        <v>0.31147135661276815</v>
      </c>
    </row>
    <row r="202" spans="1:6" x14ac:dyDescent="0.25">
      <c r="A202" s="99" t="s">
        <v>593</v>
      </c>
      <c r="B202" s="49">
        <v>289041713</v>
      </c>
      <c r="C202" s="49">
        <v>122218500</v>
      </c>
      <c r="D202" s="49">
        <v>68542497.193467706</v>
      </c>
      <c r="E202" s="50"/>
      <c r="F202" s="173">
        <f>C202/B202</f>
        <v>0.42284035314999674</v>
      </c>
    </row>
    <row r="203" spans="1:6" x14ac:dyDescent="0.25">
      <c r="A203" s="99" t="s">
        <v>569</v>
      </c>
      <c r="B203" s="49">
        <v>37091426</v>
      </c>
      <c r="C203" s="49">
        <v>19973600</v>
      </c>
      <c r="D203" s="49">
        <v>12467956.074340001</v>
      </c>
      <c r="E203" s="50">
        <f>VLOOKUP($A203,'Data shares'!$C:$FA,154)*100</f>
        <v>54.510000000000005</v>
      </c>
      <c r="F203" s="173">
        <f>C203/B203</f>
        <v>0.53849641693473849</v>
      </c>
    </row>
    <row r="204" spans="1:6" x14ac:dyDescent="0.25">
      <c r="A204" s="99" t="s">
        <v>674</v>
      </c>
      <c r="B204" s="49">
        <v>27292222</v>
      </c>
      <c r="C204" s="49">
        <v>6256800</v>
      </c>
      <c r="D204" s="49">
        <v>4338338.0311975004</v>
      </c>
      <c r="E204" s="50">
        <f>VLOOKUP($A204,'Data shares'!$C:$FA,154)*100</f>
        <v>23.47</v>
      </c>
      <c r="F204" s="173">
        <f>C204/B204</f>
        <v>0.22925212904980766</v>
      </c>
    </row>
    <row r="205" spans="1:6" x14ac:dyDescent="0.25">
      <c r="A205" s="99" t="s">
        <v>303</v>
      </c>
      <c r="B205" s="49">
        <v>84228583</v>
      </c>
      <c r="C205" s="49">
        <v>58746025</v>
      </c>
      <c r="D205" s="49">
        <v>32681284.809452798</v>
      </c>
      <c r="E205" s="50">
        <f>VLOOKUP($A205,'Data shares'!$C:$FA,154)*100</f>
        <v>71.78</v>
      </c>
      <c r="F205" s="173">
        <f>C205/B205</f>
        <v>0.69745949543042884</v>
      </c>
    </row>
    <row r="206" spans="1:6" x14ac:dyDescent="0.25">
      <c r="A206" s="99" t="s">
        <v>586</v>
      </c>
      <c r="B206" s="49">
        <v>205761118</v>
      </c>
      <c r="C206" s="49">
        <v>69224625</v>
      </c>
      <c r="D206" s="49">
        <v>49168846.394730002</v>
      </c>
      <c r="E206" s="50">
        <f>VLOOKUP($A206,'Data shares'!$C:$FA,154)*100</f>
        <v>33.879999999999995</v>
      </c>
      <c r="F206" s="173">
        <f>C206/B206</f>
        <v>0.33643200266825923</v>
      </c>
    </row>
    <row r="207" spans="1:6" x14ac:dyDescent="0.25">
      <c r="A207" s="99" t="s">
        <v>304</v>
      </c>
      <c r="B207" s="49">
        <v>255091106</v>
      </c>
      <c r="C207" s="49">
        <v>151377950</v>
      </c>
      <c r="D207" s="49">
        <v>88322193.096563503</v>
      </c>
      <c r="E207" s="50">
        <f>VLOOKUP($A207,'Data shares'!$C:$FA,154)*100</f>
        <v>60.67</v>
      </c>
      <c r="F207" s="173">
        <f>C207/B207</f>
        <v>0.59342700093981327</v>
      </c>
    </row>
    <row r="208" spans="1:6" x14ac:dyDescent="0.25">
      <c r="A208" s="99" t="s">
        <v>305</v>
      </c>
      <c r="B208" s="49">
        <v>34594689</v>
      </c>
      <c r="C208" s="49">
        <v>16170750</v>
      </c>
      <c r="D208" s="49">
        <v>9283423.5883012507</v>
      </c>
      <c r="E208" s="50">
        <f>VLOOKUP($A208,'Data shares'!$C:$FA,154)*100</f>
        <v>48.08</v>
      </c>
      <c r="F208" s="173">
        <f>C208/B208</f>
        <v>0.46743446660266263</v>
      </c>
    </row>
    <row r="209" spans="1:6" x14ac:dyDescent="0.25">
      <c r="A209" s="99" t="s">
        <v>692</v>
      </c>
      <c r="B209" s="49">
        <v>15436318</v>
      </c>
      <c r="C209" s="49">
        <v>5763450</v>
      </c>
      <c r="D209" s="49">
        <v>2126122.3981287498</v>
      </c>
      <c r="E209" s="50">
        <f>VLOOKUP($A209,'Data shares'!$C:$FA,154)*100</f>
        <v>38.64</v>
      </c>
      <c r="F209" s="173">
        <f>C209/B209</f>
        <v>0.37336947839504214</v>
      </c>
    </row>
    <row r="210" spans="1:6" x14ac:dyDescent="0.25">
      <c r="A210" s="99" t="s">
        <v>306</v>
      </c>
      <c r="B210" s="49">
        <v>358423198</v>
      </c>
      <c r="C210" s="49">
        <v>161667000</v>
      </c>
      <c r="D210" s="49">
        <v>94834628.263380006</v>
      </c>
      <c r="E210" s="50">
        <f>VLOOKUP($A210,'Data shares'!$C:$FA,154)*100</f>
        <v>45.69</v>
      </c>
      <c r="F210" s="173">
        <f>C210/B210</f>
        <v>0.45105060415202253</v>
      </c>
    </row>
    <row r="211" spans="1:6" x14ac:dyDescent="0.25">
      <c r="A211" s="99" t="s">
        <v>590</v>
      </c>
      <c r="B211" s="49">
        <v>3547322779</v>
      </c>
      <c r="C211" s="49">
        <v>1687081700</v>
      </c>
      <c r="D211" s="49">
        <v>1100604954.82072</v>
      </c>
      <c r="E211" s="50">
        <f>VLOOKUP($A211,'Data shares'!$C:$FA,154)*100</f>
        <v>48.29</v>
      </c>
      <c r="F211" s="173">
        <f>C211/B211</f>
        <v>0.47559294857165296</v>
      </c>
    </row>
    <row r="212" spans="1:6" x14ac:dyDescent="0.25">
      <c r="A212" s="99" t="s">
        <v>557</v>
      </c>
      <c r="B212" s="49">
        <v>37741451</v>
      </c>
      <c r="C212" s="49">
        <v>16920000</v>
      </c>
      <c r="D212" s="49">
        <v>9848233.3827330004</v>
      </c>
      <c r="E212" s="50">
        <f>VLOOKUP($A212,'Data shares'!$C:$FA,154)*100</f>
        <v>45.85</v>
      </c>
      <c r="F212" s="173">
        <f>C212/B212</f>
        <v>0.44831344719629351</v>
      </c>
    </row>
    <row r="213" spans="1:6" x14ac:dyDescent="0.25">
      <c r="A213" s="99"/>
      <c r="B213" s="49"/>
      <c r="C213" s="49"/>
      <c r="D213" s="49"/>
      <c r="E213" s="50"/>
      <c r="F213" s="173"/>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2">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I9" sqref="I9"/>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2.1399999999999997</v>
      </c>
      <c r="F6" s="49">
        <f>VLOOKUP($A6,'Data shares'!$C:$FA,129)</f>
        <v>275500</v>
      </c>
      <c r="G6" s="17"/>
    </row>
    <row r="7" spans="1:7" x14ac:dyDescent="0.25">
      <c r="A7" s="101" t="s">
        <v>228</v>
      </c>
      <c r="B7" s="17">
        <v>292206563</v>
      </c>
      <c r="C7" s="17">
        <v>71903525</v>
      </c>
      <c r="D7" s="17">
        <f t="shared" ref="D7:D70" si="0">C7</f>
        <v>71903525</v>
      </c>
      <c r="E7" s="49">
        <f>VLOOKUP($A7,'Data shares'!$C:$FA,128)*100</f>
        <v>1.41</v>
      </c>
      <c r="F7" s="49">
        <f>VLOOKUP($A7,'Data shares'!$C:$FA,129)</f>
        <v>831600</v>
      </c>
      <c r="G7" s="17"/>
    </row>
    <row r="8" spans="1:7" x14ac:dyDescent="0.25">
      <c r="A8" s="101" t="s">
        <v>200</v>
      </c>
      <c r="B8" s="17">
        <v>417418754</v>
      </c>
      <c r="C8" s="17">
        <v>109662000</v>
      </c>
      <c r="D8" s="17">
        <f t="shared" si="0"/>
        <v>109662000</v>
      </c>
      <c r="E8" s="49">
        <f>VLOOKUP($A8,'Data shares'!$C:$FA,128)*100</f>
        <v>6.58</v>
      </c>
      <c r="F8" s="49">
        <f>VLOOKUP($A8,'Data shares'!$C:$FA,129)</f>
        <v>3518100</v>
      </c>
      <c r="G8" s="17"/>
    </row>
    <row r="9" spans="1:7" x14ac:dyDescent="0.25">
      <c r="A9" s="101" t="s">
        <v>214</v>
      </c>
      <c r="B9" s="17">
        <v>30110093</v>
      </c>
      <c r="C9" s="17">
        <v>10703050</v>
      </c>
      <c r="D9" s="17">
        <f t="shared" si="0"/>
        <v>10703050</v>
      </c>
      <c r="E9" s="49">
        <f>VLOOKUP($A9,'Data shares'!$C:$FA,128)*100</f>
        <v>0.54</v>
      </c>
      <c r="F9" s="49">
        <f>VLOOKUP($A9,'Data shares'!$C:$FA,129)</f>
        <v>56250</v>
      </c>
      <c r="G9" s="17"/>
    </row>
    <row r="10" spans="1:7" x14ac:dyDescent="0.25">
      <c r="A10" s="101" t="s">
        <v>243</v>
      </c>
      <c r="B10" s="17">
        <v>80699820</v>
      </c>
      <c r="C10" s="17">
        <v>65367500</v>
      </c>
      <c r="D10" s="17">
        <f t="shared" si="0"/>
        <v>65367500</v>
      </c>
      <c r="E10" s="49">
        <f>VLOOKUP($A10,'Data shares'!$C:$FA,128)*100</f>
        <v>1.26</v>
      </c>
      <c r="F10" s="49">
        <f>VLOOKUP($A10,'Data shares'!$C:$FA,129)</f>
        <v>157500</v>
      </c>
      <c r="G10" s="17"/>
    </row>
    <row r="11" spans="1:7" x14ac:dyDescent="0.25">
      <c r="A11" s="101" t="s">
        <v>231</v>
      </c>
      <c r="B11" s="17">
        <v>80556813</v>
      </c>
      <c r="C11" s="17">
        <v>62967200</v>
      </c>
      <c r="D11" s="17">
        <f t="shared" si="0"/>
        <v>62967200</v>
      </c>
      <c r="E11" s="49">
        <f>VLOOKUP($A11,'Data shares'!$C:$FA,128)*100</f>
        <v>3.9600000000000004</v>
      </c>
      <c r="F11" s="49">
        <f>VLOOKUP($A11,'Data shares'!$C:$FA,129)</f>
        <v>1506825</v>
      </c>
      <c r="G11" s="17"/>
    </row>
    <row r="12" spans="1:7" x14ac:dyDescent="0.25">
      <c r="A12" s="101" t="s">
        <v>195</v>
      </c>
      <c r="B12" s="17">
        <v>23823080</v>
      </c>
      <c r="C12" s="17">
        <v>2862400</v>
      </c>
      <c r="D12" s="17">
        <f t="shared" si="0"/>
        <v>2862400</v>
      </c>
      <c r="E12" s="49">
        <f>VLOOKUP($A12,'Data shares'!$C:$FA,128)*100</f>
        <v>0.62</v>
      </c>
      <c r="F12" s="49">
        <f>VLOOKUP($A12,'Data shares'!$C:$FA,129)</f>
        <v>19375</v>
      </c>
      <c r="G12" s="17"/>
    </row>
    <row r="13" spans="1:7" x14ac:dyDescent="0.25">
      <c r="A13" s="101" t="s">
        <v>304</v>
      </c>
      <c r="B13" s="17">
        <v>223492679</v>
      </c>
      <c r="C13" s="17">
        <v>98465300</v>
      </c>
      <c r="D13" s="17">
        <f t="shared" si="0"/>
        <v>98465300</v>
      </c>
      <c r="E13" s="49">
        <f>VLOOKUP($A13,'Data shares'!$C:$FA,128)*100</f>
        <v>2.88</v>
      </c>
      <c r="F13" s="49">
        <f>VLOOKUP($A13,'Data shares'!$C:$FA,129)</f>
        <v>2300000</v>
      </c>
      <c r="G13" s="17"/>
    </row>
    <row r="14" spans="1:7" x14ac:dyDescent="0.25">
      <c r="A14" s="101" t="s">
        <v>167</v>
      </c>
      <c r="B14" s="17">
        <v>282181803</v>
      </c>
      <c r="C14" s="17">
        <v>95526000</v>
      </c>
      <c r="D14" s="17">
        <f t="shared" si="0"/>
        <v>95526000</v>
      </c>
      <c r="E14" s="49">
        <f>VLOOKUP($A14,'Data shares'!$C:$FA,128)*100</f>
        <v>3.34</v>
      </c>
      <c r="F14" s="49">
        <f>VLOOKUP($A14,'Data shares'!$C:$FA,129)</f>
        <v>3835000</v>
      </c>
      <c r="G14" s="17"/>
    </row>
    <row r="15" spans="1:7" x14ac:dyDescent="0.25">
      <c r="A15" s="101" t="s">
        <v>222</v>
      </c>
      <c r="B15" s="17">
        <v>214194964</v>
      </c>
      <c r="C15" s="17">
        <v>37437400</v>
      </c>
      <c r="D15" s="17">
        <f t="shared" si="0"/>
        <v>37437400</v>
      </c>
      <c r="E15" s="49">
        <f>VLOOKUP($A15,'Data shares'!$C:$FA,128)*100</f>
        <v>1.5</v>
      </c>
      <c r="F15" s="49">
        <f>VLOOKUP($A15,'Data shares'!$C:$FA,129)</f>
        <v>265300</v>
      </c>
      <c r="G15" s="17"/>
    </row>
    <row r="16" spans="1:7" x14ac:dyDescent="0.25">
      <c r="A16" s="101" t="s">
        <v>290</v>
      </c>
      <c r="B16" s="17">
        <v>31601465</v>
      </c>
      <c r="C16" s="17">
        <v>13192000</v>
      </c>
      <c r="D16" s="17">
        <f t="shared" si="0"/>
        <v>13192000</v>
      </c>
      <c r="E16" s="49">
        <f>VLOOKUP($A16,'Data shares'!$C:$FA,128)*100</f>
        <v>2.46</v>
      </c>
      <c r="F16" s="49">
        <f>VLOOKUP($A16,'Data shares'!$C:$FA,129)</f>
        <v>114000</v>
      </c>
      <c r="G16" s="17"/>
    </row>
    <row r="17" spans="1:7" x14ac:dyDescent="0.25">
      <c r="A17" s="101" t="s">
        <v>500</v>
      </c>
      <c r="B17" s="17">
        <v>24930381</v>
      </c>
      <c r="C17" s="17">
        <v>1925625</v>
      </c>
      <c r="D17" s="17">
        <f t="shared" si="0"/>
        <v>1925625</v>
      </c>
      <c r="E17" s="49">
        <f>VLOOKUP($A17,'Data shares'!$C:$FA,128)*100</f>
        <v>8.57</v>
      </c>
      <c r="F17" s="49">
        <f>VLOOKUP($A17,'Data shares'!$C:$FA,129)</f>
        <v>2805000</v>
      </c>
      <c r="G17" s="17"/>
    </row>
    <row r="18" spans="1:7" x14ac:dyDescent="0.25">
      <c r="A18" s="101" t="s">
        <v>491</v>
      </c>
      <c r="B18" s="17">
        <v>53841317</v>
      </c>
      <c r="C18" s="17">
        <v>9268750</v>
      </c>
      <c r="D18" s="17">
        <f t="shared" si="0"/>
        <v>9268750</v>
      </c>
      <c r="E18" s="49">
        <f>VLOOKUP($A18,'Data shares'!$C:$FA,128)*100</f>
        <v>0.42</v>
      </c>
      <c r="F18" s="49">
        <f>VLOOKUP($A18,'Data shares'!$C:$FA,129)</f>
        <v>65250</v>
      </c>
      <c r="G18" s="17"/>
    </row>
    <row r="19" spans="1:7" x14ac:dyDescent="0.25">
      <c r="A19" s="101" t="s">
        <v>257</v>
      </c>
      <c r="B19" s="17">
        <v>43771086</v>
      </c>
      <c r="C19" s="17">
        <v>2865850</v>
      </c>
      <c r="D19" s="17">
        <f t="shared" si="0"/>
        <v>2865850</v>
      </c>
      <c r="E19" s="49">
        <f>VLOOKUP($A19,'Data shares'!$C:$FA,128)*100</f>
        <v>0.41000000000000003</v>
      </c>
      <c r="F19" s="49">
        <f>VLOOKUP($A19,'Data shares'!$C:$FA,129)</f>
        <v>32400</v>
      </c>
      <c r="G19" s="17"/>
    </row>
    <row r="20" spans="1:7" x14ac:dyDescent="0.25">
      <c r="A20" s="101" t="s">
        <v>259</v>
      </c>
      <c r="B20" s="17">
        <v>12838406</v>
      </c>
      <c r="C20" s="17">
        <v>3561800</v>
      </c>
      <c r="D20" s="17">
        <f t="shared" si="0"/>
        <v>3561800</v>
      </c>
      <c r="E20" s="49">
        <f>VLOOKUP($A20,'Data shares'!$C:$FA,128)*100</f>
        <v>3.1199999999999997</v>
      </c>
      <c r="F20" s="49">
        <f>VLOOKUP($A20,'Data shares'!$C:$FA,129)</f>
        <v>71400</v>
      </c>
      <c r="G20" s="17"/>
    </row>
    <row r="21" spans="1:7" x14ac:dyDescent="0.25">
      <c r="A21" s="101" t="s">
        <v>212</v>
      </c>
      <c r="B21" s="17">
        <v>393764205</v>
      </c>
      <c r="C21" s="17">
        <v>124730000</v>
      </c>
      <c r="D21" s="17">
        <f t="shared" si="0"/>
        <v>124730000</v>
      </c>
      <c r="E21" s="49">
        <f>VLOOKUP($A21,'Data shares'!$C:$FA,128)*100</f>
        <v>5.5</v>
      </c>
      <c r="F21" s="49">
        <f>VLOOKUP($A21,'Data shares'!$C:$FA,129)</f>
        <v>2870000</v>
      </c>
      <c r="G21" s="17"/>
    </row>
    <row r="22" spans="1:7" x14ac:dyDescent="0.25">
      <c r="A22" s="101" t="s">
        <v>209</v>
      </c>
      <c r="B22" s="17">
        <v>27768950</v>
      </c>
      <c r="C22" s="17">
        <v>5371100</v>
      </c>
      <c r="D22" s="17">
        <f t="shared" si="0"/>
        <v>5371100</v>
      </c>
      <c r="E22" s="49">
        <f>VLOOKUP($A22,'Data shares'!$C:$FA,128)*100</f>
        <v>2.35</v>
      </c>
      <c r="F22" s="49">
        <f>VLOOKUP($A22,'Data shares'!$C:$FA,129)</f>
        <v>65500</v>
      </c>
      <c r="G22" s="17"/>
    </row>
    <row r="23" spans="1:7" x14ac:dyDescent="0.25">
      <c r="A23" s="101" t="s">
        <v>501</v>
      </c>
      <c r="B23" s="17">
        <v>155792872</v>
      </c>
      <c r="C23" s="17">
        <v>50166406</v>
      </c>
      <c r="D23" s="17">
        <f t="shared" si="0"/>
        <v>50166406</v>
      </c>
      <c r="E23" s="49">
        <f>VLOOKUP($A23,'Data shares'!$C:$FA,128)*100</f>
        <v>3.9800000000000004</v>
      </c>
      <c r="F23" s="49">
        <f>VLOOKUP($A23,'Data shares'!$C:$FA,129)</f>
        <v>831000</v>
      </c>
      <c r="G23" s="17"/>
    </row>
    <row r="24" spans="1:7" x14ac:dyDescent="0.25">
      <c r="A24" s="101" t="s">
        <v>276</v>
      </c>
      <c r="B24" s="17">
        <v>678857930</v>
      </c>
      <c r="C24" s="17">
        <v>84677374</v>
      </c>
      <c r="D24" s="17">
        <f t="shared" si="0"/>
        <v>84677374</v>
      </c>
      <c r="E24" s="49">
        <f>VLOOKUP($A24,'Data shares'!$C:$FA,128)*100</f>
        <v>9.5699999999999985</v>
      </c>
      <c r="F24" s="49">
        <f>VLOOKUP($A24,'Data shares'!$C:$FA,129)</f>
        <v>8751400</v>
      </c>
      <c r="G24" s="17"/>
    </row>
    <row r="25" spans="1:7" x14ac:dyDescent="0.25">
      <c r="A25" s="101" t="s">
        <v>210</v>
      </c>
      <c r="B25" s="17">
        <v>14114257</v>
      </c>
      <c r="C25" s="17">
        <v>11000000</v>
      </c>
      <c r="D25" s="17">
        <f t="shared" si="0"/>
        <v>11000000</v>
      </c>
      <c r="E25" s="49">
        <f>VLOOKUP($A25,'Data shares'!$C:$FA,128)*100</f>
        <v>2.35</v>
      </c>
      <c r="F25" s="49">
        <f>VLOOKUP($A25,'Data shares'!$C:$FA,129)</f>
        <v>65500</v>
      </c>
      <c r="G25" s="17"/>
    </row>
    <row r="26" spans="1:7" x14ac:dyDescent="0.25">
      <c r="A26" s="101" t="s">
        <v>267</v>
      </c>
      <c r="B26" s="17">
        <v>229794455</v>
      </c>
      <c r="C26" s="17">
        <v>133289800</v>
      </c>
      <c r="D26" s="17">
        <f t="shared" si="0"/>
        <v>133289800</v>
      </c>
      <c r="E26" s="49">
        <f>VLOOKUP($A26,'Data shares'!$C:$FA,128)*100</f>
        <v>3.73</v>
      </c>
      <c r="F26" s="49">
        <f>VLOOKUP($A26,'Data shares'!$C:$FA,129)</f>
        <v>11529000</v>
      </c>
      <c r="G26" s="17"/>
    </row>
    <row r="27" spans="1:7" x14ac:dyDescent="0.25">
      <c r="A27" s="101" t="s">
        <v>533</v>
      </c>
      <c r="B27" s="17">
        <v>61337685</v>
      </c>
      <c r="C27" s="17">
        <v>24741600</v>
      </c>
      <c r="D27" s="17">
        <f t="shared" si="0"/>
        <v>24741600</v>
      </c>
      <c r="E27" s="49">
        <f>VLOOKUP($A27,'Data shares'!$C:$FA,128)*100</f>
        <v>1.79</v>
      </c>
      <c r="F27" s="49">
        <f>VLOOKUP($A27,'Data shares'!$C:$FA,129)</f>
        <v>193750</v>
      </c>
      <c r="G27" s="17"/>
    </row>
    <row r="28" spans="1:7" x14ac:dyDescent="0.25">
      <c r="A28" s="101" t="s">
        <v>502</v>
      </c>
      <c r="B28" s="17">
        <v>5165920</v>
      </c>
      <c r="C28" s="17">
        <v>1179400</v>
      </c>
      <c r="D28" s="17">
        <f t="shared" si="0"/>
        <v>1179400</v>
      </c>
      <c r="E28" s="49">
        <f>VLOOKUP($A28,'Data shares'!$C:$FA,128)*100</f>
        <v>4.1099999999999994</v>
      </c>
      <c r="F28" s="49">
        <f>VLOOKUP($A28,'Data shares'!$C:$FA,129)</f>
        <v>578750</v>
      </c>
      <c r="G28" s="17"/>
    </row>
    <row r="29" spans="1:7" x14ac:dyDescent="0.25">
      <c r="A29" s="101" t="s">
        <v>474</v>
      </c>
      <c r="B29" s="17">
        <v>7339737</v>
      </c>
      <c r="C29" s="17">
        <v>979625</v>
      </c>
      <c r="D29" s="17">
        <f t="shared" si="0"/>
        <v>979625</v>
      </c>
      <c r="E29" s="49">
        <f>VLOOKUP($A29,'Data shares'!$C:$FA,128)*100</f>
        <v>6.1</v>
      </c>
      <c r="F29" s="49">
        <f>VLOOKUP($A29,'Data shares'!$C:$FA,129)</f>
        <v>229925</v>
      </c>
      <c r="G29" s="17"/>
    </row>
    <row r="30" spans="1:7" x14ac:dyDescent="0.25">
      <c r="A30" s="101" t="s">
        <v>158</v>
      </c>
      <c r="B30" s="17">
        <v>17078428</v>
      </c>
      <c r="C30" s="17">
        <v>3648750</v>
      </c>
      <c r="D30" s="17">
        <f t="shared" si="0"/>
        <v>3648750</v>
      </c>
      <c r="E30" s="49">
        <f>VLOOKUP($A30,'Data shares'!$C:$FA,128)*100</f>
        <v>2.1</v>
      </c>
      <c r="F30" s="49">
        <f>VLOOKUP($A30,'Data shares'!$C:$FA,129)</f>
        <v>1097400</v>
      </c>
      <c r="G30" s="17"/>
    </row>
    <row r="31" spans="1:7" x14ac:dyDescent="0.25">
      <c r="A31" s="101" t="s">
        <v>268</v>
      </c>
      <c r="B31" s="17">
        <v>948263976</v>
      </c>
      <c r="C31" s="17">
        <v>170042400</v>
      </c>
      <c r="D31" s="17">
        <f t="shared" si="0"/>
        <v>170042400</v>
      </c>
      <c r="E31" s="49">
        <f>VLOOKUP($A31,'Data shares'!$C:$FA,128)*100</f>
        <v>8.83</v>
      </c>
      <c r="F31" s="49">
        <f>VLOOKUP($A31,'Data shares'!$C:$FA,129)</f>
        <v>7201500</v>
      </c>
      <c r="G31" s="17"/>
    </row>
    <row r="32" spans="1:7" x14ac:dyDescent="0.25">
      <c r="A32" s="101" t="s">
        <v>557</v>
      </c>
      <c r="B32" s="17">
        <v>51441633</v>
      </c>
      <c r="C32" s="17">
        <v>26329600</v>
      </c>
      <c r="D32" s="17">
        <f t="shared" si="0"/>
        <v>26329600</v>
      </c>
      <c r="E32" s="49">
        <f>VLOOKUP($A32,'Data shares'!$C:$FA,128)*100</f>
        <v>2.8000000000000003</v>
      </c>
      <c r="F32" s="49">
        <f>VLOOKUP($A32,'Data shares'!$C:$FA,129)</f>
        <v>261900</v>
      </c>
      <c r="G32" s="17"/>
    </row>
    <row r="33" spans="1:7" x14ac:dyDescent="0.25">
      <c r="A33" s="101" t="s">
        <v>549</v>
      </c>
      <c r="B33" s="17">
        <v>319287188</v>
      </c>
      <c r="C33" s="17">
        <v>149780000</v>
      </c>
      <c r="D33" s="17">
        <f t="shared" si="0"/>
        <v>149780000</v>
      </c>
      <c r="E33" s="49">
        <f>VLOOKUP($A33,'Data shares'!$C:$FA,128)*100</f>
        <v>5.89</v>
      </c>
      <c r="F33" s="49">
        <f>VLOOKUP($A33,'Data shares'!$C:$FA,129)</f>
        <v>413339925</v>
      </c>
      <c r="G33" s="17"/>
    </row>
    <row r="34" spans="1:7" x14ac:dyDescent="0.25">
      <c r="A34" s="101" t="s">
        <v>536</v>
      </c>
      <c r="B34" s="17">
        <v>57585215</v>
      </c>
      <c r="C34" s="17">
        <v>5314000</v>
      </c>
      <c r="D34" s="17">
        <f t="shared" si="0"/>
        <v>5314000</v>
      </c>
      <c r="E34" s="49">
        <f>VLOOKUP($A34,'Data shares'!$C:$FA,128)*100</f>
        <v>3.9</v>
      </c>
      <c r="F34" s="49">
        <f>VLOOKUP($A34,'Data shares'!$C:$FA,129)</f>
        <v>620800</v>
      </c>
      <c r="G34" s="17"/>
    </row>
    <row r="35" spans="1:7" x14ac:dyDescent="0.25">
      <c r="A35" s="101" t="s">
        <v>270</v>
      </c>
      <c r="B35" s="17">
        <v>1178038</v>
      </c>
      <c r="C35" s="17">
        <v>100890</v>
      </c>
      <c r="D35" s="17">
        <f t="shared" si="0"/>
        <v>100890</v>
      </c>
      <c r="E35" s="49">
        <f>VLOOKUP($A35,'Data shares'!$C:$FA,128)*100</f>
        <v>5.1499999999999995</v>
      </c>
      <c r="F35" s="49">
        <f>VLOOKUP($A35,'Data shares'!$C:$FA,129)</f>
        <v>12630</v>
      </c>
      <c r="G35" s="17"/>
    </row>
    <row r="36" spans="1:7" x14ac:dyDescent="0.25">
      <c r="A36" s="101" t="s">
        <v>258</v>
      </c>
      <c r="B36" s="17">
        <v>13335005</v>
      </c>
      <c r="C36" s="17">
        <v>5970600</v>
      </c>
      <c r="D36" s="17">
        <f t="shared" si="0"/>
        <v>5970600</v>
      </c>
      <c r="E36" s="49">
        <f>VLOOKUP($A36,'Data shares'!$C:$FA,128)*100</f>
        <v>0.41000000000000003</v>
      </c>
      <c r="F36" s="49">
        <f>VLOOKUP($A36,'Data shares'!$C:$FA,129)</f>
        <v>32400</v>
      </c>
      <c r="G36" s="17"/>
    </row>
    <row r="37" spans="1:7" x14ac:dyDescent="0.25">
      <c r="A37" s="101" t="s">
        <v>301</v>
      </c>
      <c r="B37" s="17">
        <v>14428803</v>
      </c>
      <c r="C37" s="17">
        <v>2171400</v>
      </c>
      <c r="D37" s="17">
        <f t="shared" si="0"/>
        <v>2171400</v>
      </c>
      <c r="E37" s="49">
        <f>VLOOKUP($A37,'Data shares'!$C:$FA,128)*100</f>
        <v>1.01</v>
      </c>
      <c r="F37" s="49">
        <f>VLOOKUP($A37,'Data shares'!$C:$FA,129)</f>
        <v>84525</v>
      </c>
      <c r="G37" s="17"/>
    </row>
    <row r="38" spans="1:7" x14ac:dyDescent="0.25">
      <c r="A38" s="101" t="s">
        <v>283</v>
      </c>
      <c r="B38" s="17">
        <v>747713393</v>
      </c>
      <c r="C38" s="17">
        <v>158166000</v>
      </c>
      <c r="D38" s="17">
        <f t="shared" si="0"/>
        <v>158166000</v>
      </c>
      <c r="E38" s="49">
        <f>VLOOKUP($A38,'Data shares'!$C:$FA,128)*100</f>
        <v>2.7199999999999998</v>
      </c>
      <c r="F38" s="49">
        <f>VLOOKUP($A38,'Data shares'!$C:$FA,129)</f>
        <v>1938750</v>
      </c>
      <c r="G38" s="17"/>
    </row>
    <row r="39" spans="1:7" x14ac:dyDescent="0.25">
      <c r="A39" s="101" t="s">
        <v>281</v>
      </c>
      <c r="B39" s="17">
        <v>648405756</v>
      </c>
      <c r="C39" s="17">
        <v>61815500</v>
      </c>
      <c r="D39" s="17">
        <f t="shared" si="0"/>
        <v>61815500</v>
      </c>
      <c r="E39" s="49">
        <f>VLOOKUP($A39,'Data shares'!$C:$FA,128)*100</f>
        <v>5.07</v>
      </c>
      <c r="F39" s="49">
        <f>VLOOKUP($A39,'Data shares'!$C:$FA,129)</f>
        <v>4286500</v>
      </c>
      <c r="G39" s="17"/>
    </row>
    <row r="40" spans="1:7" x14ac:dyDescent="0.25">
      <c r="A40" s="101" t="s">
        <v>198</v>
      </c>
      <c r="B40" s="17">
        <v>79546680</v>
      </c>
      <c r="C40" s="17">
        <v>13283750</v>
      </c>
      <c r="D40" s="17">
        <f t="shared" si="0"/>
        <v>13283750</v>
      </c>
      <c r="E40" s="49">
        <f>VLOOKUP($A40,'Data shares'!$C:$FA,128)*100</f>
        <v>1.78</v>
      </c>
      <c r="F40" s="49">
        <f>VLOOKUP($A40,'Data shares'!$C:$FA,129)</f>
        <v>197500</v>
      </c>
      <c r="G40" s="17"/>
    </row>
    <row r="41" spans="1:7" x14ac:dyDescent="0.25">
      <c r="A41" s="101" t="s">
        <v>299</v>
      </c>
      <c r="B41" s="17">
        <v>44634693</v>
      </c>
      <c r="C41" s="17">
        <v>3805500</v>
      </c>
      <c r="D41" s="17">
        <f t="shared" si="0"/>
        <v>3805500</v>
      </c>
      <c r="E41" s="49">
        <f>VLOOKUP($A41,'Data shares'!$C:$FA,128)*100</f>
        <v>2.58</v>
      </c>
      <c r="F41" s="49">
        <f>VLOOKUP($A41,'Data shares'!$C:$FA,129)</f>
        <v>74375</v>
      </c>
      <c r="G41" s="17"/>
    </row>
    <row r="42" spans="1:7" x14ac:dyDescent="0.25">
      <c r="A42" s="101" t="s">
        <v>273</v>
      </c>
      <c r="B42" s="17">
        <v>232357926</v>
      </c>
      <c r="C42" s="17">
        <v>67053000</v>
      </c>
      <c r="D42" s="17">
        <f t="shared" si="0"/>
        <v>67053000</v>
      </c>
      <c r="E42" s="49">
        <f>VLOOKUP($A42,'Data shares'!$C:$FA,128)*100</f>
        <v>5.76</v>
      </c>
      <c r="F42" s="49">
        <f>VLOOKUP($A42,'Data shares'!$C:$FA,129)</f>
        <v>4477200</v>
      </c>
      <c r="G42" s="17"/>
    </row>
    <row r="43" spans="1:7" x14ac:dyDescent="0.25">
      <c r="A43" s="101" t="s">
        <v>207</v>
      </c>
      <c r="B43" s="17">
        <v>124016568</v>
      </c>
      <c r="C43" s="17">
        <v>57530550</v>
      </c>
      <c r="D43" s="17">
        <f t="shared" si="0"/>
        <v>57530550</v>
      </c>
      <c r="E43" s="49">
        <f>VLOOKUP($A43,'Data shares'!$C:$FA,128)*100</f>
        <v>2.7</v>
      </c>
      <c r="F43" s="49">
        <f>VLOOKUP($A43,'Data shares'!$C:$FA,129)</f>
        <v>1139325</v>
      </c>
      <c r="G43" s="17"/>
    </row>
    <row r="44" spans="1:7" x14ac:dyDescent="0.25">
      <c r="A44" s="101" t="s">
        <v>191</v>
      </c>
      <c r="B44" s="17">
        <v>92946457</v>
      </c>
      <c r="C44" s="17">
        <v>36478000</v>
      </c>
      <c r="D44" s="17">
        <f t="shared" si="0"/>
        <v>36478000</v>
      </c>
      <c r="E44" s="49">
        <f>VLOOKUP($A44,'Data shares'!$C:$FA,128)*100</f>
        <v>3.32</v>
      </c>
      <c r="F44" s="49">
        <f>VLOOKUP($A44,'Data shares'!$C:$FA,129)</f>
        <v>1152500</v>
      </c>
      <c r="G44" s="17"/>
    </row>
    <row r="45" spans="1:7" x14ac:dyDescent="0.25">
      <c r="A45" s="101" t="s">
        <v>288</v>
      </c>
      <c r="B45" s="17">
        <v>218440087</v>
      </c>
      <c r="C45" s="17">
        <v>44080400</v>
      </c>
      <c r="D45" s="17">
        <f t="shared" si="0"/>
        <v>44080400</v>
      </c>
      <c r="E45" s="49">
        <f>VLOOKUP($A45,'Data shares'!$C:$FA,128)*100</f>
        <v>1.59</v>
      </c>
      <c r="F45" s="49">
        <f>VLOOKUP($A45,'Data shares'!$C:$FA,129)</f>
        <v>217350</v>
      </c>
      <c r="G45" s="17"/>
    </row>
    <row r="46" spans="1:7" x14ac:dyDescent="0.25">
      <c r="A46" s="101" t="s">
        <v>275</v>
      </c>
      <c r="B46" s="17">
        <v>591377974</v>
      </c>
      <c r="C46" s="17">
        <v>493488000</v>
      </c>
      <c r="D46" s="17">
        <f t="shared" si="0"/>
        <v>493488000</v>
      </c>
      <c r="E46" s="49">
        <f>VLOOKUP($A46,'Data shares'!$C:$FA,128)*100</f>
        <v>3.8899999999999997</v>
      </c>
      <c r="F46" s="49">
        <f>VLOOKUP($A46,'Data shares'!$C:$FA,129)</f>
        <v>8424000</v>
      </c>
      <c r="G46" s="17"/>
    </row>
    <row r="47" spans="1:7" x14ac:dyDescent="0.25">
      <c r="A47" s="101" t="s">
        <v>277</v>
      </c>
      <c r="B47" s="17">
        <v>10116165</v>
      </c>
      <c r="C47" s="17">
        <v>7378910</v>
      </c>
      <c r="D47" s="17">
        <f t="shared" si="0"/>
        <v>7378910</v>
      </c>
      <c r="E47" s="49">
        <f>VLOOKUP($A47,'Data shares'!$C:$FA,128)*100</f>
        <v>0.88</v>
      </c>
      <c r="F47" s="49">
        <f>VLOOKUP($A47,'Data shares'!$C:$FA,129)</f>
        <v>31950</v>
      </c>
      <c r="G47" s="17"/>
    </row>
    <row r="48" spans="1:7" x14ac:dyDescent="0.25">
      <c r="A48" s="101" t="s">
        <v>196</v>
      </c>
      <c r="B48" s="17">
        <v>134484114</v>
      </c>
      <c r="C48" s="17">
        <v>73278000</v>
      </c>
      <c r="D48" s="17">
        <f t="shared" si="0"/>
        <v>73278000</v>
      </c>
      <c r="E48" s="49">
        <f>VLOOKUP($A48,'Data shares'!$C:$FA,128)*100</f>
        <v>5.82</v>
      </c>
      <c r="F48" s="49">
        <f>VLOOKUP($A48,'Data shares'!$C:$FA,129)</f>
        <v>8100000</v>
      </c>
      <c r="G48" s="17"/>
    </row>
    <row r="49" spans="1:7" x14ac:dyDescent="0.25">
      <c r="A49" s="101" t="s">
        <v>287</v>
      </c>
      <c r="B49" s="17">
        <v>40005132</v>
      </c>
      <c r="C49" s="17">
        <v>6264400</v>
      </c>
      <c r="D49" s="17">
        <f t="shared" si="0"/>
        <v>6264400</v>
      </c>
      <c r="E49" s="49">
        <f>VLOOKUP($A49,'Data shares'!$C:$FA,128)*100</f>
        <v>1.49</v>
      </c>
      <c r="F49" s="49">
        <f>VLOOKUP($A49,'Data shares'!$C:$FA,129)</f>
        <v>50200</v>
      </c>
      <c r="G49" s="17"/>
    </row>
    <row r="50" spans="1:7" x14ac:dyDescent="0.25">
      <c r="A50" s="101" t="s">
        <v>553</v>
      </c>
      <c r="B50" s="17">
        <v>10595418</v>
      </c>
      <c r="C50" s="17">
        <v>250250</v>
      </c>
      <c r="D50" s="17">
        <f t="shared" si="0"/>
        <v>250250</v>
      </c>
      <c r="E50" s="49">
        <f>VLOOKUP($A50,'Data shares'!$C:$FA,128)*100</f>
        <v>3.83</v>
      </c>
      <c r="F50" s="49">
        <f>VLOOKUP($A50,'Data shares'!$C:$FA,129)</f>
        <v>76250</v>
      </c>
      <c r="G50" s="17"/>
    </row>
    <row r="51" spans="1:7" x14ac:dyDescent="0.25">
      <c r="A51" s="101" t="s">
        <v>519</v>
      </c>
      <c r="B51" s="17">
        <v>9516271</v>
      </c>
      <c r="C51" s="17">
        <v>1000800</v>
      </c>
      <c r="D51" s="17">
        <f t="shared" si="0"/>
        <v>1000800</v>
      </c>
      <c r="E51" s="49">
        <f>VLOOKUP($A51,'Data shares'!$C:$FA,128)*100</f>
        <v>1.5</v>
      </c>
      <c r="F51" s="49">
        <f>VLOOKUP($A51,'Data shares'!$C:$FA,129)</f>
        <v>42750</v>
      </c>
      <c r="G51" s="17"/>
    </row>
    <row r="52" spans="1:7" x14ac:dyDescent="0.25">
      <c r="A52" s="101" t="s">
        <v>550</v>
      </c>
      <c r="B52" s="17">
        <v>137684181</v>
      </c>
      <c r="C52" s="17">
        <v>42696000</v>
      </c>
      <c r="D52" s="17">
        <f t="shared" si="0"/>
        <v>42696000</v>
      </c>
      <c r="E52" s="49">
        <f>VLOOKUP($A52,'Data shares'!$C:$FA,128)*100</f>
        <v>6.63</v>
      </c>
      <c r="F52" s="49">
        <f>VLOOKUP($A52,'Data shares'!$C:$FA,129)</f>
        <v>2587000</v>
      </c>
      <c r="G52" s="17"/>
    </row>
    <row r="53" spans="1:7" x14ac:dyDescent="0.25">
      <c r="A53" s="101" t="s">
        <v>284</v>
      </c>
      <c r="B53" s="17">
        <v>2702190</v>
      </c>
      <c r="C53" s="17">
        <v>250575</v>
      </c>
      <c r="D53" s="17">
        <f t="shared" si="0"/>
        <v>250575</v>
      </c>
      <c r="E53" s="49">
        <f>VLOOKUP($A53,'Data shares'!$C:$FA,128)*100</f>
        <v>1.34</v>
      </c>
      <c r="F53" s="49">
        <f>VLOOKUP($A53,'Data shares'!$C:$FA,129)</f>
        <v>3550</v>
      </c>
      <c r="G53" s="17"/>
    </row>
    <row r="54" spans="1:7" x14ac:dyDescent="0.25">
      <c r="A54" s="101" t="s">
        <v>488</v>
      </c>
      <c r="B54" s="17">
        <v>5499709</v>
      </c>
      <c r="C54" s="17">
        <v>1097600</v>
      </c>
      <c r="D54" s="17">
        <f t="shared" si="0"/>
        <v>1097600</v>
      </c>
      <c r="E54" s="49">
        <f>VLOOKUP($A54,'Data shares'!$C:$FA,128)*100</f>
        <v>1.03</v>
      </c>
      <c r="F54" s="49">
        <f>VLOOKUP($A54,'Data shares'!$C:$FA,129)</f>
        <v>23550</v>
      </c>
      <c r="G54" s="17"/>
    </row>
    <row r="55" spans="1:7" x14ac:dyDescent="0.25">
      <c r="A55" s="101" t="s">
        <v>523</v>
      </c>
      <c r="B55" s="17">
        <v>118085392</v>
      </c>
      <c r="C55" s="17">
        <v>6549400</v>
      </c>
      <c r="D55" s="17">
        <f t="shared" si="0"/>
        <v>6549400</v>
      </c>
      <c r="E55" s="49">
        <f>VLOOKUP($A55,'Data shares'!$C:$FA,128)*100</f>
        <v>4.5999999999999996</v>
      </c>
      <c r="F55" s="49">
        <f>VLOOKUP($A55,'Data shares'!$C:$FA,129)</f>
        <v>2574000</v>
      </c>
      <c r="G55" s="17"/>
    </row>
    <row r="56" spans="1:7" x14ac:dyDescent="0.25">
      <c r="A56" s="101" t="s">
        <v>485</v>
      </c>
      <c r="B56" s="17">
        <v>6917069</v>
      </c>
      <c r="C56" s="17">
        <v>762075</v>
      </c>
      <c r="D56" s="17">
        <f t="shared" si="0"/>
        <v>762075</v>
      </c>
      <c r="E56" s="49">
        <f>VLOOKUP($A56,'Data shares'!$C:$FA,128)*100</f>
        <v>1.0900000000000001</v>
      </c>
      <c r="F56" s="49">
        <f>VLOOKUP($A56,'Data shares'!$C:$FA,129)</f>
        <v>78750</v>
      </c>
      <c r="G56" s="17"/>
    </row>
    <row r="57" spans="1:7" x14ac:dyDescent="0.25">
      <c r="A57" s="101" t="s">
        <v>178</v>
      </c>
      <c r="B57" s="17">
        <v>16125398</v>
      </c>
      <c r="C57" s="17">
        <v>1552600</v>
      </c>
      <c r="D57" s="17">
        <f t="shared" si="0"/>
        <v>1552600</v>
      </c>
      <c r="E57" s="49">
        <f>VLOOKUP($A57,'Data shares'!$C:$FA,128)*100</f>
        <v>2.3199999999999998</v>
      </c>
      <c r="F57" s="49">
        <f>VLOOKUP($A57,'Data shares'!$C:$FA,129)</f>
        <v>1896000</v>
      </c>
      <c r="G57" s="17"/>
    </row>
    <row r="58" spans="1:7" x14ac:dyDescent="0.25">
      <c r="A58" s="101" t="s">
        <v>240</v>
      </c>
      <c r="B58" s="17">
        <v>727896180</v>
      </c>
      <c r="C58" s="17">
        <v>46526100</v>
      </c>
      <c r="D58" s="17">
        <f t="shared" si="0"/>
        <v>46526100</v>
      </c>
      <c r="E58" s="49">
        <f>VLOOKUP($A58,'Data shares'!$C:$FA,128)*100</f>
        <v>1.51</v>
      </c>
      <c r="F58" s="49">
        <f>VLOOKUP($A58,'Data shares'!$C:$FA,129)</f>
        <v>1093600</v>
      </c>
      <c r="G58" s="17"/>
    </row>
    <row r="59" spans="1:7" x14ac:dyDescent="0.25">
      <c r="A59" s="101" t="s">
        <v>202</v>
      </c>
      <c r="B59" s="17">
        <v>55081874</v>
      </c>
      <c r="C59" s="17">
        <v>10856000</v>
      </c>
      <c r="D59" s="17">
        <f t="shared" si="0"/>
        <v>10856000</v>
      </c>
      <c r="E59" s="49">
        <f>VLOOKUP($A59,'Data shares'!$C:$FA,128)*100</f>
        <v>8.57</v>
      </c>
      <c r="F59" s="49">
        <f>VLOOKUP($A59,'Data shares'!$C:$FA,129)</f>
        <v>2805000</v>
      </c>
      <c r="G59" s="17"/>
    </row>
    <row r="60" spans="1:7" x14ac:dyDescent="0.25">
      <c r="A60" s="101" t="s">
        <v>245</v>
      </c>
      <c r="B60" s="17">
        <v>15273675</v>
      </c>
      <c r="C60" s="17">
        <v>5077125</v>
      </c>
      <c r="D60" s="17">
        <f t="shared" si="0"/>
        <v>5077125</v>
      </c>
      <c r="E60" s="49">
        <f>VLOOKUP($A60,'Data shares'!$C:$FA,128)*100</f>
        <v>6.52</v>
      </c>
      <c r="F60" s="49">
        <f>VLOOKUP($A60,'Data shares'!$C:$FA,129)</f>
        <v>1563750</v>
      </c>
      <c r="G60" s="17"/>
    </row>
    <row r="61" spans="1:7" x14ac:dyDescent="0.25">
      <c r="A61" s="101" t="s">
        <v>173</v>
      </c>
      <c r="B61" s="17">
        <v>541823383</v>
      </c>
      <c r="C61" s="17">
        <v>95378400</v>
      </c>
      <c r="D61" s="17">
        <f t="shared" si="0"/>
        <v>95378400</v>
      </c>
      <c r="E61" s="49">
        <f>VLOOKUP($A61,'Data shares'!$C:$FA,128)*100</f>
        <v>0.75</v>
      </c>
      <c r="F61" s="49">
        <f>VLOOKUP($A61,'Data shares'!$C:$FA,129)</f>
        <v>526250</v>
      </c>
      <c r="G61" s="17"/>
    </row>
    <row r="62" spans="1:7" x14ac:dyDescent="0.25">
      <c r="A62" s="101" t="s">
        <v>234</v>
      </c>
      <c r="B62" s="17">
        <v>1606294231</v>
      </c>
      <c r="C62" s="17">
        <v>1302000000</v>
      </c>
      <c r="D62" s="17">
        <f t="shared" si="0"/>
        <v>1302000000</v>
      </c>
      <c r="E62" s="49">
        <f>VLOOKUP($A62,'Data shares'!$C:$FA,128)*100</f>
        <v>5.89</v>
      </c>
      <c r="F62" s="49">
        <f>VLOOKUP($A62,'Data shares'!$C:$FA,129)</f>
        <v>413339925</v>
      </c>
      <c r="G62" s="17"/>
    </row>
    <row r="63" spans="1:7" x14ac:dyDescent="0.25">
      <c r="A63" s="101" t="s">
        <v>235</v>
      </c>
      <c r="B63" s="17">
        <v>789260827</v>
      </c>
      <c r="C63" s="17">
        <v>462303900</v>
      </c>
      <c r="D63" s="17">
        <f t="shared" si="0"/>
        <v>462303900</v>
      </c>
      <c r="E63" s="49">
        <f>VLOOKUP($A63,'Data shares'!$C:$FA,128)*100</f>
        <v>5.1100000000000003</v>
      </c>
      <c r="F63" s="49">
        <f>VLOOKUP($A63,'Data shares'!$C:$FA,129)</f>
        <v>15099700</v>
      </c>
      <c r="G63" s="17"/>
    </row>
    <row r="64" spans="1:7" x14ac:dyDescent="0.25">
      <c r="A64" s="101" t="s">
        <v>482</v>
      </c>
      <c r="B64" s="17">
        <v>44785930</v>
      </c>
      <c r="C64" s="17">
        <v>4025925</v>
      </c>
      <c r="D64" s="17">
        <f t="shared" si="0"/>
        <v>4025925</v>
      </c>
      <c r="E64" s="49">
        <f>VLOOKUP($A64,'Data shares'!$C:$FA,128)*100</f>
        <v>5.87</v>
      </c>
      <c r="F64" s="49">
        <f>VLOOKUP($A64,'Data shares'!$C:$FA,129)</f>
        <v>508600</v>
      </c>
      <c r="G64" s="17"/>
    </row>
    <row r="65" spans="1:7" x14ac:dyDescent="0.25">
      <c r="A65" s="101" t="s">
        <v>475</v>
      </c>
      <c r="B65" s="17">
        <v>13287700</v>
      </c>
      <c r="C65" s="17">
        <v>3968400</v>
      </c>
      <c r="D65" s="17">
        <f t="shared" si="0"/>
        <v>3968400</v>
      </c>
      <c r="E65" s="49">
        <f>VLOOKUP($A65,'Data shares'!$C:$FA,128)*100</f>
        <v>1.9800000000000002</v>
      </c>
      <c r="F65" s="49">
        <f>VLOOKUP($A65,'Data shares'!$C:$FA,129)</f>
        <v>113700</v>
      </c>
      <c r="G65" s="17"/>
    </row>
    <row r="66" spans="1:7" x14ac:dyDescent="0.25">
      <c r="A66" s="101" t="s">
        <v>306</v>
      </c>
      <c r="B66" s="17">
        <v>292716179</v>
      </c>
      <c r="C66" s="17">
        <v>57797600</v>
      </c>
      <c r="D66" s="17">
        <f t="shared" si="0"/>
        <v>57797600</v>
      </c>
      <c r="E66" s="49">
        <f>VLOOKUP($A66,'Data shares'!$C:$FA,128)*100</f>
        <v>5.46</v>
      </c>
      <c r="F66" s="49">
        <f>VLOOKUP($A66,'Data shares'!$C:$FA,129)</f>
        <v>5682000</v>
      </c>
      <c r="G66" s="17"/>
    </row>
    <row r="67" spans="1:7" x14ac:dyDescent="0.25">
      <c r="A67" s="101" t="s">
        <v>262</v>
      </c>
      <c r="B67" s="17">
        <v>21376133</v>
      </c>
      <c r="C67" s="17">
        <v>5958375</v>
      </c>
      <c r="D67" s="17">
        <f t="shared" si="0"/>
        <v>5958375</v>
      </c>
      <c r="E67" s="49">
        <f>VLOOKUP($A67,'Data shares'!$C:$FA,128)*100</f>
        <v>3.1199999999999997</v>
      </c>
      <c r="F67" s="49">
        <f>VLOOKUP($A67,'Data shares'!$C:$FA,129)</f>
        <v>111925</v>
      </c>
      <c r="G67" s="17"/>
    </row>
    <row r="68" spans="1:7" x14ac:dyDescent="0.25">
      <c r="A68" s="101" t="s">
        <v>174</v>
      </c>
      <c r="B68" s="17">
        <v>26775498</v>
      </c>
      <c r="C68" s="17">
        <v>3494750</v>
      </c>
      <c r="D68" s="17">
        <f t="shared" si="0"/>
        <v>3494750</v>
      </c>
      <c r="E68" s="49">
        <f>VLOOKUP($A68,'Data shares'!$C:$FA,128)*100</f>
        <v>2.2200000000000002</v>
      </c>
      <c r="F68" s="49">
        <f>VLOOKUP($A68,'Data shares'!$C:$FA,129)</f>
        <v>64050</v>
      </c>
      <c r="G68" s="17"/>
    </row>
    <row r="69" spans="1:7" x14ac:dyDescent="0.25">
      <c r="A69" s="101" t="s">
        <v>286</v>
      </c>
      <c r="B69" s="17">
        <v>29168705</v>
      </c>
      <c r="C69" s="17">
        <v>6373125</v>
      </c>
      <c r="D69" s="17">
        <f t="shared" si="0"/>
        <v>6373125</v>
      </c>
      <c r="E69" s="49">
        <f>VLOOKUP($A69,'Data shares'!$C:$FA,128)*100</f>
        <v>1.49</v>
      </c>
      <c r="F69" s="49">
        <f>VLOOKUP($A69,'Data shares'!$C:$FA,129)</f>
        <v>50200</v>
      </c>
      <c r="G69" s="17"/>
    </row>
    <row r="70" spans="1:7" x14ac:dyDescent="0.25">
      <c r="A70" s="101" t="s">
        <v>297</v>
      </c>
      <c r="B70" s="17">
        <v>83636848</v>
      </c>
      <c r="C70" s="17">
        <v>13455750</v>
      </c>
      <c r="D70" s="17">
        <f t="shared" si="0"/>
        <v>13455750</v>
      </c>
      <c r="E70" s="49">
        <f>VLOOKUP($A70,'Data shares'!$C:$FA,128)*100</f>
        <v>2.3800000000000003</v>
      </c>
      <c r="F70" s="49">
        <f>VLOOKUP($A70,'Data shares'!$C:$FA,129)</f>
        <v>183050</v>
      </c>
      <c r="G70" s="17"/>
    </row>
    <row r="71" spans="1:7" x14ac:dyDescent="0.25">
      <c r="A71" s="101" t="s">
        <v>302</v>
      </c>
      <c r="B71" s="17">
        <v>23058222</v>
      </c>
      <c r="C71" s="17">
        <v>3980500</v>
      </c>
      <c r="D71" s="17">
        <f t="shared" ref="D71:D134" si="1">C71</f>
        <v>3980500</v>
      </c>
      <c r="E71" s="49">
        <f>VLOOKUP($A71,'Data shares'!$C:$FA,128)*100</f>
        <v>1.1499999999999999</v>
      </c>
      <c r="F71" s="49">
        <f>VLOOKUP($A71,'Data shares'!$C:$FA,129)</f>
        <v>32350</v>
      </c>
      <c r="G71" s="17"/>
    </row>
    <row r="72" spans="1:7" x14ac:dyDescent="0.25">
      <c r="A72" s="101" t="s">
        <v>307</v>
      </c>
      <c r="B72" s="17">
        <v>184439886</v>
      </c>
      <c r="C72" s="17">
        <v>122460000</v>
      </c>
      <c r="D72" s="17">
        <f t="shared" si="1"/>
        <v>122460000</v>
      </c>
      <c r="E72" s="49">
        <f>VLOOKUP($A72,'Data shares'!$C:$FA,128)*100</f>
        <v>7.88</v>
      </c>
      <c r="F72" s="49">
        <f>VLOOKUP($A72,'Data shares'!$C:$FA,129)</f>
        <v>85338400</v>
      </c>
      <c r="G72" s="17"/>
    </row>
    <row r="73" spans="1:7" x14ac:dyDescent="0.25">
      <c r="A73" s="101" t="s">
        <v>177</v>
      </c>
      <c r="B73" s="17">
        <v>52956314</v>
      </c>
      <c r="C73" s="17">
        <v>7784625</v>
      </c>
      <c r="D73" s="17">
        <f t="shared" si="1"/>
        <v>7784625</v>
      </c>
      <c r="E73" s="49">
        <f>VLOOKUP($A73,'Data shares'!$C:$FA,128)*100</f>
        <v>2.3199999999999998</v>
      </c>
      <c r="F73" s="49">
        <f>VLOOKUP($A73,'Data shares'!$C:$FA,129)</f>
        <v>1896000</v>
      </c>
      <c r="G73" s="17"/>
    </row>
    <row r="74" spans="1:7" x14ac:dyDescent="0.25">
      <c r="A74" s="101" t="s">
        <v>545</v>
      </c>
      <c r="B74" s="17">
        <v>23498849</v>
      </c>
      <c r="C74" s="17">
        <v>15745600</v>
      </c>
      <c r="D74" s="17">
        <f t="shared" si="1"/>
        <v>15745600</v>
      </c>
      <c r="E74" s="49">
        <f>VLOOKUP($A74,'Data shares'!$C:$FA,128)*100</f>
        <v>2.3199999999999998</v>
      </c>
      <c r="F74" s="49">
        <f>VLOOKUP($A74,'Data shares'!$C:$FA,129)</f>
        <v>1896000</v>
      </c>
      <c r="G74" s="17"/>
    </row>
    <row r="75" spans="1:7" x14ac:dyDescent="0.25">
      <c r="A75" s="101" t="s">
        <v>185</v>
      </c>
      <c r="B75" s="17">
        <v>238123793</v>
      </c>
      <c r="C75" s="17">
        <v>59926000</v>
      </c>
      <c r="D75" s="17">
        <f t="shared" si="1"/>
        <v>59926000</v>
      </c>
      <c r="E75" s="49">
        <f>VLOOKUP($A75,'Data shares'!$C:$FA,128)*100</f>
        <v>4.92</v>
      </c>
      <c r="F75" s="49">
        <f>VLOOKUP($A75,'Data shares'!$C:$FA,129)</f>
        <v>5848200</v>
      </c>
      <c r="G75" s="17"/>
    </row>
    <row r="76" spans="1:7" x14ac:dyDescent="0.25">
      <c r="A76" s="101" t="s">
        <v>219</v>
      </c>
      <c r="B76" s="17">
        <v>75317259</v>
      </c>
      <c r="C76" s="17">
        <v>12188500</v>
      </c>
      <c r="D76" s="17">
        <f t="shared" si="1"/>
        <v>12188500</v>
      </c>
      <c r="E76" s="49">
        <f>VLOOKUP($A76,'Data shares'!$C:$FA,128)*100</f>
        <v>0.42</v>
      </c>
      <c r="F76" s="49">
        <f>VLOOKUP($A76,'Data shares'!$C:$FA,129)</f>
        <v>65250</v>
      </c>
      <c r="G76" s="17"/>
    </row>
    <row r="77" spans="1:7" x14ac:dyDescent="0.25">
      <c r="A77" s="101" t="s">
        <v>534</v>
      </c>
      <c r="B77" s="17">
        <v>70381221</v>
      </c>
      <c r="C77" s="17">
        <v>3354100</v>
      </c>
      <c r="D77" s="17">
        <f t="shared" si="1"/>
        <v>3354100</v>
      </c>
      <c r="E77" s="49">
        <f>VLOOKUP($A77,'Data shares'!$C:$FA,128)*100</f>
        <v>0.42</v>
      </c>
      <c r="F77" s="49">
        <f>VLOOKUP($A77,'Data shares'!$C:$FA,129)</f>
        <v>65250</v>
      </c>
      <c r="G77" s="17"/>
    </row>
    <row r="78" spans="1:7" x14ac:dyDescent="0.25">
      <c r="A78" s="101" t="s">
        <v>516</v>
      </c>
      <c r="B78" s="17">
        <v>27254349</v>
      </c>
      <c r="C78" s="17">
        <v>1133550</v>
      </c>
      <c r="D78" s="17">
        <f t="shared" si="1"/>
        <v>1133550</v>
      </c>
      <c r="E78" s="49">
        <f>VLOOKUP($A78,'Data shares'!$C:$FA,128)*100</f>
        <v>3.5900000000000003</v>
      </c>
      <c r="F78" s="49">
        <f>VLOOKUP($A78,'Data shares'!$C:$FA,129)</f>
        <v>3831750</v>
      </c>
      <c r="G78" s="17"/>
    </row>
    <row r="79" spans="1:7" x14ac:dyDescent="0.25">
      <c r="A79" s="101" t="s">
        <v>271</v>
      </c>
      <c r="B79" s="17">
        <v>26746179</v>
      </c>
      <c r="C79" s="17">
        <v>5445825</v>
      </c>
      <c r="D79" s="17">
        <f t="shared" si="1"/>
        <v>5445825</v>
      </c>
      <c r="E79" s="49">
        <f>VLOOKUP($A79,'Data shares'!$C:$FA,128)*100</f>
        <v>1.6199999999999999</v>
      </c>
      <c r="F79" s="49">
        <f>VLOOKUP($A79,'Data shares'!$C:$FA,129)</f>
        <v>250125</v>
      </c>
      <c r="G79" s="17"/>
    </row>
    <row r="80" spans="1:7" x14ac:dyDescent="0.25">
      <c r="A80" s="101" t="s">
        <v>264</v>
      </c>
      <c r="B80" s="17">
        <v>15844192</v>
      </c>
      <c r="C80" s="17">
        <v>2354125</v>
      </c>
      <c r="D80" s="17">
        <f t="shared" si="1"/>
        <v>2354125</v>
      </c>
      <c r="E80" s="49">
        <f>VLOOKUP($A80,'Data shares'!$C:$FA,128)*100</f>
        <v>1.0900000000000001</v>
      </c>
      <c r="F80" s="49">
        <f>VLOOKUP($A80,'Data shares'!$C:$FA,129)</f>
        <v>78750</v>
      </c>
      <c r="G80" s="17"/>
    </row>
    <row r="81" spans="1:7" x14ac:dyDescent="0.25">
      <c r="A81" s="101" t="s">
        <v>208</v>
      </c>
      <c r="B81" s="17">
        <v>24296838</v>
      </c>
      <c r="C81" s="17">
        <v>5125750</v>
      </c>
      <c r="D81" s="17">
        <f t="shared" si="1"/>
        <v>5125750</v>
      </c>
      <c r="E81" s="49">
        <f>VLOOKUP($A81,'Data shares'!$C:$FA,128)*100</f>
        <v>1.49</v>
      </c>
      <c r="F81" s="49">
        <f>VLOOKUP($A81,'Data shares'!$C:$FA,129)</f>
        <v>167500</v>
      </c>
      <c r="G81" s="17"/>
    </row>
    <row r="82" spans="1:7" x14ac:dyDescent="0.25">
      <c r="A82" s="101" t="s">
        <v>552</v>
      </c>
      <c r="B82" s="17">
        <v>23447901</v>
      </c>
      <c r="C82" s="17">
        <v>3785600</v>
      </c>
      <c r="D82" s="17">
        <f t="shared" si="1"/>
        <v>3785600</v>
      </c>
      <c r="E82" s="49">
        <f>VLOOKUP($A82,'Data shares'!$C:$FA,128)*100</f>
        <v>2.46</v>
      </c>
      <c r="F82" s="49">
        <f>VLOOKUP($A82,'Data shares'!$C:$FA,129)</f>
        <v>114000</v>
      </c>
      <c r="G82" s="17"/>
    </row>
    <row r="83" spans="1:7" x14ac:dyDescent="0.25">
      <c r="A83" s="101" t="s">
        <v>204</v>
      </c>
      <c r="B83" s="17">
        <v>115362060</v>
      </c>
      <c r="C83" s="17">
        <v>19043750</v>
      </c>
      <c r="D83" s="17">
        <f t="shared" si="1"/>
        <v>19043750</v>
      </c>
      <c r="E83" s="49">
        <f>VLOOKUP($A83,'Data shares'!$C:$FA,128)*100</f>
        <v>2.13</v>
      </c>
      <c r="F83" s="49">
        <f>VLOOKUP($A83,'Data shares'!$C:$FA,129)</f>
        <v>480000</v>
      </c>
      <c r="G83" s="17"/>
    </row>
    <row r="84" spans="1:7" x14ac:dyDescent="0.25">
      <c r="A84" s="101" t="s">
        <v>528</v>
      </c>
      <c r="B84" s="17">
        <v>23485458</v>
      </c>
      <c r="C84" s="17">
        <v>4272800</v>
      </c>
      <c r="D84" s="17">
        <f t="shared" si="1"/>
        <v>4272800</v>
      </c>
      <c r="E84" s="49">
        <f>VLOOKUP($A84,'Data shares'!$C:$FA,128)*100</f>
        <v>2.17</v>
      </c>
      <c r="F84" s="49">
        <f>VLOOKUP($A84,'Data shares'!$C:$FA,129)</f>
        <v>81200</v>
      </c>
      <c r="G84" s="17"/>
    </row>
    <row r="85" spans="1:7" x14ac:dyDescent="0.25">
      <c r="A85" s="101" t="s">
        <v>551</v>
      </c>
      <c r="B85" s="17">
        <v>39593365</v>
      </c>
      <c r="C85" s="17">
        <v>12215000</v>
      </c>
      <c r="D85" s="17">
        <f t="shared" si="1"/>
        <v>12215000</v>
      </c>
      <c r="E85" s="49">
        <f>VLOOKUP($A85,'Data shares'!$C:$FA,128)*100</f>
        <v>0.88</v>
      </c>
      <c r="F85" s="49">
        <f>VLOOKUP($A85,'Data shares'!$C:$FA,129)</f>
        <v>31950</v>
      </c>
      <c r="G85" s="17"/>
    </row>
    <row r="86" spans="1:7" x14ac:dyDescent="0.25">
      <c r="A86" s="101" t="s">
        <v>292</v>
      </c>
      <c r="B86" s="17">
        <v>355933451</v>
      </c>
      <c r="C86" s="17">
        <v>204117000</v>
      </c>
      <c r="D86" s="17">
        <f t="shared" si="1"/>
        <v>204117000</v>
      </c>
      <c r="E86" s="49">
        <f>VLOOKUP($A86,'Data shares'!$C:$FA,128)*100</f>
        <v>3.2800000000000002</v>
      </c>
      <c r="F86" s="49">
        <f>VLOOKUP($A86,'Data shares'!$C:$FA,129)</f>
        <v>54400</v>
      </c>
      <c r="G86" s="17"/>
    </row>
    <row r="87" spans="1:7" x14ac:dyDescent="0.25">
      <c r="A87" s="101" t="s">
        <v>239</v>
      </c>
      <c r="B87" s="17">
        <v>117569462</v>
      </c>
      <c r="C87" s="17">
        <v>39785400</v>
      </c>
      <c r="D87" s="17">
        <f t="shared" si="1"/>
        <v>39785400</v>
      </c>
      <c r="E87" s="49">
        <f>VLOOKUP($A87,'Data shares'!$C:$FA,128)*100</f>
        <v>3.54</v>
      </c>
      <c r="F87" s="49">
        <f>VLOOKUP($A87,'Data shares'!$C:$FA,129)</f>
        <v>834400</v>
      </c>
      <c r="G87" s="17"/>
    </row>
    <row r="88" spans="1:7" x14ac:dyDescent="0.25">
      <c r="A88" s="101" t="s">
        <v>513</v>
      </c>
      <c r="B88" s="17">
        <v>16619018</v>
      </c>
      <c r="C88" s="17">
        <v>3155425</v>
      </c>
      <c r="D88" s="17">
        <f t="shared" si="1"/>
        <v>3155425</v>
      </c>
      <c r="E88" s="49">
        <f>VLOOKUP($A88,'Data shares'!$C:$FA,128)*100</f>
        <v>9.2899999999999991</v>
      </c>
      <c r="F88" s="49">
        <f>VLOOKUP($A88,'Data shares'!$C:$FA,129)</f>
        <v>881100</v>
      </c>
      <c r="G88" s="17"/>
    </row>
    <row r="89" spans="1:7" x14ac:dyDescent="0.25">
      <c r="A89" s="101" t="s">
        <v>224</v>
      </c>
      <c r="B89" s="17">
        <v>669931623</v>
      </c>
      <c r="C89" s="17">
        <v>82663350</v>
      </c>
      <c r="D89" s="17">
        <f t="shared" si="1"/>
        <v>82663350</v>
      </c>
      <c r="E89" s="49">
        <f>VLOOKUP($A89,'Data shares'!$C:$FA,128)*100</f>
        <v>4.1300000000000008</v>
      </c>
      <c r="F89" s="49">
        <f>VLOOKUP($A89,'Data shares'!$C:$FA,129)</f>
        <v>5303650</v>
      </c>
      <c r="G89" s="17"/>
    </row>
    <row r="90" spans="1:7" x14ac:dyDescent="0.25">
      <c r="A90" s="101" t="s">
        <v>232</v>
      </c>
      <c r="B90" s="17">
        <v>1110506052</v>
      </c>
      <c r="C90" s="17">
        <v>174065375</v>
      </c>
      <c r="D90" s="17">
        <f t="shared" si="1"/>
        <v>174065375</v>
      </c>
      <c r="E90" s="49">
        <f>VLOOKUP($A90,'Data shares'!$C:$FA,128)*100</f>
        <v>2.69</v>
      </c>
      <c r="F90" s="49">
        <f>VLOOKUP($A90,'Data shares'!$C:$FA,129)</f>
        <v>2582300</v>
      </c>
      <c r="G90" s="17"/>
    </row>
    <row r="91" spans="1:7" x14ac:dyDescent="0.25">
      <c r="A91" s="101" t="s">
        <v>223</v>
      </c>
      <c r="B91" s="17">
        <v>362202362</v>
      </c>
      <c r="C91" s="17">
        <v>34249800</v>
      </c>
      <c r="D91" s="17">
        <f t="shared" si="1"/>
        <v>34249800</v>
      </c>
      <c r="E91" s="49">
        <f>VLOOKUP($A91,'Data shares'!$C:$FA,128)*100</f>
        <v>1.5</v>
      </c>
      <c r="F91" s="49">
        <f>VLOOKUP($A91,'Data shares'!$C:$FA,129)</f>
        <v>265300</v>
      </c>
      <c r="G91" s="17"/>
    </row>
    <row r="92" spans="1:7" x14ac:dyDescent="0.25">
      <c r="A92" s="101" t="s">
        <v>218</v>
      </c>
      <c r="B92" s="17">
        <v>23110810</v>
      </c>
      <c r="C92" s="17">
        <v>6940375</v>
      </c>
      <c r="D92" s="17">
        <f t="shared" si="1"/>
        <v>6940375</v>
      </c>
      <c r="E92" s="49">
        <f>VLOOKUP($A92,'Data shares'!$C:$FA,128)*100</f>
        <v>2.04</v>
      </c>
      <c r="F92" s="49">
        <f>VLOOKUP($A92,'Data shares'!$C:$FA,129)</f>
        <v>188100</v>
      </c>
      <c r="G92" s="17"/>
    </row>
    <row r="93" spans="1:7" x14ac:dyDescent="0.25">
      <c r="A93" s="101" t="s">
        <v>236</v>
      </c>
      <c r="B93" s="17">
        <v>77000080</v>
      </c>
      <c r="C93" s="17">
        <v>25785375</v>
      </c>
      <c r="D93" s="17">
        <f t="shared" si="1"/>
        <v>25785375</v>
      </c>
      <c r="E93" s="49">
        <f>VLOOKUP($A93,'Data shares'!$C:$FA,128)*100</f>
        <v>7.21</v>
      </c>
      <c r="F93" s="49">
        <f>VLOOKUP($A93,'Data shares'!$C:$FA,129)</f>
        <v>5651250</v>
      </c>
      <c r="G93" s="17"/>
    </row>
    <row r="94" spans="1:7" x14ac:dyDescent="0.25">
      <c r="A94" s="101" t="s">
        <v>246</v>
      </c>
      <c r="B94" s="17">
        <v>293666614</v>
      </c>
      <c r="C94" s="17">
        <v>30730800</v>
      </c>
      <c r="D94" s="17">
        <f t="shared" si="1"/>
        <v>30730800</v>
      </c>
      <c r="E94" s="49">
        <f>VLOOKUP($A94,'Data shares'!$C:$FA,128)*100</f>
        <v>1.3</v>
      </c>
      <c r="F94" s="49">
        <f>VLOOKUP($A94,'Data shares'!$C:$FA,129)</f>
        <v>395600</v>
      </c>
      <c r="G94" s="17"/>
    </row>
    <row r="95" spans="1:7" x14ac:dyDescent="0.25">
      <c r="A95" s="101" t="s">
        <v>532</v>
      </c>
      <c r="B95" s="17">
        <v>32892110</v>
      </c>
      <c r="C95" s="17">
        <v>6216000</v>
      </c>
      <c r="D95" s="17">
        <f t="shared" si="1"/>
        <v>6216000</v>
      </c>
      <c r="E95" s="49">
        <f>VLOOKUP($A95,'Data shares'!$C:$FA,128)*100</f>
        <v>3.56</v>
      </c>
      <c r="F95" s="49">
        <f>VLOOKUP($A95,'Data shares'!$C:$FA,129)</f>
        <v>527850</v>
      </c>
      <c r="G95" s="17"/>
    </row>
    <row r="96" spans="1:7" x14ac:dyDescent="0.25">
      <c r="A96" s="101" t="s">
        <v>242</v>
      </c>
      <c r="B96" s="17">
        <v>2461627231</v>
      </c>
      <c r="C96" s="17">
        <v>322832000</v>
      </c>
      <c r="D96" s="17">
        <f t="shared" si="1"/>
        <v>322832000</v>
      </c>
      <c r="E96" s="49">
        <f>VLOOKUP($A96,'Data shares'!$C:$FA,128)*100</f>
        <v>13.71</v>
      </c>
      <c r="F96" s="49">
        <f>VLOOKUP($A96,'Data shares'!$C:$FA,129)</f>
        <v>32568000</v>
      </c>
      <c r="G96" s="17"/>
    </row>
    <row r="97" spans="1:7" x14ac:dyDescent="0.25">
      <c r="A97" s="101" t="s">
        <v>165</v>
      </c>
      <c r="B97" s="17">
        <v>20321931</v>
      </c>
      <c r="C97" s="17">
        <v>3675125</v>
      </c>
      <c r="D97" s="17">
        <f t="shared" si="1"/>
        <v>3675125</v>
      </c>
      <c r="E97" s="49">
        <f>VLOOKUP($A97,'Data shares'!$C:$FA,128)*100</f>
        <v>2.11</v>
      </c>
      <c r="F97" s="49">
        <f>VLOOKUP($A97,'Data shares'!$C:$FA,129)</f>
        <v>59750</v>
      </c>
      <c r="G97" s="17"/>
    </row>
    <row r="98" spans="1:7" x14ac:dyDescent="0.25">
      <c r="A98" s="101" t="s">
        <v>503</v>
      </c>
      <c r="B98" s="17">
        <v>17788750</v>
      </c>
      <c r="C98" s="17">
        <v>925925</v>
      </c>
      <c r="D98" s="17">
        <f t="shared" si="1"/>
        <v>925925</v>
      </c>
      <c r="E98" s="49">
        <f>VLOOKUP($A98,'Data shares'!$C:$FA,128)*100</f>
        <v>5.82</v>
      </c>
      <c r="F98" s="49">
        <f>VLOOKUP($A98,'Data shares'!$C:$FA,129)</f>
        <v>378675</v>
      </c>
      <c r="G98" s="17"/>
    </row>
    <row r="99" spans="1:7" x14ac:dyDescent="0.25">
      <c r="A99" s="101" t="s">
        <v>192</v>
      </c>
      <c r="B99" s="17">
        <v>1737683</v>
      </c>
      <c r="C99" s="17">
        <v>235900</v>
      </c>
      <c r="D99" s="17">
        <f t="shared" si="1"/>
        <v>235900</v>
      </c>
      <c r="E99" s="49">
        <f>VLOOKUP($A99,'Data shares'!$C:$FA,128)*100</f>
        <v>2.3199999999999998</v>
      </c>
      <c r="F99" s="49">
        <f>VLOOKUP($A99,'Data shares'!$C:$FA,129)</f>
        <v>4175</v>
      </c>
      <c r="G99" s="17"/>
    </row>
    <row r="100" spans="1:7" x14ac:dyDescent="0.25">
      <c r="A100" s="101" t="s">
        <v>531</v>
      </c>
      <c r="B100" s="17">
        <v>33015657</v>
      </c>
      <c r="C100" s="17">
        <v>9033700</v>
      </c>
      <c r="D100" s="17">
        <f t="shared" si="1"/>
        <v>9033700</v>
      </c>
      <c r="E100" s="49">
        <f>VLOOKUP($A100,'Data shares'!$C:$FA,128)*100</f>
        <v>4.6100000000000003</v>
      </c>
      <c r="F100" s="49">
        <f>VLOOKUP($A100,'Data shares'!$C:$FA,129)</f>
        <v>564000</v>
      </c>
      <c r="G100" s="17"/>
    </row>
    <row r="101" spans="1:7" x14ac:dyDescent="0.25">
      <c r="A101" s="101" t="s">
        <v>494</v>
      </c>
      <c r="B101" s="17">
        <v>147873568</v>
      </c>
      <c r="C101" s="17">
        <v>20386400</v>
      </c>
      <c r="D101" s="17">
        <f t="shared" si="1"/>
        <v>20386400</v>
      </c>
      <c r="E101" s="49">
        <f>VLOOKUP($A101,'Data shares'!$C:$FA,128)*100</f>
        <v>4.5999999999999996</v>
      </c>
      <c r="F101" s="49">
        <f>VLOOKUP($A101,'Data shares'!$C:$FA,129)</f>
        <v>2574000</v>
      </c>
      <c r="G101" s="17"/>
    </row>
    <row r="102" spans="1:7" x14ac:dyDescent="0.25">
      <c r="A102" s="101" t="s">
        <v>473</v>
      </c>
      <c r="B102" s="17">
        <v>162372116</v>
      </c>
      <c r="C102" s="17">
        <v>43206800</v>
      </c>
      <c r="D102" s="17">
        <f t="shared" si="1"/>
        <v>43206800</v>
      </c>
      <c r="E102" s="49">
        <f>VLOOKUP($A102,'Data shares'!$C:$FA,128)*100</f>
        <v>1.1400000000000001</v>
      </c>
      <c r="F102" s="49">
        <f>VLOOKUP($A102,'Data shares'!$C:$FA,129)</f>
        <v>972400</v>
      </c>
      <c r="G102" s="17"/>
    </row>
    <row r="103" spans="1:7" x14ac:dyDescent="0.25">
      <c r="A103" s="101" t="s">
        <v>225</v>
      </c>
      <c r="B103" s="17">
        <v>187118353</v>
      </c>
      <c r="C103" s="17">
        <v>49800300</v>
      </c>
      <c r="D103" s="17">
        <f t="shared" si="1"/>
        <v>49800300</v>
      </c>
      <c r="E103" s="49">
        <f>VLOOKUP($A103,'Data shares'!$C:$FA,128)*100</f>
        <v>1.1900000000000002</v>
      </c>
      <c r="F103" s="49">
        <f>VLOOKUP($A103,'Data shares'!$C:$FA,129)</f>
        <v>420200</v>
      </c>
      <c r="G103" s="17"/>
    </row>
    <row r="104" spans="1:7" x14ac:dyDescent="0.25">
      <c r="A104" s="101" t="s">
        <v>504</v>
      </c>
      <c r="B104" s="17">
        <v>12641694</v>
      </c>
      <c r="C104" s="17">
        <v>6728400</v>
      </c>
      <c r="D104" s="17">
        <f t="shared" si="1"/>
        <v>6728400</v>
      </c>
      <c r="E104" s="49">
        <f>VLOOKUP($A104,'Data shares'!$C:$FA,128)*100</f>
        <v>1.49</v>
      </c>
      <c r="F104" s="49">
        <f>VLOOKUP($A104,'Data shares'!$C:$FA,129)</f>
        <v>50200</v>
      </c>
      <c r="G104" s="17"/>
    </row>
    <row r="105" spans="1:7" x14ac:dyDescent="0.25">
      <c r="A105" s="101" t="s">
        <v>537</v>
      </c>
      <c r="B105" s="17">
        <v>6343591</v>
      </c>
      <c r="C105" s="17">
        <v>1262250</v>
      </c>
      <c r="D105" s="17">
        <f t="shared" si="1"/>
        <v>1262250</v>
      </c>
      <c r="E105" s="49">
        <f>VLOOKUP($A105,'Data shares'!$C:$FA,128)*100</f>
        <v>14.48</v>
      </c>
      <c r="F105" s="49">
        <f>VLOOKUP($A105,'Data shares'!$C:$FA,129)</f>
        <v>226625</v>
      </c>
      <c r="G105" s="17"/>
    </row>
    <row r="106" spans="1:7" x14ac:dyDescent="0.25">
      <c r="A106" s="101" t="s">
        <v>256</v>
      </c>
      <c r="B106" s="17">
        <v>62880735</v>
      </c>
      <c r="C106" s="17">
        <v>20391250</v>
      </c>
      <c r="D106" s="17">
        <f t="shared" si="1"/>
        <v>20391250</v>
      </c>
      <c r="E106" s="49">
        <f>VLOOKUP($A106,'Data shares'!$C:$FA,128)*100</f>
        <v>5.6099999999999994</v>
      </c>
      <c r="F106" s="49">
        <f>VLOOKUP($A106,'Data shares'!$C:$FA,129)</f>
        <v>280000</v>
      </c>
      <c r="G106" s="17"/>
    </row>
    <row r="107" spans="1:7" x14ac:dyDescent="0.25">
      <c r="A107" s="101" t="s">
        <v>514</v>
      </c>
      <c r="B107" s="17">
        <v>179174844</v>
      </c>
      <c r="C107" s="17">
        <v>67477500</v>
      </c>
      <c r="D107" s="17">
        <f t="shared" si="1"/>
        <v>67477500</v>
      </c>
      <c r="E107" s="49">
        <f>VLOOKUP($A107,'Data shares'!$C:$FA,128)*100</f>
        <v>7.21</v>
      </c>
      <c r="F107" s="49">
        <f>VLOOKUP($A107,'Data shares'!$C:$FA,129)</f>
        <v>5651250</v>
      </c>
      <c r="G107" s="17"/>
    </row>
    <row r="108" spans="1:7" x14ac:dyDescent="0.25">
      <c r="A108" s="101" t="s">
        <v>272</v>
      </c>
      <c r="B108" s="17">
        <v>150000017</v>
      </c>
      <c r="C108" s="17">
        <v>35217000</v>
      </c>
      <c r="D108" s="17">
        <f t="shared" si="1"/>
        <v>35217000</v>
      </c>
      <c r="E108" s="49">
        <f>VLOOKUP($A108,'Data shares'!$C:$FA,128)*100</f>
        <v>3.94</v>
      </c>
      <c r="F108" s="49">
        <f>VLOOKUP($A108,'Data shares'!$C:$FA,129)</f>
        <v>1738500</v>
      </c>
      <c r="G108" s="17"/>
    </row>
    <row r="109" spans="1:7" x14ac:dyDescent="0.25">
      <c r="A109" s="101" t="s">
        <v>470</v>
      </c>
      <c r="B109" s="17">
        <v>6091932</v>
      </c>
      <c r="C109" s="17">
        <v>1893300</v>
      </c>
      <c r="D109" s="17">
        <f t="shared" si="1"/>
        <v>1893300</v>
      </c>
      <c r="E109" s="49">
        <f>VLOOKUP($A109,'Data shares'!$C:$FA,128)*100</f>
        <v>3.63</v>
      </c>
      <c r="F109" s="49">
        <f>VLOOKUP($A109,'Data shares'!$C:$FA,129)</f>
        <v>614625</v>
      </c>
      <c r="G109" s="17"/>
    </row>
    <row r="110" spans="1:7" x14ac:dyDescent="0.25">
      <c r="A110" s="101" t="s">
        <v>176</v>
      </c>
      <c r="B110" s="17">
        <v>12437219</v>
      </c>
      <c r="C110" s="17">
        <v>1155950</v>
      </c>
      <c r="D110" s="17">
        <f t="shared" si="1"/>
        <v>1155950</v>
      </c>
      <c r="E110" s="49">
        <f>VLOOKUP($A110,'Data shares'!$C:$FA,128)*100</f>
        <v>1.53</v>
      </c>
      <c r="F110" s="49">
        <f>VLOOKUP($A110,'Data shares'!$C:$FA,129)</f>
        <v>265500</v>
      </c>
      <c r="G110" s="17"/>
    </row>
    <row r="111" spans="1:7" x14ac:dyDescent="0.25">
      <c r="A111" s="101" t="s">
        <v>524</v>
      </c>
      <c r="B111" s="17">
        <v>16479425</v>
      </c>
      <c r="C111" s="17">
        <v>1670750</v>
      </c>
      <c r="D111" s="17">
        <f t="shared" si="1"/>
        <v>1670750</v>
      </c>
      <c r="E111" s="49">
        <f>VLOOKUP($A111,'Data shares'!$C:$FA,128)*100</f>
        <v>2.64</v>
      </c>
      <c r="F111" s="49">
        <f>VLOOKUP($A111,'Data shares'!$C:$FA,129)</f>
        <v>67275</v>
      </c>
      <c r="G111" s="17"/>
    </row>
    <row r="112" spans="1:7" x14ac:dyDescent="0.25">
      <c r="A112" s="101" t="s">
        <v>487</v>
      </c>
      <c r="B112" s="17">
        <v>16533935</v>
      </c>
      <c r="C112" s="17">
        <v>1807050</v>
      </c>
      <c r="D112" s="17">
        <f t="shared" si="1"/>
        <v>1807050</v>
      </c>
      <c r="E112" s="49">
        <f>VLOOKUP($A112,'Data shares'!$C:$FA,128)*100</f>
        <v>1.23</v>
      </c>
      <c r="F112" s="49">
        <f>VLOOKUP($A112,'Data shares'!$C:$FA,129)</f>
        <v>49775</v>
      </c>
      <c r="G112" s="17"/>
    </row>
    <row r="113" spans="1:7" x14ac:dyDescent="0.25">
      <c r="A113" s="101" t="s">
        <v>305</v>
      </c>
      <c r="B113" s="17">
        <v>46126252</v>
      </c>
      <c r="C113" s="17">
        <v>7513500</v>
      </c>
      <c r="D113" s="17">
        <f t="shared" si="1"/>
        <v>7513500</v>
      </c>
      <c r="E113" s="49">
        <f>VLOOKUP($A113,'Data shares'!$C:$FA,128)*100</f>
        <v>2.65</v>
      </c>
      <c r="F113" s="49">
        <f>VLOOKUP($A113,'Data shares'!$C:$FA,129)</f>
        <v>250125</v>
      </c>
      <c r="G113" s="17"/>
    </row>
    <row r="114" spans="1:7" x14ac:dyDescent="0.25">
      <c r="A114" s="101" t="s">
        <v>238</v>
      </c>
      <c r="B114" s="17">
        <v>19428657</v>
      </c>
      <c r="C114" s="17">
        <v>5637750</v>
      </c>
      <c r="D114" s="17">
        <f t="shared" si="1"/>
        <v>5637750</v>
      </c>
      <c r="E114" s="49">
        <f>VLOOKUP($A114,'Data shares'!$C:$FA,128)*100</f>
        <v>3.5900000000000003</v>
      </c>
      <c r="F114" s="49">
        <f>VLOOKUP($A114,'Data shares'!$C:$FA,129)</f>
        <v>256800</v>
      </c>
      <c r="G114" s="17"/>
    </row>
    <row r="115" spans="1:7" x14ac:dyDescent="0.25">
      <c r="A115" s="101" t="s">
        <v>527</v>
      </c>
      <c r="B115" s="17">
        <v>7494363</v>
      </c>
      <c r="C115" s="17">
        <v>739375</v>
      </c>
      <c r="D115" s="17">
        <f t="shared" si="1"/>
        <v>739375</v>
      </c>
      <c r="E115" s="49">
        <f>VLOOKUP($A115,'Data shares'!$C:$FA,128)*100</f>
        <v>4.84</v>
      </c>
      <c r="F115" s="49">
        <f>VLOOKUP($A115,'Data shares'!$C:$FA,129)</f>
        <v>7449500</v>
      </c>
      <c r="G115" s="17"/>
    </row>
    <row r="116" spans="1:7" x14ac:dyDescent="0.25">
      <c r="A116" s="101" t="s">
        <v>489</v>
      </c>
      <c r="B116" s="17">
        <v>9087752</v>
      </c>
      <c r="C116" s="17">
        <v>1575750</v>
      </c>
      <c r="D116" s="17">
        <f t="shared" si="1"/>
        <v>1575750</v>
      </c>
      <c r="E116" s="49">
        <f>VLOOKUP($A116,'Data shares'!$C:$FA,128)*100</f>
        <v>3.25</v>
      </c>
      <c r="F116" s="49">
        <f>VLOOKUP($A116,'Data shares'!$C:$FA,129)</f>
        <v>1064250</v>
      </c>
      <c r="G116" s="17"/>
    </row>
    <row r="117" spans="1:7" x14ac:dyDescent="0.25">
      <c r="A117" s="101" t="s">
        <v>484</v>
      </c>
      <c r="B117" s="17">
        <v>3300938</v>
      </c>
      <c r="C117" s="17">
        <v>190125</v>
      </c>
      <c r="D117" s="17">
        <f t="shared" si="1"/>
        <v>190125</v>
      </c>
      <c r="E117" s="49">
        <f>VLOOKUP($A117,'Data shares'!$C:$FA,128)*100</f>
        <v>5.76</v>
      </c>
      <c r="F117" s="49">
        <f>VLOOKUP($A117,'Data shares'!$C:$FA,129)</f>
        <v>4477200</v>
      </c>
      <c r="G117" s="17"/>
    </row>
    <row r="118" spans="1:7" x14ac:dyDescent="0.25">
      <c r="A118" s="101" t="s">
        <v>285</v>
      </c>
      <c r="B118" s="17">
        <v>17806068</v>
      </c>
      <c r="C118" s="17">
        <v>1857900</v>
      </c>
      <c r="D118" s="17">
        <f t="shared" si="1"/>
        <v>1857900</v>
      </c>
      <c r="E118" s="49">
        <f>VLOOKUP($A118,'Data shares'!$C:$FA,128)*100</f>
        <v>3.91</v>
      </c>
      <c r="F118" s="49">
        <f>VLOOKUP($A118,'Data shares'!$C:$FA,129)</f>
        <v>97125</v>
      </c>
      <c r="G118" s="17"/>
    </row>
    <row r="119" spans="1:7" x14ac:dyDescent="0.25">
      <c r="A119" s="101" t="s">
        <v>554</v>
      </c>
      <c r="B119" s="17">
        <v>18562709</v>
      </c>
      <c r="C119" s="17">
        <v>2173500</v>
      </c>
      <c r="D119" s="17">
        <f t="shared" si="1"/>
        <v>2173500</v>
      </c>
      <c r="E119" s="49">
        <f>VLOOKUP($A119,'Data shares'!$C:$FA,128)*100</f>
        <v>5.4399999999999995</v>
      </c>
      <c r="F119" s="49">
        <f>VLOOKUP($A119,'Data shares'!$C:$FA,129)</f>
        <v>4801225</v>
      </c>
      <c r="G119" s="17"/>
    </row>
    <row r="120" spans="1:7" x14ac:dyDescent="0.25">
      <c r="A120" s="101" t="s">
        <v>293</v>
      </c>
      <c r="B120" s="17">
        <v>339616396</v>
      </c>
      <c r="C120" s="17">
        <v>214528500</v>
      </c>
      <c r="D120" s="17">
        <f t="shared" si="1"/>
        <v>214528500</v>
      </c>
      <c r="E120" s="49">
        <f>VLOOKUP($A120,'Data shares'!$C:$FA,128)*100</f>
        <v>4.29</v>
      </c>
      <c r="F120" s="49">
        <f>VLOOKUP($A120,'Data shares'!$C:$FA,129)</f>
        <v>2144550</v>
      </c>
      <c r="G120" s="17"/>
    </row>
    <row r="121" spans="1:7" x14ac:dyDescent="0.25">
      <c r="A121" s="101" t="s">
        <v>282</v>
      </c>
      <c r="B121" s="17">
        <v>289139949</v>
      </c>
      <c r="C121" s="17">
        <v>230878500</v>
      </c>
      <c r="D121" s="17">
        <f t="shared" si="1"/>
        <v>230878500</v>
      </c>
      <c r="E121" s="49">
        <f>VLOOKUP($A121,'Data shares'!$C:$FA,128)*100</f>
        <v>3.4799999999999995</v>
      </c>
      <c r="F121" s="49">
        <f>VLOOKUP($A121,'Data shares'!$C:$FA,129)</f>
        <v>6852600</v>
      </c>
      <c r="G121" s="17"/>
    </row>
    <row r="122" spans="1:7" x14ac:dyDescent="0.25">
      <c r="A122" s="101" t="s">
        <v>248</v>
      </c>
      <c r="B122" s="17">
        <v>60244101</v>
      </c>
      <c r="C122" s="17">
        <v>36578000</v>
      </c>
      <c r="D122" s="17">
        <f t="shared" si="1"/>
        <v>36578000</v>
      </c>
      <c r="E122" s="49">
        <f>VLOOKUP($A122,'Data shares'!$C:$FA,128)*100</f>
        <v>3.06</v>
      </c>
      <c r="F122" s="49">
        <f>VLOOKUP($A122,'Data shares'!$C:$FA,129)</f>
        <v>905000</v>
      </c>
      <c r="G122" s="17"/>
    </row>
    <row r="123" spans="1:7" x14ac:dyDescent="0.25">
      <c r="A123" s="101" t="s">
        <v>189</v>
      </c>
      <c r="B123" s="17">
        <v>510707358</v>
      </c>
      <c r="C123" s="17">
        <v>94385350</v>
      </c>
      <c r="D123" s="17">
        <f t="shared" si="1"/>
        <v>94385350</v>
      </c>
      <c r="E123" s="49">
        <f>VLOOKUP($A123,'Data shares'!$C:$FA,128)*100</f>
        <v>4.8</v>
      </c>
      <c r="F123" s="49">
        <f>VLOOKUP($A123,'Data shares'!$C:$FA,129)</f>
        <v>2296625</v>
      </c>
      <c r="G123" s="17"/>
    </row>
    <row r="124" spans="1:7" x14ac:dyDescent="0.25">
      <c r="A124" s="101" t="s">
        <v>213</v>
      </c>
      <c r="B124" s="17">
        <v>425164259</v>
      </c>
      <c r="C124" s="17">
        <v>85375600</v>
      </c>
      <c r="D124" s="17">
        <f t="shared" si="1"/>
        <v>85375600</v>
      </c>
      <c r="E124" s="49">
        <f>VLOOKUP($A124,'Data shares'!$C:$FA,128)*100</f>
        <v>5.52</v>
      </c>
      <c r="F124" s="49">
        <f>VLOOKUP($A124,'Data shares'!$C:$FA,129)</f>
        <v>4123350</v>
      </c>
      <c r="G124" s="17"/>
    </row>
    <row r="125" spans="1:7" x14ac:dyDescent="0.25">
      <c r="A125" s="101" t="s">
        <v>295</v>
      </c>
      <c r="B125" s="17">
        <v>205769415</v>
      </c>
      <c r="C125" s="17">
        <v>21452100</v>
      </c>
      <c r="D125" s="17">
        <f t="shared" si="1"/>
        <v>21452100</v>
      </c>
      <c r="E125" s="49">
        <f>VLOOKUP($A125,'Data shares'!$C:$FA,128)*100</f>
        <v>3.35</v>
      </c>
      <c r="F125" s="49">
        <f>VLOOKUP($A125,'Data shares'!$C:$FA,129)</f>
        <v>659575</v>
      </c>
      <c r="G125" s="17"/>
    </row>
    <row r="126" spans="1:7" x14ac:dyDescent="0.25">
      <c r="A126" s="101" t="s">
        <v>490</v>
      </c>
      <c r="B126" s="17">
        <v>52165566</v>
      </c>
      <c r="C126" s="17">
        <v>22212750</v>
      </c>
      <c r="D126" s="17">
        <f t="shared" si="1"/>
        <v>22212750</v>
      </c>
      <c r="E126" s="49">
        <f>VLOOKUP($A126,'Data shares'!$C:$FA,128)*100</f>
        <v>11.06</v>
      </c>
      <c r="F126" s="49">
        <f>VLOOKUP($A126,'Data shares'!$C:$FA,129)</f>
        <v>2464875</v>
      </c>
      <c r="G126" s="17"/>
    </row>
    <row r="127" spans="1:7" x14ac:dyDescent="0.25">
      <c r="A127" s="101" t="s">
        <v>260</v>
      </c>
      <c r="B127" s="17">
        <v>241729538</v>
      </c>
      <c r="C127" s="17">
        <v>65383500</v>
      </c>
      <c r="D127" s="17">
        <f t="shared" si="1"/>
        <v>65383500</v>
      </c>
      <c r="E127" s="49">
        <f>VLOOKUP($A127,'Data shares'!$C:$FA,128)*100</f>
        <v>2.44</v>
      </c>
      <c r="F127" s="49">
        <f>VLOOKUP($A127,'Data shares'!$C:$FA,129)</f>
        <v>3849900</v>
      </c>
      <c r="G127" s="17"/>
    </row>
    <row r="128" spans="1:7" x14ac:dyDescent="0.25">
      <c r="A128" s="101" t="s">
        <v>171</v>
      </c>
      <c r="B128" s="17">
        <v>56444627</v>
      </c>
      <c r="C128" s="17">
        <v>23336250</v>
      </c>
      <c r="D128" s="17">
        <f t="shared" si="1"/>
        <v>23336250</v>
      </c>
      <c r="E128" s="49">
        <f>VLOOKUP($A128,'Data shares'!$C:$FA,128)*100</f>
        <v>1.78</v>
      </c>
      <c r="F128" s="49">
        <f>VLOOKUP($A128,'Data shares'!$C:$FA,129)</f>
        <v>257950</v>
      </c>
      <c r="G128" s="17"/>
    </row>
    <row r="129" spans="1:7" x14ac:dyDescent="0.25">
      <c r="A129" s="101" t="s">
        <v>462</v>
      </c>
      <c r="B129" s="17">
        <v>88648462</v>
      </c>
      <c r="C129" s="17">
        <v>11150250</v>
      </c>
      <c r="D129" s="17">
        <f t="shared" si="1"/>
        <v>11150250</v>
      </c>
      <c r="E129" s="49">
        <f>VLOOKUP($A129,'Data shares'!$C:$FA,128)*100</f>
        <v>1.71</v>
      </c>
      <c r="F129" s="49">
        <f>VLOOKUP($A129,'Data shares'!$C:$FA,129)</f>
        <v>150375</v>
      </c>
      <c r="G129" s="17"/>
    </row>
    <row r="130" spans="1:7" x14ac:dyDescent="0.25">
      <c r="A130" s="101" t="s">
        <v>274</v>
      </c>
      <c r="B130" s="17">
        <v>30511703</v>
      </c>
      <c r="C130" s="17">
        <v>3556000</v>
      </c>
      <c r="D130" s="17">
        <f t="shared" si="1"/>
        <v>3556000</v>
      </c>
      <c r="E130" s="49">
        <f>VLOOKUP($A130,'Data shares'!$C:$FA,128)*100</f>
        <v>1.05</v>
      </c>
      <c r="F130" s="49">
        <f>VLOOKUP($A130,'Data shares'!$C:$FA,129)</f>
        <v>79000</v>
      </c>
      <c r="G130" s="17"/>
    </row>
    <row r="131" spans="1:7" x14ac:dyDescent="0.25">
      <c r="A131" s="101" t="s">
        <v>279</v>
      </c>
      <c r="B131" s="17">
        <v>119890099</v>
      </c>
      <c r="C131" s="17">
        <v>77232800</v>
      </c>
      <c r="D131" s="17">
        <f t="shared" si="1"/>
        <v>77232800</v>
      </c>
      <c r="E131" s="49">
        <f>VLOOKUP($A131,'Data shares'!$C:$FA,128)*100</f>
        <v>0.94000000000000006</v>
      </c>
      <c r="F131" s="49">
        <f>VLOOKUP($A131,'Data shares'!$C:$FA,129)</f>
        <v>641350</v>
      </c>
      <c r="G131" s="17"/>
    </row>
    <row r="132" spans="1:7" x14ac:dyDescent="0.25">
      <c r="A132" s="101" t="s">
        <v>247</v>
      </c>
      <c r="B132" s="17">
        <v>180580821</v>
      </c>
      <c r="C132" s="17">
        <v>128041552</v>
      </c>
      <c r="D132" s="17">
        <f t="shared" si="1"/>
        <v>128041552</v>
      </c>
      <c r="E132" s="49">
        <f>VLOOKUP($A132,'Data shares'!$C:$FA,128)*100</f>
        <v>6.1</v>
      </c>
      <c r="F132" s="49">
        <f>VLOOKUP($A132,'Data shares'!$C:$FA,129)</f>
        <v>229925</v>
      </c>
      <c r="G132" s="17"/>
    </row>
    <row r="133" spans="1:7" x14ac:dyDescent="0.25">
      <c r="A133" s="101" t="s">
        <v>291</v>
      </c>
      <c r="B133" s="17">
        <v>120211514</v>
      </c>
      <c r="C133" s="17">
        <v>18359325</v>
      </c>
      <c r="D133" s="17">
        <f t="shared" si="1"/>
        <v>18359325</v>
      </c>
      <c r="E133" s="49">
        <f>VLOOKUP($A133,'Data shares'!$C:$FA,128)*100</f>
        <v>1.49</v>
      </c>
      <c r="F133" s="49">
        <f>VLOOKUP($A133,'Data shares'!$C:$FA,129)</f>
        <v>167200</v>
      </c>
      <c r="G133" s="17"/>
    </row>
    <row r="134" spans="1:7" x14ac:dyDescent="0.25">
      <c r="A134" s="101" t="s">
        <v>269</v>
      </c>
      <c r="B134" s="17">
        <v>996134149</v>
      </c>
      <c r="C134" s="17">
        <v>204565900</v>
      </c>
      <c r="D134" s="17">
        <f t="shared" si="1"/>
        <v>204565900</v>
      </c>
      <c r="E134" s="49">
        <f>VLOOKUP($A134,'Data shares'!$C:$FA,128)*100</f>
        <v>3.5700000000000003</v>
      </c>
      <c r="F134" s="49">
        <f>VLOOKUP($A134,'Data shares'!$C:$FA,129)</f>
        <v>3818250</v>
      </c>
      <c r="G134" s="17"/>
    </row>
    <row r="135" spans="1:7" x14ac:dyDescent="0.25">
      <c r="A135" s="101" t="s">
        <v>217</v>
      </c>
      <c r="B135" s="17">
        <v>75218562</v>
      </c>
      <c r="C135" s="17">
        <v>11613000</v>
      </c>
      <c r="D135" s="17">
        <f t="shared" ref="D135:D161" si="2">C135</f>
        <v>11613000</v>
      </c>
      <c r="E135" s="49">
        <f>VLOOKUP($A135,'Data shares'!$C:$FA,128)*100</f>
        <v>0.66</v>
      </c>
      <c r="F135" s="49">
        <f>VLOOKUP($A135,'Data shares'!$C:$FA,129)</f>
        <v>38000</v>
      </c>
      <c r="G135" s="17"/>
    </row>
    <row r="136" spans="1:7" x14ac:dyDescent="0.25">
      <c r="A136" s="101" t="s">
        <v>495</v>
      </c>
      <c r="B136" s="17">
        <v>44974045</v>
      </c>
      <c r="C136" s="17">
        <v>4232500</v>
      </c>
      <c r="D136" s="17">
        <f t="shared" si="2"/>
        <v>4232500</v>
      </c>
      <c r="E136" s="49">
        <f>VLOOKUP($A136,'Data shares'!$C:$FA,128)*100</f>
        <v>2.4699999999999998</v>
      </c>
      <c r="F136" s="49">
        <f>VLOOKUP($A136,'Data shares'!$C:$FA,129)</f>
        <v>480000</v>
      </c>
      <c r="G136" s="17"/>
    </row>
    <row r="137" spans="1:7" x14ac:dyDescent="0.25">
      <c r="A137" s="101" t="s">
        <v>250</v>
      </c>
      <c r="B137" s="17">
        <v>48318354</v>
      </c>
      <c r="C137" s="17">
        <v>18007250</v>
      </c>
      <c r="D137" s="17">
        <f t="shared" si="2"/>
        <v>18007250</v>
      </c>
      <c r="E137" s="49">
        <f>VLOOKUP($A137,'Data shares'!$C:$FA,128)*100</f>
        <v>1.49</v>
      </c>
      <c r="F137" s="49">
        <f>VLOOKUP($A137,'Data shares'!$C:$FA,129)</f>
        <v>103700</v>
      </c>
      <c r="G137" s="17"/>
    </row>
    <row r="138" spans="1:7" x14ac:dyDescent="0.25">
      <c r="A138" s="101" t="s">
        <v>278</v>
      </c>
      <c r="B138" s="17">
        <v>27187764</v>
      </c>
      <c r="C138" s="17">
        <v>3521550</v>
      </c>
      <c r="D138" s="17">
        <f t="shared" si="2"/>
        <v>3521550</v>
      </c>
      <c r="E138" s="49">
        <f>VLOOKUP($A138,'Data shares'!$C:$FA,128)*100</f>
        <v>0.88</v>
      </c>
      <c r="F138" s="49">
        <f>VLOOKUP($A138,'Data shares'!$C:$FA,129)</f>
        <v>31950</v>
      </c>
      <c r="G138" s="17"/>
    </row>
    <row r="139" spans="1:7" x14ac:dyDescent="0.25">
      <c r="A139" s="101" t="s">
        <v>163</v>
      </c>
      <c r="B139" s="17">
        <v>24576009</v>
      </c>
      <c r="C139" s="17">
        <v>11979000</v>
      </c>
      <c r="D139" s="17">
        <f t="shared" si="2"/>
        <v>11979000</v>
      </c>
      <c r="E139" s="49">
        <f>VLOOKUP($A139,'Data shares'!$C:$FA,128)*100</f>
        <v>0.91</v>
      </c>
      <c r="F139" s="49">
        <f>VLOOKUP($A139,'Data shares'!$C:$FA,129)</f>
        <v>13625</v>
      </c>
      <c r="G139" s="17"/>
    </row>
    <row r="140" spans="1:7" x14ac:dyDescent="0.25">
      <c r="A140" s="101" t="s">
        <v>289</v>
      </c>
      <c r="B140" s="17">
        <v>19704232</v>
      </c>
      <c r="C140" s="17">
        <v>15520500</v>
      </c>
      <c r="D140" s="17">
        <f t="shared" si="2"/>
        <v>15520500</v>
      </c>
      <c r="E140" s="49">
        <f>VLOOKUP($A140,'Data shares'!$C:$FA,128)*100</f>
        <v>1.59</v>
      </c>
      <c r="F140" s="49">
        <f>VLOOKUP($A140,'Data shares'!$C:$FA,129)</f>
        <v>217350</v>
      </c>
      <c r="G140" s="17"/>
    </row>
    <row r="141" spans="1:7" x14ac:dyDescent="0.25">
      <c r="A141" s="101" t="s">
        <v>529</v>
      </c>
      <c r="B141" s="17">
        <v>10012679</v>
      </c>
      <c r="C141" s="17">
        <v>530550</v>
      </c>
      <c r="D141" s="17">
        <f t="shared" si="2"/>
        <v>530550</v>
      </c>
      <c r="E141" s="49">
        <f>VLOOKUP($A141,'Data shares'!$C:$FA,128)*100</f>
        <v>6.6000000000000005</v>
      </c>
      <c r="F141" s="49">
        <f>VLOOKUP($A141,'Data shares'!$C:$FA,129)</f>
        <v>146900</v>
      </c>
      <c r="G141" s="17"/>
    </row>
    <row r="142" spans="1:7" x14ac:dyDescent="0.25">
      <c r="A142" s="101" t="s">
        <v>265</v>
      </c>
      <c r="B142" s="17">
        <v>7180127</v>
      </c>
      <c r="C142" s="17">
        <v>429550</v>
      </c>
      <c r="D142" s="17">
        <f t="shared" si="2"/>
        <v>429550</v>
      </c>
      <c r="E142" s="49">
        <f>VLOOKUP($A142,'Data shares'!$C:$FA,128)*100</f>
        <v>1.5699999999999998</v>
      </c>
      <c r="F142" s="49">
        <f>VLOOKUP($A142,'Data shares'!$C:$FA,129)</f>
        <v>282500</v>
      </c>
      <c r="G142" s="17"/>
    </row>
    <row r="143" spans="1:7" x14ac:dyDescent="0.25">
      <c r="A143" s="101" t="s">
        <v>486</v>
      </c>
      <c r="B143" s="17">
        <v>32559242</v>
      </c>
      <c r="C143" s="17">
        <v>4156800</v>
      </c>
      <c r="D143" s="17">
        <f t="shared" si="2"/>
        <v>4156800</v>
      </c>
      <c r="E143" s="49">
        <f>VLOOKUP($A143,'Data shares'!$C:$FA,128)*100</f>
        <v>3.1199999999999997</v>
      </c>
      <c r="F143" s="49">
        <f>VLOOKUP($A143,'Data shares'!$C:$FA,129)</f>
        <v>111925</v>
      </c>
      <c r="G143" s="17"/>
    </row>
    <row r="144" spans="1:7" x14ac:dyDescent="0.25">
      <c r="A144" s="101" t="s">
        <v>190</v>
      </c>
      <c r="B144" s="17">
        <v>256482590</v>
      </c>
      <c r="C144" s="17">
        <v>208761000</v>
      </c>
      <c r="D144" s="17">
        <f t="shared" si="2"/>
        <v>208761000</v>
      </c>
      <c r="E144" s="49">
        <f>VLOOKUP($A144,'Data shares'!$C:$FA,128)*100</f>
        <v>3.11</v>
      </c>
      <c r="F144" s="49">
        <f>VLOOKUP($A144,'Data shares'!$C:$FA,129)</f>
        <v>2249625</v>
      </c>
      <c r="G144" s="17"/>
    </row>
    <row r="145" spans="1:7" x14ac:dyDescent="0.25">
      <c r="A145" s="101" t="s">
        <v>303</v>
      </c>
      <c r="B145" s="17">
        <v>109653438</v>
      </c>
      <c r="C145" s="17">
        <v>37709100</v>
      </c>
      <c r="D145" s="17">
        <f t="shared" si="2"/>
        <v>37709100</v>
      </c>
      <c r="E145" s="49">
        <f>VLOOKUP($A145,'Data shares'!$C:$FA,128)*100</f>
        <v>1.21</v>
      </c>
      <c r="F145" s="49">
        <f>VLOOKUP($A145,'Data shares'!$C:$FA,129)</f>
        <v>456635</v>
      </c>
      <c r="G145" s="17"/>
    </row>
    <row r="146" spans="1:7" x14ac:dyDescent="0.25">
      <c r="A146" s="101" t="s">
        <v>255</v>
      </c>
      <c r="B146" s="17">
        <v>26359259</v>
      </c>
      <c r="C146" s="17">
        <v>6916100</v>
      </c>
      <c r="D146" s="17">
        <f t="shared" si="2"/>
        <v>6916100</v>
      </c>
      <c r="E146" s="49">
        <f>VLOOKUP($A146,'Data shares'!$C:$FA,128)*100</f>
        <v>2.16</v>
      </c>
      <c r="F146" s="49">
        <f>VLOOKUP($A146,'Data shares'!$C:$FA,129)</f>
        <v>50550</v>
      </c>
      <c r="G146" s="17"/>
    </row>
    <row r="147" spans="1:7" x14ac:dyDescent="0.25">
      <c r="A147" s="101" t="s">
        <v>180</v>
      </c>
      <c r="B147" s="17">
        <v>372635498</v>
      </c>
      <c r="C147" s="17">
        <v>233426700</v>
      </c>
      <c r="D147" s="17">
        <f t="shared" si="2"/>
        <v>233426700</v>
      </c>
      <c r="E147" s="49">
        <f>VLOOKUP($A147,'Data shares'!$C:$FA,128)*100</f>
        <v>2.73</v>
      </c>
      <c r="F147" s="49">
        <f>VLOOKUP($A147,'Data shares'!$C:$FA,129)</f>
        <v>2164500</v>
      </c>
      <c r="G147" s="17"/>
    </row>
    <row r="148" spans="1:7" x14ac:dyDescent="0.25">
      <c r="A148" s="101" t="s">
        <v>179</v>
      </c>
      <c r="B148" s="17">
        <v>193321473</v>
      </c>
      <c r="C148" s="17">
        <v>47098800</v>
      </c>
      <c r="D148" s="17">
        <f t="shared" si="2"/>
        <v>47098800</v>
      </c>
      <c r="E148" s="49">
        <f>VLOOKUP($A148,'Data shares'!$C:$FA,128)*100</f>
        <v>5.52</v>
      </c>
      <c r="F148" s="49">
        <f>VLOOKUP($A148,'Data shares'!$C:$FA,129)</f>
        <v>6962400</v>
      </c>
    </row>
    <row r="149" spans="1:7" x14ac:dyDescent="0.25">
      <c r="A149" s="101" t="s">
        <v>253</v>
      </c>
      <c r="B149" s="17">
        <v>109926618</v>
      </c>
      <c r="C149" s="17">
        <v>54285000</v>
      </c>
      <c r="D149" s="17">
        <f t="shared" si="2"/>
        <v>54285000</v>
      </c>
      <c r="E149" s="49">
        <f>VLOOKUP($A149,'Data shares'!$C:$FA,128)*100</f>
        <v>2.1399999999999997</v>
      </c>
      <c r="F149" s="49">
        <f>VLOOKUP($A149,'Data shares'!$C:$FA,129)</f>
        <v>867000</v>
      </c>
    </row>
    <row r="150" spans="1:7" x14ac:dyDescent="0.25">
      <c r="A150" s="101" t="s">
        <v>261</v>
      </c>
      <c r="B150" s="17">
        <v>611563</v>
      </c>
      <c r="C150" s="17">
        <v>120180</v>
      </c>
      <c r="D150" s="17">
        <f t="shared" si="2"/>
        <v>120180</v>
      </c>
      <c r="E150" s="49">
        <f>VLOOKUP($A150,'Data shares'!$C:$FA,128)*100</f>
        <v>1.23</v>
      </c>
      <c r="F150" s="49">
        <f>VLOOKUP($A150,'Data shares'!$C:$FA,129)</f>
        <v>49775</v>
      </c>
    </row>
    <row r="151" spans="1:7" x14ac:dyDescent="0.25">
      <c r="A151" s="101" t="s">
        <v>164</v>
      </c>
      <c r="B151" s="17">
        <v>145854205</v>
      </c>
      <c r="C151" s="17">
        <v>46824000</v>
      </c>
      <c r="D151" s="17">
        <f t="shared" si="2"/>
        <v>46824000</v>
      </c>
      <c r="E151" s="49">
        <f>VLOOKUP($A151,'Data shares'!$C:$FA,128)*100</f>
        <v>1.9900000000000002</v>
      </c>
      <c r="F151" s="49">
        <f>VLOOKUP($A151,'Data shares'!$C:$FA,129)</f>
        <v>990150</v>
      </c>
    </row>
    <row r="152" spans="1:7" x14ac:dyDescent="0.25">
      <c r="A152" s="101" t="s">
        <v>526</v>
      </c>
      <c r="B152" s="17">
        <v>44365911</v>
      </c>
      <c r="C152" s="17">
        <v>20668300</v>
      </c>
      <c r="D152" s="17">
        <f t="shared" si="2"/>
        <v>20668300</v>
      </c>
      <c r="E152" s="49">
        <f>VLOOKUP($A152,'Data shares'!$C:$FA,128)*100</f>
        <v>3.9800000000000004</v>
      </c>
      <c r="F152" s="49">
        <f>VLOOKUP($A152,'Data shares'!$C:$FA,129)</f>
        <v>831000</v>
      </c>
    </row>
    <row r="153" spans="1:7" x14ac:dyDescent="0.25">
      <c r="A153" s="101" t="s">
        <v>515</v>
      </c>
      <c r="B153" s="17">
        <v>3083179</v>
      </c>
      <c r="C153" s="17">
        <v>492075</v>
      </c>
      <c r="D153" s="17">
        <f t="shared" si="2"/>
        <v>492075</v>
      </c>
      <c r="E153" s="49">
        <f>VLOOKUP($A153,'Data shares'!$C:$FA,128)*100</f>
        <v>3.9800000000000004</v>
      </c>
      <c r="F153" s="49">
        <f>VLOOKUP($A153,'Data shares'!$C:$FA,129)</f>
        <v>831000</v>
      </c>
    </row>
    <row r="154" spans="1:7" x14ac:dyDescent="0.25">
      <c r="A154" s="101" t="s">
        <v>226</v>
      </c>
      <c r="B154" s="17">
        <v>26072630</v>
      </c>
      <c r="C154" s="17">
        <v>9897900</v>
      </c>
      <c r="D154" s="17">
        <f t="shared" si="2"/>
        <v>9897900</v>
      </c>
      <c r="E154" s="49">
        <f>VLOOKUP($A154,'Data shares'!$C:$FA,128)*100</f>
        <v>1.91</v>
      </c>
      <c r="F154" s="49">
        <f>VLOOKUP($A154,'Data shares'!$C:$FA,129)</f>
        <v>108150</v>
      </c>
    </row>
    <row r="155" spans="1:7" x14ac:dyDescent="0.25">
      <c r="A155" s="101" t="s">
        <v>544</v>
      </c>
      <c r="B155" s="17">
        <v>139989683</v>
      </c>
      <c r="C155" s="17">
        <v>28415200</v>
      </c>
      <c r="D155" s="17">
        <f t="shared" si="2"/>
        <v>28415200</v>
      </c>
      <c r="E155" s="49">
        <f>VLOOKUP($A155,'Data shares'!$C:$FA,128)*100</f>
        <v>2.1</v>
      </c>
      <c r="F155" s="49">
        <f>VLOOKUP($A155,'Data shares'!$C:$FA,129)</f>
        <v>1097400</v>
      </c>
    </row>
    <row r="156" spans="1:7" x14ac:dyDescent="0.25">
      <c r="A156" s="101" t="s">
        <v>547</v>
      </c>
      <c r="B156" s="17">
        <v>65482129</v>
      </c>
      <c r="C156" s="17">
        <v>33944200</v>
      </c>
      <c r="D156" s="17">
        <f t="shared" si="2"/>
        <v>33944200</v>
      </c>
      <c r="E156" s="49">
        <f>VLOOKUP($A156,'Data shares'!$C:$FA,128)*100</f>
        <v>1.41</v>
      </c>
      <c r="F156" s="49">
        <f>VLOOKUP($A156,'Data shares'!$C:$FA,129)</f>
        <v>831600</v>
      </c>
    </row>
    <row r="157" spans="1:7" x14ac:dyDescent="0.25">
      <c r="A157" s="101" t="s">
        <v>499</v>
      </c>
      <c r="B157" s="17">
        <v>66687240</v>
      </c>
      <c r="C157" s="17">
        <v>16125200</v>
      </c>
      <c r="D157" s="17">
        <f t="shared" si="2"/>
        <v>16125200</v>
      </c>
      <c r="E157" s="49">
        <f>VLOOKUP($A157,'Data shares'!$C:$FA,128)*100</f>
        <v>2.1</v>
      </c>
      <c r="F157" s="49">
        <f>VLOOKUP($A157,'Data shares'!$C:$FA,129)</f>
        <v>1097400</v>
      </c>
    </row>
    <row r="158" spans="1:7" x14ac:dyDescent="0.25">
      <c r="A158" s="101" t="s">
        <v>483</v>
      </c>
      <c r="B158" s="17">
        <v>16146181</v>
      </c>
      <c r="C158" s="17">
        <v>1914250</v>
      </c>
      <c r="D158" s="17">
        <f t="shared" si="2"/>
        <v>1914250</v>
      </c>
      <c r="E158" s="49">
        <f>VLOOKUP($A158,'Data shares'!$C:$FA,128)*100</f>
        <v>4.3600000000000003</v>
      </c>
      <c r="F158" s="49">
        <f>VLOOKUP($A158,'Data shares'!$C:$FA,129)</f>
        <v>83125</v>
      </c>
    </row>
    <row r="159" spans="1:7" x14ac:dyDescent="0.25">
      <c r="A159" s="101" t="s">
        <v>546</v>
      </c>
      <c r="B159" s="17">
        <v>18282414</v>
      </c>
      <c r="C159" s="17">
        <v>13742300</v>
      </c>
      <c r="D159" s="17">
        <f t="shared" si="2"/>
        <v>13742300</v>
      </c>
      <c r="E159" s="49">
        <f>VLOOKUP($A159,'Data shares'!$C:$FA,128)*100</f>
        <v>2.91</v>
      </c>
      <c r="F159" s="49">
        <f>VLOOKUP($A159,'Data shares'!$C:$FA,129)</f>
        <v>4638375</v>
      </c>
    </row>
    <row r="160" spans="1:7" x14ac:dyDescent="0.25">
      <c r="A160" s="101" t="s">
        <v>220</v>
      </c>
      <c r="B160" s="17">
        <v>50687734</v>
      </c>
      <c r="C160" s="17">
        <v>6783500</v>
      </c>
      <c r="D160" s="17">
        <f t="shared" si="2"/>
        <v>6783500</v>
      </c>
      <c r="E160" s="49">
        <f>VLOOKUP($A160,'Data shares'!$C:$FA,128)*100</f>
        <v>2.59</v>
      </c>
      <c r="F160" s="49">
        <f>VLOOKUP($A160,'Data shares'!$C:$FA,129)</f>
        <v>223000</v>
      </c>
    </row>
    <row r="161" spans="1:6" x14ac:dyDescent="0.25">
      <c r="A161" s="101" t="s">
        <v>472</v>
      </c>
      <c r="B161" s="17">
        <v>50993734</v>
      </c>
      <c r="C161" s="17">
        <v>3803750</v>
      </c>
      <c r="D161" s="17">
        <f t="shared" si="2"/>
        <v>3803750</v>
      </c>
      <c r="E161" s="49">
        <f>VLOOKUP($A161,'Data shares'!$C:$FA,128)*100</f>
        <v>0.57999999999999996</v>
      </c>
      <c r="F161" s="49">
        <f>VLOOKUP($A161,'Data shares'!$C:$FA,129)</f>
        <v>29250</v>
      </c>
    </row>
    <row r="162" spans="1:6" x14ac:dyDescent="0.25">
      <c r="A162" t="s">
        <v>535</v>
      </c>
      <c r="B162">
        <v>78168147</v>
      </c>
      <c r="C162">
        <v>9571500</v>
      </c>
      <c r="D162" s="17">
        <f t="shared" ref="D162:D204" si="3">C162</f>
        <v>9571500</v>
      </c>
      <c r="E162" s="49">
        <f>VLOOKUP($A162,'Data shares'!$C:$FA,128)*100</f>
        <v>7.6899999999999995</v>
      </c>
      <c r="F162" s="49">
        <f>VLOOKUP($A162,'Data shares'!$C:$FA,129)</f>
        <v>838950</v>
      </c>
    </row>
    <row r="163" spans="1:6" x14ac:dyDescent="0.25">
      <c r="A163" t="s">
        <v>492</v>
      </c>
      <c r="B163">
        <v>28779078</v>
      </c>
      <c r="C163">
        <v>14404150</v>
      </c>
      <c r="D163" s="17">
        <f t="shared" si="3"/>
        <v>14404150</v>
      </c>
      <c r="E163" s="49">
        <f>VLOOKUP($A163,'Data shares'!$C:$FA,128)*100</f>
        <v>2.04</v>
      </c>
      <c r="F163" s="49">
        <f>VLOOKUP($A163,'Data shares'!$C:$FA,129)</f>
        <v>188100</v>
      </c>
    </row>
    <row r="164" spans="1:6" x14ac:dyDescent="0.25">
      <c r="A164" t="s">
        <v>298</v>
      </c>
      <c r="B164">
        <v>9731600</v>
      </c>
      <c r="C164">
        <v>863500</v>
      </c>
      <c r="D164" s="17">
        <f t="shared" si="3"/>
        <v>863500</v>
      </c>
      <c r="E164" s="49">
        <f>VLOOKUP($A164,'Data shares'!$C:$FA,128)*100</f>
        <v>3.04</v>
      </c>
      <c r="F164" s="49">
        <f>VLOOKUP($A164,'Data shares'!$C:$FA,129)</f>
        <v>14250</v>
      </c>
    </row>
    <row r="165" spans="1:6" x14ac:dyDescent="0.25">
      <c r="A165" t="s">
        <v>548</v>
      </c>
      <c r="B165">
        <v>442076</v>
      </c>
      <c r="C165">
        <v>9615</v>
      </c>
      <c r="D165" s="17">
        <f t="shared" si="3"/>
        <v>9615</v>
      </c>
      <c r="E165" s="49">
        <f>VLOOKUP($A165,'Data shares'!$C:$FA,128)*100</f>
        <v>8</v>
      </c>
      <c r="F165" s="49">
        <f>VLOOKUP($A165,'Data shares'!$C:$FA,129)</f>
        <v>2708475</v>
      </c>
    </row>
    <row r="166" spans="1:6" x14ac:dyDescent="0.25">
      <c r="A166" t="s">
        <v>530</v>
      </c>
      <c r="B166">
        <v>3258166</v>
      </c>
      <c r="C166">
        <v>219750</v>
      </c>
      <c r="D166" s="17">
        <f t="shared" si="3"/>
        <v>219750</v>
      </c>
      <c r="E166" s="49">
        <f>VLOOKUP($A166,'Data shares'!$C:$FA,128)*100</f>
        <v>5.82</v>
      </c>
      <c r="F166" s="49">
        <f>VLOOKUP($A166,'Data shares'!$C:$FA,129)</f>
        <v>378675</v>
      </c>
    </row>
    <row r="167" spans="1:6" x14ac:dyDescent="0.25">
      <c r="A167" t="s">
        <v>249</v>
      </c>
      <c r="B167">
        <v>277168216</v>
      </c>
      <c r="C167">
        <v>21795375</v>
      </c>
      <c r="D167" s="17">
        <f t="shared" si="3"/>
        <v>21795375</v>
      </c>
      <c r="E167" s="49">
        <f>VLOOKUP($A167,'Data shares'!$C:$FA,128)*100</f>
        <v>2.1999999999999997</v>
      </c>
      <c r="F167" s="49">
        <f>VLOOKUP($A167,'Data shares'!$C:$FA,129)</f>
        <v>272475</v>
      </c>
    </row>
    <row r="168" spans="1:6" x14ac:dyDescent="0.25">
      <c r="A168" t="s">
        <v>216</v>
      </c>
      <c r="B168">
        <v>484955219</v>
      </c>
      <c r="C168">
        <v>230400000</v>
      </c>
      <c r="D168" s="17">
        <f t="shared" si="3"/>
        <v>230400000</v>
      </c>
      <c r="E168" s="49">
        <f>VLOOKUP($A168,'Data shares'!$C:$FA,128)*100</f>
        <v>2.91</v>
      </c>
      <c r="F168" s="49">
        <f>VLOOKUP($A168,'Data shares'!$C:$FA,129)</f>
        <v>4638375</v>
      </c>
    </row>
    <row r="169" spans="1:6" x14ac:dyDescent="0.25">
      <c r="A169" t="s">
        <v>252</v>
      </c>
      <c r="B169">
        <v>117640832</v>
      </c>
      <c r="C169">
        <v>52456000</v>
      </c>
      <c r="D169" s="17">
        <f t="shared" si="3"/>
        <v>52456000</v>
      </c>
      <c r="E169" s="49">
        <f>VLOOKUP($A169,'Data shares'!$C:$FA,128)*100</f>
        <v>1.6</v>
      </c>
      <c r="F169" s="49">
        <f>VLOOKUP($A169,'Data shares'!$C:$FA,129)</f>
        <v>258400</v>
      </c>
    </row>
    <row r="170" spans="1:6" x14ac:dyDescent="0.25">
      <c r="A170" t="s">
        <v>205</v>
      </c>
      <c r="B170">
        <v>25513876</v>
      </c>
      <c r="C170">
        <v>3302300</v>
      </c>
      <c r="D170" s="17">
        <f t="shared" si="3"/>
        <v>3302300</v>
      </c>
      <c r="E170" s="49">
        <f>VLOOKUP($A170,'Data shares'!$C:$FA,128)*100</f>
        <v>1.7500000000000002</v>
      </c>
      <c r="F170" s="49">
        <f>VLOOKUP($A170,'Data shares'!$C:$FA,129)</f>
        <v>59000</v>
      </c>
    </row>
    <row r="171" spans="1:6" x14ac:dyDescent="0.25">
      <c r="A171" t="s">
        <v>194</v>
      </c>
      <c r="B171">
        <v>202646440</v>
      </c>
      <c r="C171">
        <v>52470000</v>
      </c>
      <c r="D171" s="17">
        <f t="shared" si="3"/>
        <v>52470000</v>
      </c>
      <c r="E171" s="49">
        <f>VLOOKUP($A171,'Data shares'!$C:$FA,128)*100</f>
        <v>5.53</v>
      </c>
      <c r="F171" s="49">
        <f>VLOOKUP($A171,'Data shares'!$C:$FA,129)</f>
        <v>1542475</v>
      </c>
    </row>
    <row r="172" spans="1:6" x14ac:dyDescent="0.25">
      <c r="A172" t="s">
        <v>263</v>
      </c>
      <c r="B172">
        <v>178967755</v>
      </c>
      <c r="C172">
        <v>142910500</v>
      </c>
      <c r="D172" s="17">
        <f t="shared" si="3"/>
        <v>142910500</v>
      </c>
      <c r="E172" s="49">
        <f>VLOOKUP($A172,'Data shares'!$C:$FA,128)*100</f>
        <v>7.3800000000000008</v>
      </c>
      <c r="F172" s="49">
        <f>VLOOKUP($A172,'Data shares'!$C:$FA,129)</f>
        <v>3528750</v>
      </c>
    </row>
    <row r="173" spans="1:6" x14ac:dyDescent="0.25">
      <c r="A173" t="s">
        <v>476</v>
      </c>
      <c r="B173">
        <v>40446155</v>
      </c>
      <c r="C173">
        <v>4358800</v>
      </c>
      <c r="D173" s="17">
        <f t="shared" si="3"/>
        <v>4358800</v>
      </c>
      <c r="E173" s="49">
        <f>VLOOKUP($A173,'Data shares'!$C:$FA,128)*100</f>
        <v>3.6999999999999997</v>
      </c>
      <c r="F173" s="49">
        <f>VLOOKUP($A173,'Data shares'!$C:$FA,129)</f>
        <v>65000</v>
      </c>
    </row>
    <row r="174" spans="1:6" x14ac:dyDescent="0.25">
      <c r="A174" t="s">
        <v>187</v>
      </c>
      <c r="B174">
        <v>51436398</v>
      </c>
      <c r="C174">
        <v>7413750</v>
      </c>
      <c r="D174" s="17">
        <f t="shared" si="3"/>
        <v>7413750</v>
      </c>
      <c r="E174" s="49">
        <f>VLOOKUP($A174,'Data shares'!$C:$FA,128)*100</f>
        <v>2.04</v>
      </c>
      <c r="F174" s="49">
        <f>VLOOKUP($A174,'Data shares'!$C:$FA,129)</f>
        <v>149500</v>
      </c>
    </row>
    <row r="175" spans="1:6" x14ac:dyDescent="0.25">
      <c r="A175" t="s">
        <v>493</v>
      </c>
      <c r="B175">
        <v>14814614</v>
      </c>
      <c r="C175">
        <v>3344250</v>
      </c>
      <c r="D175" s="17">
        <f t="shared" si="3"/>
        <v>3344250</v>
      </c>
      <c r="E175" s="49">
        <f>VLOOKUP($A175,'Data shares'!$C:$FA,128)*100</f>
        <v>2.64</v>
      </c>
      <c r="F175" s="49">
        <f>VLOOKUP($A175,'Data shares'!$C:$FA,129)</f>
        <v>67275</v>
      </c>
    </row>
    <row r="176" spans="1:6" x14ac:dyDescent="0.25">
      <c r="A176" t="s">
        <v>525</v>
      </c>
      <c r="B176">
        <v>35635456</v>
      </c>
      <c r="C176">
        <v>28959300</v>
      </c>
      <c r="D176" s="17">
        <f t="shared" si="3"/>
        <v>28959300</v>
      </c>
      <c r="E176" s="49">
        <f>VLOOKUP($A176,'Data shares'!$C:$FA,128)*100</f>
        <v>2.29</v>
      </c>
      <c r="F176" s="49">
        <f>VLOOKUP($A176,'Data shares'!$C:$FA,129)</f>
        <v>410850</v>
      </c>
    </row>
    <row r="177" spans="1:6" x14ac:dyDescent="0.25">
      <c r="A177" t="s">
        <v>512</v>
      </c>
      <c r="B177">
        <v>7771646</v>
      </c>
      <c r="C177">
        <v>1119375</v>
      </c>
      <c r="D177" s="17">
        <f t="shared" si="3"/>
        <v>1119375</v>
      </c>
      <c r="E177" s="49">
        <f>VLOOKUP($A177,'Data shares'!$C:$FA,128)*100</f>
        <v>7.79</v>
      </c>
      <c r="F177" s="49">
        <f>VLOOKUP($A177,'Data shares'!$C:$FA,129)</f>
        <v>216550</v>
      </c>
    </row>
    <row r="178" spans="1:6" x14ac:dyDescent="0.25">
      <c r="A178" t="s">
        <v>233</v>
      </c>
      <c r="B178">
        <v>76432837</v>
      </c>
      <c r="C178">
        <v>9804000</v>
      </c>
      <c r="D178" s="17">
        <f t="shared" si="3"/>
        <v>9804000</v>
      </c>
      <c r="E178" s="49">
        <f>VLOOKUP($A178,'Data shares'!$C:$FA,128)*100</f>
        <v>0.62</v>
      </c>
      <c r="F178" s="49">
        <f>VLOOKUP($A178,'Data shares'!$C:$FA,129)</f>
        <v>86025</v>
      </c>
    </row>
    <row r="179" spans="1:6" x14ac:dyDescent="0.25">
      <c r="A179" t="s">
        <v>183</v>
      </c>
      <c r="B179">
        <v>12092405</v>
      </c>
      <c r="C179">
        <v>2606450</v>
      </c>
      <c r="D179" s="17">
        <f t="shared" si="3"/>
        <v>2606450</v>
      </c>
      <c r="E179" s="49">
        <f>VLOOKUP($A179,'Data shares'!$C:$FA,128)*100</f>
        <v>9.0399999999999991</v>
      </c>
      <c r="F179" s="49">
        <f>VLOOKUP($A179,'Data shares'!$C:$FA,129)</f>
        <v>130260</v>
      </c>
    </row>
    <row r="180" spans="1:6" x14ac:dyDescent="0.25">
      <c r="A180" t="s">
        <v>280</v>
      </c>
      <c r="B180">
        <v>187084550</v>
      </c>
      <c r="C180">
        <v>50568000</v>
      </c>
      <c r="D180" s="17">
        <f t="shared" si="3"/>
        <v>50568000</v>
      </c>
      <c r="E180" s="49">
        <f>VLOOKUP($A180,'Data shares'!$C:$FA,128)*100</f>
        <v>10.59</v>
      </c>
      <c r="F180" s="49">
        <f>VLOOKUP($A180,'Data shares'!$C:$FA,129)</f>
        <v>7681800</v>
      </c>
    </row>
    <row r="181" spans="1:6" x14ac:dyDescent="0.25">
      <c r="A181" t="s">
        <v>166</v>
      </c>
      <c r="B181">
        <v>79597108</v>
      </c>
      <c r="C181">
        <v>26630000</v>
      </c>
      <c r="D181" s="17">
        <f t="shared" si="3"/>
        <v>26630000</v>
      </c>
      <c r="E181" s="49">
        <f>VLOOKUP($A181,'Data shares'!$C:$FA,128)*100</f>
        <v>2.11</v>
      </c>
      <c r="F181" s="49">
        <f>VLOOKUP($A181,'Data shares'!$C:$FA,129)</f>
        <v>59750</v>
      </c>
    </row>
    <row r="182" spans="1:6" x14ac:dyDescent="0.25">
      <c r="A182" t="s">
        <v>241</v>
      </c>
      <c r="B182">
        <v>913205148</v>
      </c>
      <c r="C182">
        <v>118527500</v>
      </c>
      <c r="D182" s="17">
        <f t="shared" si="3"/>
        <v>118527500</v>
      </c>
      <c r="E182" s="49">
        <f>VLOOKUP($A182,'Data shares'!$C:$FA,128)*100</f>
        <v>3.5900000000000003</v>
      </c>
      <c r="F182" s="49">
        <f>VLOOKUP($A182,'Data shares'!$C:$FA,129)</f>
        <v>3831750</v>
      </c>
    </row>
    <row r="183" spans="1:6" x14ac:dyDescent="0.25">
      <c r="A183" t="s">
        <v>517</v>
      </c>
      <c r="B183">
        <v>10180563</v>
      </c>
      <c r="C183">
        <v>3926650</v>
      </c>
      <c r="D183" s="17">
        <f t="shared" si="3"/>
        <v>3926650</v>
      </c>
      <c r="E183" s="49">
        <f>VLOOKUP($A183,'Data shares'!$C:$FA,128)*100</f>
        <v>4.1099999999999994</v>
      </c>
      <c r="F183" s="49">
        <f>VLOOKUP($A183,'Data shares'!$C:$FA,129)</f>
        <v>578750</v>
      </c>
    </row>
    <row r="184" spans="1:6" x14ac:dyDescent="0.25">
      <c r="A184" t="s">
        <v>211</v>
      </c>
      <c r="B184">
        <v>91809066</v>
      </c>
      <c r="C184">
        <v>33516000</v>
      </c>
      <c r="D184" s="17">
        <f t="shared" si="3"/>
        <v>33516000</v>
      </c>
      <c r="E184" s="49">
        <f>VLOOKUP($A184,'Data shares'!$C:$FA,128)*100</f>
        <v>7.13</v>
      </c>
      <c r="F184" s="49">
        <f>VLOOKUP($A184,'Data shares'!$C:$FA,129)</f>
        <v>1841400</v>
      </c>
    </row>
    <row r="185" spans="1:6" x14ac:dyDescent="0.25">
      <c r="A185" t="s">
        <v>518</v>
      </c>
      <c r="B185">
        <v>4636018</v>
      </c>
      <c r="C185">
        <v>608375</v>
      </c>
      <c r="D185" s="17">
        <f t="shared" si="3"/>
        <v>608375</v>
      </c>
      <c r="E185" s="49">
        <f>VLOOKUP($A185,'Data shares'!$C:$FA,128)*100</f>
        <v>3.1</v>
      </c>
      <c r="F185" s="49">
        <f>VLOOKUP($A185,'Data shares'!$C:$FA,129)</f>
        <v>40200</v>
      </c>
    </row>
    <row r="186" spans="1:6" x14ac:dyDescent="0.25">
      <c r="A186" t="s">
        <v>511</v>
      </c>
      <c r="B186">
        <v>18644752</v>
      </c>
      <c r="C186">
        <v>4227600</v>
      </c>
      <c r="D186" s="17">
        <f t="shared" si="3"/>
        <v>4227600</v>
      </c>
      <c r="E186" s="49">
        <f>VLOOKUP($A186,'Data shares'!$C:$FA,128)*100</f>
        <v>5.82</v>
      </c>
      <c r="F186" s="49">
        <f>VLOOKUP($A186,'Data shares'!$C:$FA,129)</f>
        <v>8100000</v>
      </c>
    </row>
    <row r="187" spans="1:6" x14ac:dyDescent="0.25">
      <c r="A187" t="s">
        <v>186</v>
      </c>
      <c r="B187">
        <v>48589957</v>
      </c>
      <c r="C187">
        <v>5942200</v>
      </c>
      <c r="D187" s="17">
        <f t="shared" si="3"/>
        <v>5942200</v>
      </c>
      <c r="E187" s="49">
        <f>VLOOKUP($A187,'Data shares'!$C:$FA,128)*100</f>
        <v>4.92</v>
      </c>
      <c r="F187" s="49">
        <f>VLOOKUP($A187,'Data shares'!$C:$FA,129)</f>
        <v>5848200</v>
      </c>
    </row>
    <row r="188" spans="1:6" x14ac:dyDescent="0.25">
      <c r="A188" t="s">
        <v>522</v>
      </c>
      <c r="B188">
        <v>1063050</v>
      </c>
      <c r="C188">
        <v>54050</v>
      </c>
      <c r="D188" s="17">
        <f t="shared" si="3"/>
        <v>54050</v>
      </c>
      <c r="E188" s="49">
        <f>VLOOKUP($A188,'Data shares'!$C:$FA,128)*100</f>
        <v>3.83</v>
      </c>
      <c r="F188" s="49">
        <f>VLOOKUP($A188,'Data shares'!$C:$FA,129)</f>
        <v>76250</v>
      </c>
    </row>
    <row r="189" spans="1:6" x14ac:dyDescent="0.25">
      <c r="A189" t="s">
        <v>300</v>
      </c>
      <c r="B189">
        <v>45360865</v>
      </c>
      <c r="C189">
        <v>14277200</v>
      </c>
      <c r="D189" s="17">
        <f t="shared" si="3"/>
        <v>14277200</v>
      </c>
      <c r="E189" s="49">
        <f>VLOOKUP($A189,'Data shares'!$C:$FA,128)*100</f>
        <v>1.01</v>
      </c>
      <c r="F189" s="49">
        <f>VLOOKUP($A189,'Data shares'!$C:$FA,129)</f>
        <v>84525</v>
      </c>
    </row>
    <row r="190" spans="1:6" x14ac:dyDescent="0.25">
      <c r="A190" t="s">
        <v>520</v>
      </c>
      <c r="B190">
        <v>23139622</v>
      </c>
      <c r="C190">
        <v>1555500</v>
      </c>
      <c r="D190" s="17">
        <f t="shared" si="3"/>
        <v>1555500</v>
      </c>
      <c r="E190" s="49">
        <f>VLOOKUP($A190,'Data shares'!$C:$FA,128)*100</f>
        <v>2.46</v>
      </c>
      <c r="F190" s="49">
        <f>VLOOKUP($A190,'Data shares'!$C:$FA,129)</f>
        <v>114000</v>
      </c>
    </row>
    <row r="191" spans="1:6" x14ac:dyDescent="0.25">
      <c r="A191" t="s">
        <v>294</v>
      </c>
      <c r="B191">
        <v>161436977</v>
      </c>
      <c r="C191">
        <v>59382700</v>
      </c>
      <c r="D191" s="17">
        <f t="shared" si="3"/>
        <v>59382700</v>
      </c>
      <c r="E191" s="49">
        <f>VLOOKUP($A191,'Data shares'!$C:$FA,128)*100</f>
        <v>3.02</v>
      </c>
      <c r="F191" s="49">
        <f>VLOOKUP($A191,'Data shares'!$C:$FA,129)</f>
        <v>7084000</v>
      </c>
    </row>
    <row r="192" spans="1:6" x14ac:dyDescent="0.25">
      <c r="A192" t="s">
        <v>244</v>
      </c>
      <c r="B192">
        <v>265685393</v>
      </c>
      <c r="C192">
        <v>44023500</v>
      </c>
      <c r="D192" s="17">
        <f t="shared" si="3"/>
        <v>44023500</v>
      </c>
      <c r="E192" s="49">
        <f>VLOOKUP($A192,'Data shares'!$C:$FA,128)*100</f>
        <v>0.73</v>
      </c>
      <c r="F192" s="49">
        <f>VLOOKUP($A192,'Data shares'!$C:$FA,129)</f>
        <v>366525</v>
      </c>
    </row>
    <row r="193" spans="1:6" x14ac:dyDescent="0.25">
      <c r="A193" t="s">
        <v>160</v>
      </c>
      <c r="B193">
        <v>145684825</v>
      </c>
      <c r="C193">
        <v>110820000</v>
      </c>
      <c r="D193" s="17">
        <f t="shared" si="3"/>
        <v>110820000</v>
      </c>
      <c r="E193" s="49">
        <f>VLOOKUP($A193,'Data shares'!$C:$FA,128)*100</f>
        <v>3.29</v>
      </c>
      <c r="F193" s="49">
        <f>VLOOKUP($A193,'Data shares'!$C:$FA,129)</f>
        <v>772825</v>
      </c>
    </row>
    <row r="194" spans="1:6" x14ac:dyDescent="0.25">
      <c r="A194" t="s">
        <v>496</v>
      </c>
      <c r="B194">
        <v>11999202</v>
      </c>
      <c r="C194">
        <v>2345700</v>
      </c>
      <c r="D194" s="17">
        <f t="shared" si="3"/>
        <v>2345700</v>
      </c>
      <c r="E194" s="49">
        <f>VLOOKUP($A194,'Data shares'!$C:$FA,128)*100</f>
        <v>0.86</v>
      </c>
      <c r="F194" s="49">
        <f>VLOOKUP($A194,'Data shares'!$C:$FA,129)</f>
        <v>83300</v>
      </c>
    </row>
    <row r="195" spans="1:6" x14ac:dyDescent="0.25">
      <c r="A195" t="s">
        <v>230</v>
      </c>
      <c r="B195">
        <v>179034270</v>
      </c>
      <c r="C195">
        <v>24257400</v>
      </c>
      <c r="D195" s="17">
        <f t="shared" si="3"/>
        <v>24257400</v>
      </c>
      <c r="E195" s="49">
        <f>VLOOKUP($A195,'Data shares'!$C:$FA,128)*100</f>
        <v>1.91</v>
      </c>
      <c r="F195" s="49">
        <f>VLOOKUP($A195,'Data shares'!$C:$FA,129)</f>
        <v>241800</v>
      </c>
    </row>
    <row r="196" spans="1:6" x14ac:dyDescent="0.25">
      <c r="A196" t="s">
        <v>203</v>
      </c>
      <c r="B196">
        <v>27165463</v>
      </c>
      <c r="C196">
        <v>3318000</v>
      </c>
      <c r="D196" s="17">
        <f t="shared" si="3"/>
        <v>3318000</v>
      </c>
      <c r="E196" s="49">
        <f>VLOOKUP($A196,'Data shares'!$C:$FA,128)*100</f>
        <v>2.46</v>
      </c>
      <c r="F196" s="49">
        <f>VLOOKUP($A196,'Data shares'!$C:$FA,129)</f>
        <v>82600</v>
      </c>
    </row>
    <row r="197" spans="1:6" x14ac:dyDescent="0.25">
      <c r="A197" t="s">
        <v>251</v>
      </c>
      <c r="B197">
        <v>184464522</v>
      </c>
      <c r="C197">
        <v>32566800</v>
      </c>
      <c r="D197" s="17">
        <f t="shared" si="3"/>
        <v>32566800</v>
      </c>
      <c r="E197" s="49">
        <f>VLOOKUP($A197,'Data shares'!$C:$FA,128)*100</f>
        <v>1.6</v>
      </c>
      <c r="F197" s="49">
        <f>VLOOKUP($A197,'Data shares'!$C:$FA,129)</f>
        <v>258400</v>
      </c>
    </row>
    <row r="198" spans="1:6" x14ac:dyDescent="0.25">
      <c r="A198" t="s">
        <v>254</v>
      </c>
      <c r="B198">
        <v>104419539</v>
      </c>
      <c r="C198">
        <v>12741000</v>
      </c>
      <c r="D198" s="17">
        <f t="shared" si="3"/>
        <v>12741000</v>
      </c>
      <c r="E198" s="49">
        <f>VLOOKUP($A198,'Data shares'!$C:$FA,128)*100</f>
        <v>0.43</v>
      </c>
      <c r="F198" s="49">
        <f>VLOOKUP($A198,'Data shares'!$C:$FA,129)</f>
        <v>126000</v>
      </c>
    </row>
    <row r="199" spans="1:6" x14ac:dyDescent="0.25">
      <c r="A199" t="s">
        <v>159</v>
      </c>
      <c r="B199">
        <v>55169320</v>
      </c>
      <c r="C199">
        <v>29565500</v>
      </c>
      <c r="D199" s="17">
        <f t="shared" si="3"/>
        <v>29565500</v>
      </c>
      <c r="E199" s="49">
        <f>VLOOKUP($A199,'Data shares'!$C:$FA,128)*100</f>
        <v>4.74</v>
      </c>
      <c r="F199" s="49">
        <f>VLOOKUP($A199,'Data shares'!$C:$FA,129)</f>
        <v>953883</v>
      </c>
    </row>
    <row r="200" spans="1:6" x14ac:dyDescent="0.25">
      <c r="A200" t="s">
        <v>201</v>
      </c>
      <c r="B200">
        <v>26654592</v>
      </c>
      <c r="C200">
        <v>3469200</v>
      </c>
      <c r="D200" s="17">
        <f t="shared" si="3"/>
        <v>3469200</v>
      </c>
      <c r="E200" s="49">
        <f>VLOOKUP($A200,'Data shares'!$C:$FA,128)*100</f>
        <v>4.75</v>
      </c>
      <c r="F200" s="49">
        <f>VLOOKUP($A200,'Data shares'!$C:$FA,129)</f>
        <v>286875</v>
      </c>
    </row>
    <row r="201" spans="1:6" x14ac:dyDescent="0.25">
      <c r="A201" t="s">
        <v>199</v>
      </c>
      <c r="B201">
        <v>102562642</v>
      </c>
      <c r="C201">
        <v>20641400</v>
      </c>
      <c r="D201" s="17">
        <f t="shared" si="3"/>
        <v>20641400</v>
      </c>
      <c r="E201" s="49">
        <f>VLOOKUP($A201,'Data shares'!$C:$FA,128)*100</f>
        <v>2.85</v>
      </c>
      <c r="F201" s="49">
        <f>VLOOKUP($A201,'Data shares'!$C:$FA,129)</f>
        <v>154875</v>
      </c>
    </row>
    <row r="202" spans="1:6" x14ac:dyDescent="0.25">
      <c r="A202" t="s">
        <v>296</v>
      </c>
      <c r="B202">
        <v>124861039</v>
      </c>
      <c r="C202">
        <v>20543400</v>
      </c>
      <c r="D202" s="17">
        <f t="shared" si="3"/>
        <v>20543400</v>
      </c>
      <c r="E202" s="49">
        <f>VLOOKUP($A202,'Data shares'!$C:$FA,128)*100</f>
        <v>0.91</v>
      </c>
      <c r="F202" s="49">
        <f>VLOOKUP($A202,'Data shares'!$C:$FA,129)</f>
        <v>168000</v>
      </c>
    </row>
    <row r="203" spans="1:6" x14ac:dyDescent="0.25">
      <c r="A203" t="s">
        <v>229</v>
      </c>
      <c r="B203">
        <v>127940594</v>
      </c>
      <c r="C203">
        <v>33552900</v>
      </c>
      <c r="D203" s="17">
        <f t="shared" si="3"/>
        <v>33552900</v>
      </c>
      <c r="E203" s="49">
        <f>VLOOKUP($A203,'Data shares'!$C:$FA,128)*100</f>
        <v>4.03</v>
      </c>
      <c r="F203" s="49">
        <f>VLOOKUP($A203,'Data shares'!$C:$FA,129)</f>
        <v>1510650</v>
      </c>
    </row>
    <row r="204" spans="1:6" x14ac:dyDescent="0.25">
      <c r="A204" t="s">
        <v>497</v>
      </c>
      <c r="B204">
        <v>10251929</v>
      </c>
      <c r="C204">
        <v>266200</v>
      </c>
      <c r="D204" s="17">
        <f t="shared" si="3"/>
        <v>266200</v>
      </c>
      <c r="E204" s="49">
        <f>VLOOKUP($A204,'Data shares'!$C:$FA,128)*100</f>
        <v>0.91</v>
      </c>
      <c r="F204" s="49">
        <f>VLOOKUP($A204,'Data shares'!$C:$FA,129)</f>
        <v>13625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topLeftCell="A7"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33" zoomScale="86" zoomScaleNormal="86" workbookViewId="0">
      <selection activeCell="I141" sqref="I141"/>
    </sheetView>
  </sheetViews>
  <sheetFormatPr defaultRowHeight="15" x14ac:dyDescent="0.25"/>
  <cols>
    <col min="1" max="1" width="12"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57031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710937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46029</v>
      </c>
      <c r="B2" s="227" t="s">
        <v>175</v>
      </c>
      <c r="C2" s="227" t="s">
        <v>682</v>
      </c>
      <c r="D2" s="228">
        <v>500</v>
      </c>
      <c r="E2" s="228">
        <v>20</v>
      </c>
      <c r="F2" s="231">
        <v>1198</v>
      </c>
      <c r="G2" s="231">
        <v>1191.0999999999999</v>
      </c>
      <c r="H2" s="228">
        <v>6.9</v>
      </c>
      <c r="I2" s="229">
        <v>5.7999999999999996E-3</v>
      </c>
      <c r="J2" s="231">
        <v>1191.8</v>
      </c>
      <c r="K2" s="231">
        <v>1187</v>
      </c>
      <c r="L2" s="228">
        <v>4.8</v>
      </c>
      <c r="M2" s="229">
        <v>4.0000000000000001E-3</v>
      </c>
      <c r="N2" s="231">
        <v>1198</v>
      </c>
      <c r="O2" s="231">
        <v>1191.0999999999999</v>
      </c>
      <c r="P2" s="228">
        <v>6.9</v>
      </c>
      <c r="Q2" s="229">
        <v>5.7999999999999996E-3</v>
      </c>
      <c r="R2" s="231">
        <v>1193.5999999999999</v>
      </c>
      <c r="S2" s="231">
        <v>1186.4000000000001</v>
      </c>
      <c r="T2" s="228">
        <v>7.2</v>
      </c>
      <c r="U2" s="229">
        <v>6.1000000000000004E-3</v>
      </c>
      <c r="V2" s="231">
        <v>1186.0999999999999</v>
      </c>
      <c r="W2" s="231">
        <v>1186.0999999999999</v>
      </c>
      <c r="X2" s="228">
        <v>0</v>
      </c>
      <c r="Y2" s="229">
        <v>0</v>
      </c>
      <c r="Z2" s="228">
        <v>6.2</v>
      </c>
      <c r="AA2" s="228">
        <v>4.0999999999999996</v>
      </c>
      <c r="AB2" s="228">
        <v>2.1</v>
      </c>
      <c r="AC2" s="229">
        <v>5.1999999999999998E-3</v>
      </c>
      <c r="AD2" s="228">
        <v>6.2</v>
      </c>
      <c r="AE2" s="228">
        <v>4.0999999999999996</v>
      </c>
      <c r="AF2" s="228">
        <v>2.1</v>
      </c>
      <c r="AG2" s="229">
        <v>5.1999999999999998E-3</v>
      </c>
      <c r="AH2" s="228">
        <v>1.8</v>
      </c>
      <c r="AI2" s="228">
        <v>-0.6</v>
      </c>
      <c r="AJ2" s="228">
        <v>2.4</v>
      </c>
      <c r="AK2" s="229">
        <v>1.5E-3</v>
      </c>
      <c r="AL2" s="228">
        <v>-5.7</v>
      </c>
      <c r="AM2" s="228">
        <v>-0.9</v>
      </c>
      <c r="AN2" s="228">
        <v>-4.8</v>
      </c>
      <c r="AO2" s="229">
        <v>-4.7999999999999996E-3</v>
      </c>
      <c r="AP2" s="231">
        <v>1189.32</v>
      </c>
      <c r="AQ2" s="231">
        <v>1186.3599999999999</v>
      </c>
      <c r="AR2" s="228">
        <v>0</v>
      </c>
      <c r="AS2" s="228">
        <v>264</v>
      </c>
      <c r="AT2" s="228">
        <v>77</v>
      </c>
      <c r="AU2" s="228">
        <v>188</v>
      </c>
      <c r="AV2" s="229">
        <v>2.4496000000000002</v>
      </c>
      <c r="AW2" s="228">
        <v>202</v>
      </c>
      <c r="AX2" s="228">
        <v>74</v>
      </c>
      <c r="AY2" s="228">
        <v>128</v>
      </c>
      <c r="AZ2" s="229">
        <v>1.7258</v>
      </c>
      <c r="BA2" s="228">
        <v>62</v>
      </c>
      <c r="BB2" s="228">
        <v>2</v>
      </c>
      <c r="BC2" s="228">
        <v>59</v>
      </c>
      <c r="BD2" s="229">
        <v>25.461500000000001</v>
      </c>
      <c r="BE2" s="228">
        <v>0</v>
      </c>
      <c r="BF2" s="228">
        <v>0</v>
      </c>
      <c r="BG2" s="228">
        <v>0</v>
      </c>
      <c r="BH2" s="229">
        <v>0</v>
      </c>
      <c r="BI2" s="228">
        <v>383</v>
      </c>
      <c r="BJ2" s="228">
        <v>236</v>
      </c>
      <c r="BK2" s="228">
        <v>147</v>
      </c>
      <c r="BL2" s="229">
        <v>0.62439999999999996</v>
      </c>
      <c r="BM2" s="228">
        <v>227</v>
      </c>
      <c r="BN2" s="228">
        <v>78</v>
      </c>
      <c r="BO2" s="228">
        <v>148</v>
      </c>
      <c r="BP2" s="229">
        <v>1.8915999999999999</v>
      </c>
      <c r="BQ2" s="228">
        <v>875</v>
      </c>
      <c r="BR2" s="228">
        <v>391</v>
      </c>
      <c r="BS2" s="228">
        <v>483</v>
      </c>
      <c r="BT2" s="229">
        <v>1.2362</v>
      </c>
      <c r="BU2" s="230">
        <v>1491531</v>
      </c>
      <c r="BV2" s="230">
        <v>395875</v>
      </c>
      <c r="BW2" s="230">
        <v>1095656</v>
      </c>
      <c r="BX2" s="229">
        <v>2.7677</v>
      </c>
      <c r="BY2" s="228">
        <v>306</v>
      </c>
      <c r="BZ2" s="228">
        <v>319</v>
      </c>
      <c r="CA2" s="228">
        <v>-13</v>
      </c>
      <c r="CB2" s="229">
        <v>-3.9300000000000002E-2</v>
      </c>
      <c r="CC2" s="228">
        <v>295</v>
      </c>
      <c r="CD2" s="228">
        <v>311</v>
      </c>
      <c r="CE2" s="228">
        <v>-16</v>
      </c>
      <c r="CF2" s="229">
        <v>-5.16E-2</v>
      </c>
      <c r="CG2" s="228">
        <v>11</v>
      </c>
      <c r="CH2" s="228">
        <v>8</v>
      </c>
      <c r="CI2" s="228">
        <v>4</v>
      </c>
      <c r="CJ2" s="229">
        <v>0.46460000000000001</v>
      </c>
      <c r="CK2" s="228">
        <v>0</v>
      </c>
      <c r="CL2" s="228">
        <v>0</v>
      </c>
      <c r="CM2" s="228">
        <v>0</v>
      </c>
      <c r="CN2" s="229">
        <v>0</v>
      </c>
      <c r="CO2" s="228">
        <v>124</v>
      </c>
      <c r="CP2" s="228">
        <v>124</v>
      </c>
      <c r="CQ2" s="228">
        <v>0</v>
      </c>
      <c r="CR2" s="229">
        <v>2.3999999999999998E-3</v>
      </c>
      <c r="CS2" s="228">
        <v>67</v>
      </c>
      <c r="CT2" s="228">
        <v>68</v>
      </c>
      <c r="CU2" s="228">
        <v>-1</v>
      </c>
      <c r="CV2" s="229">
        <v>-2.0199999999999999E-2</v>
      </c>
      <c r="CW2" s="228">
        <v>497</v>
      </c>
      <c r="CX2" s="228">
        <v>511</v>
      </c>
      <c r="CY2" s="228">
        <v>-14</v>
      </c>
      <c r="CZ2" s="229">
        <v>-2.6599999999999999E-2</v>
      </c>
      <c r="DA2" s="228">
        <v>35.270000000000003</v>
      </c>
      <c r="DB2" s="228">
        <v>33.68</v>
      </c>
      <c r="DC2" s="228">
        <v>1.59</v>
      </c>
      <c r="DD2" s="228">
        <v>1.59</v>
      </c>
      <c r="DE2" s="228">
        <v>42.37</v>
      </c>
      <c r="DF2" s="228">
        <v>42.47</v>
      </c>
      <c r="DG2" s="228">
        <v>-7.1</v>
      </c>
      <c r="DH2" s="228">
        <v>-0.1</v>
      </c>
      <c r="DI2" s="228">
        <v>35.28</v>
      </c>
      <c r="DJ2" s="228">
        <v>33.61</v>
      </c>
      <c r="DK2" s="228">
        <v>1.67</v>
      </c>
      <c r="DL2" s="228">
        <v>1.67</v>
      </c>
      <c r="DM2" s="228">
        <v>35.270000000000003</v>
      </c>
      <c r="DN2" s="228">
        <v>33.86</v>
      </c>
      <c r="DO2" s="228">
        <v>1.41</v>
      </c>
      <c r="DP2" s="228">
        <v>1.41</v>
      </c>
      <c r="DQ2" s="228">
        <v>0.54</v>
      </c>
      <c r="DR2" s="228">
        <v>0.55000000000000004</v>
      </c>
      <c r="DS2" s="228">
        <v>-0.01</v>
      </c>
      <c r="DT2" s="229">
        <v>-1.8200000000000001E-2</v>
      </c>
      <c r="DU2" s="231">
        <v>1200</v>
      </c>
      <c r="DV2" s="231">
        <v>1200</v>
      </c>
      <c r="DW2" s="228">
        <v>0.59</v>
      </c>
      <c r="DX2" s="228">
        <v>0.33</v>
      </c>
      <c r="DY2" s="228">
        <v>0.26</v>
      </c>
      <c r="DZ2" s="229">
        <v>0.78790000000000004</v>
      </c>
      <c r="EA2" s="229">
        <v>3.6999999999999998E-2</v>
      </c>
      <c r="EB2" s="230">
        <v>65000</v>
      </c>
      <c r="EC2" s="229">
        <v>-3.7000000000000002E-3</v>
      </c>
      <c r="ED2" s="229">
        <v>3.6999999999999998E-2</v>
      </c>
      <c r="EE2" s="228">
        <v>-2.96</v>
      </c>
      <c r="EF2" s="229">
        <v>-2.5000000000000001E-3</v>
      </c>
      <c r="EG2" s="230">
        <v>753920</v>
      </c>
      <c r="EH2" s="230">
        <v>224410</v>
      </c>
      <c r="EI2" s="229">
        <v>2.3595999999999999</v>
      </c>
      <c r="EJ2" s="229">
        <v>0.50549999999999995</v>
      </c>
      <c r="EK2" s="228">
        <v>396.47</v>
      </c>
      <c r="EL2" s="228">
        <v>229.76</v>
      </c>
      <c r="EM2" s="228">
        <v>262.20999999999998</v>
      </c>
      <c r="EN2" s="228">
        <v>10.9</v>
      </c>
      <c r="EO2" s="228">
        <v>888.43</v>
      </c>
      <c r="EP2" s="228">
        <v>404.08</v>
      </c>
      <c r="EQ2" s="228">
        <v>484.35</v>
      </c>
      <c r="ER2" s="229">
        <v>1.1987000000000001</v>
      </c>
      <c r="ES2" s="228">
        <v>128.08000000000001</v>
      </c>
      <c r="ET2" s="228">
        <v>64.459999999999994</v>
      </c>
      <c r="EU2" s="228">
        <v>306.05</v>
      </c>
      <c r="EV2" s="231">
        <v>36943219</v>
      </c>
      <c r="EW2" s="228">
        <v>498.59</v>
      </c>
      <c r="EX2" s="228">
        <v>511.05</v>
      </c>
      <c r="EY2" s="228">
        <v>-12.46</v>
      </c>
      <c r="EZ2" s="229">
        <v>-2.4400000000000002E-2</v>
      </c>
      <c r="FA2" s="229">
        <v>0.1123</v>
      </c>
      <c r="FB2" s="227" t="s">
        <v>556</v>
      </c>
      <c r="FC2">
        <f>BY2-CC2</f>
        <v>11</v>
      </c>
    </row>
    <row r="3" spans="1:159" ht="17.25" thickBot="1" x14ac:dyDescent="0.3">
      <c r="A3" s="226">
        <v>46029</v>
      </c>
      <c r="B3" s="227" t="s">
        <v>184</v>
      </c>
      <c r="C3" s="227" t="s">
        <v>553</v>
      </c>
      <c r="D3" s="228">
        <v>125</v>
      </c>
      <c r="E3" s="228">
        <v>20</v>
      </c>
      <c r="F3" s="231">
        <v>5322</v>
      </c>
      <c r="G3" s="231">
        <v>5247</v>
      </c>
      <c r="H3" s="228">
        <v>75</v>
      </c>
      <c r="I3" s="229">
        <v>1.43E-2</v>
      </c>
      <c r="J3" s="231">
        <v>5299</v>
      </c>
      <c r="K3" s="231">
        <v>5224.5</v>
      </c>
      <c r="L3" s="228">
        <v>74.5</v>
      </c>
      <c r="M3" s="229">
        <v>1.43E-2</v>
      </c>
      <c r="N3" s="231">
        <v>5322</v>
      </c>
      <c r="O3" s="231">
        <v>5247</v>
      </c>
      <c r="P3" s="228">
        <v>75</v>
      </c>
      <c r="Q3" s="229">
        <v>1.43E-2</v>
      </c>
      <c r="R3" s="231">
        <v>5337.5</v>
      </c>
      <c r="S3" s="231">
        <v>5267</v>
      </c>
      <c r="T3" s="228">
        <v>70.5</v>
      </c>
      <c r="U3" s="229">
        <v>1.34E-2</v>
      </c>
      <c r="V3" s="231">
        <v>5361</v>
      </c>
      <c r="W3" s="231">
        <v>5283</v>
      </c>
      <c r="X3" s="228">
        <v>78</v>
      </c>
      <c r="Y3" s="229">
        <v>1.4800000000000001E-2</v>
      </c>
      <c r="Z3" s="228">
        <v>23</v>
      </c>
      <c r="AA3" s="228">
        <v>22.5</v>
      </c>
      <c r="AB3" s="228">
        <v>0.5</v>
      </c>
      <c r="AC3" s="229">
        <v>4.3E-3</v>
      </c>
      <c r="AD3" s="228">
        <v>23</v>
      </c>
      <c r="AE3" s="228">
        <v>22.5</v>
      </c>
      <c r="AF3" s="228">
        <v>0.5</v>
      </c>
      <c r="AG3" s="229">
        <v>4.3E-3</v>
      </c>
      <c r="AH3" s="228">
        <v>38.5</v>
      </c>
      <c r="AI3" s="228">
        <v>42.5</v>
      </c>
      <c r="AJ3" s="228">
        <v>-4</v>
      </c>
      <c r="AK3" s="229">
        <v>7.3000000000000001E-3</v>
      </c>
      <c r="AL3" s="228">
        <v>62</v>
      </c>
      <c r="AM3" s="228">
        <v>58.5</v>
      </c>
      <c r="AN3" s="228">
        <v>3.5</v>
      </c>
      <c r="AO3" s="229">
        <v>1.17E-2</v>
      </c>
      <c r="AP3" s="231">
        <v>5283.11</v>
      </c>
      <c r="AQ3" s="231">
        <v>5289.27</v>
      </c>
      <c r="AR3" s="228">
        <v>0</v>
      </c>
      <c r="AS3" s="228">
        <v>236</v>
      </c>
      <c r="AT3" s="228">
        <v>154</v>
      </c>
      <c r="AU3" s="228">
        <v>82</v>
      </c>
      <c r="AV3" s="229">
        <v>0.52869999999999995</v>
      </c>
      <c r="AW3" s="228">
        <v>218</v>
      </c>
      <c r="AX3" s="228">
        <v>147</v>
      </c>
      <c r="AY3" s="228">
        <v>71</v>
      </c>
      <c r="AZ3" s="229">
        <v>0.48170000000000002</v>
      </c>
      <c r="BA3" s="228">
        <v>16</v>
      </c>
      <c r="BB3" s="228">
        <v>7</v>
      </c>
      <c r="BC3" s="228">
        <v>10</v>
      </c>
      <c r="BD3" s="229">
        <v>1.4746999999999999</v>
      </c>
      <c r="BE3" s="228">
        <v>1</v>
      </c>
      <c r="BF3" s="228">
        <v>0</v>
      </c>
      <c r="BG3" s="228">
        <v>1</v>
      </c>
      <c r="BH3" s="229">
        <v>2</v>
      </c>
      <c r="BI3" s="230">
        <v>1029</v>
      </c>
      <c r="BJ3" s="228">
        <v>591</v>
      </c>
      <c r="BK3" s="228">
        <v>438</v>
      </c>
      <c r="BL3" s="229">
        <v>0.74050000000000005</v>
      </c>
      <c r="BM3" s="228">
        <v>227</v>
      </c>
      <c r="BN3" s="228">
        <v>118</v>
      </c>
      <c r="BO3" s="228">
        <v>109</v>
      </c>
      <c r="BP3" s="229">
        <v>0.91859999999999997</v>
      </c>
      <c r="BQ3" s="230">
        <v>1493</v>
      </c>
      <c r="BR3" s="228">
        <v>864</v>
      </c>
      <c r="BS3" s="228">
        <v>628</v>
      </c>
      <c r="BT3" s="229">
        <v>0.72709999999999997</v>
      </c>
      <c r="BU3" s="230">
        <v>126946</v>
      </c>
      <c r="BV3" s="230">
        <v>125865</v>
      </c>
      <c r="BW3" s="230">
        <v>1081</v>
      </c>
      <c r="BX3" s="229">
        <v>8.6E-3</v>
      </c>
      <c r="BY3" s="230">
        <v>1182</v>
      </c>
      <c r="BZ3" s="230">
        <v>1166</v>
      </c>
      <c r="CA3" s="228">
        <v>16</v>
      </c>
      <c r="CB3" s="229">
        <v>1.37E-2</v>
      </c>
      <c r="CC3" s="230">
        <v>1137</v>
      </c>
      <c r="CD3" s="230">
        <v>1126</v>
      </c>
      <c r="CE3" s="228">
        <v>11</v>
      </c>
      <c r="CF3" s="229">
        <v>0.01</v>
      </c>
      <c r="CG3" s="228">
        <v>42</v>
      </c>
      <c r="CH3" s="228">
        <v>38</v>
      </c>
      <c r="CI3" s="228">
        <v>4</v>
      </c>
      <c r="CJ3" s="229">
        <v>0.1038</v>
      </c>
      <c r="CK3" s="228">
        <v>3</v>
      </c>
      <c r="CL3" s="228">
        <v>2</v>
      </c>
      <c r="CM3" s="228">
        <v>1</v>
      </c>
      <c r="CN3" s="229">
        <v>0.34379999999999999</v>
      </c>
      <c r="CO3" s="228">
        <v>416</v>
      </c>
      <c r="CP3" s="228">
        <v>299</v>
      </c>
      <c r="CQ3" s="228">
        <v>117</v>
      </c>
      <c r="CR3" s="229">
        <v>0.39169999999999999</v>
      </c>
      <c r="CS3" s="228">
        <v>270</v>
      </c>
      <c r="CT3" s="228">
        <v>251</v>
      </c>
      <c r="CU3" s="228">
        <v>20</v>
      </c>
      <c r="CV3" s="229">
        <v>7.8299999999999995E-2</v>
      </c>
      <c r="CW3" s="230">
        <v>1869</v>
      </c>
      <c r="CX3" s="230">
        <v>1716</v>
      </c>
      <c r="CY3" s="228">
        <v>153</v>
      </c>
      <c r="CZ3" s="229">
        <v>8.8999999999999996E-2</v>
      </c>
      <c r="DA3" s="228">
        <v>23.51</v>
      </c>
      <c r="DB3" s="228">
        <v>21.92</v>
      </c>
      <c r="DC3" s="228">
        <v>1.59</v>
      </c>
      <c r="DD3" s="228">
        <v>1.59</v>
      </c>
      <c r="DE3" s="228">
        <v>33.520000000000003</v>
      </c>
      <c r="DF3" s="228">
        <v>33.549999999999997</v>
      </c>
      <c r="DG3" s="228">
        <v>-10.01</v>
      </c>
      <c r="DH3" s="228">
        <v>-0.03</v>
      </c>
      <c r="DI3" s="228">
        <v>23.46</v>
      </c>
      <c r="DJ3" s="228">
        <v>21.85</v>
      </c>
      <c r="DK3" s="228">
        <v>1.61</v>
      </c>
      <c r="DL3" s="228">
        <v>1.61</v>
      </c>
      <c r="DM3" s="228">
        <v>23.74</v>
      </c>
      <c r="DN3" s="228">
        <v>22.27</v>
      </c>
      <c r="DO3" s="228">
        <v>1.47</v>
      </c>
      <c r="DP3" s="228">
        <v>1.47</v>
      </c>
      <c r="DQ3" s="228">
        <v>0.65</v>
      </c>
      <c r="DR3" s="228">
        <v>0.84</v>
      </c>
      <c r="DS3" s="228">
        <v>-0.19</v>
      </c>
      <c r="DT3" s="229">
        <v>-0.22620000000000001</v>
      </c>
      <c r="DU3" s="231">
        <v>5300</v>
      </c>
      <c r="DV3" s="231">
        <v>5200</v>
      </c>
      <c r="DW3" s="228">
        <v>0.22</v>
      </c>
      <c r="DX3" s="228">
        <v>0.2</v>
      </c>
      <c r="DY3" s="228">
        <v>0.02</v>
      </c>
      <c r="DZ3" s="229">
        <v>0.1</v>
      </c>
      <c r="EA3" s="229">
        <v>3.8300000000000001E-2</v>
      </c>
      <c r="EB3" s="230">
        <v>76250</v>
      </c>
      <c r="EC3" s="229">
        <v>2.8999999999999998E-3</v>
      </c>
      <c r="ED3" s="229">
        <v>3.8300000000000001E-2</v>
      </c>
      <c r="EE3" s="228">
        <v>6.16</v>
      </c>
      <c r="EF3" s="229">
        <v>1.1999999999999999E-3</v>
      </c>
      <c r="EG3" s="230">
        <v>60160</v>
      </c>
      <c r="EH3" s="230">
        <v>57378</v>
      </c>
      <c r="EI3" s="229">
        <v>4.8500000000000001E-2</v>
      </c>
      <c r="EJ3" s="229">
        <v>0.47389999999999999</v>
      </c>
      <c r="EK3" s="231">
        <v>1061.6400000000001</v>
      </c>
      <c r="EL3" s="228">
        <v>221.56</v>
      </c>
      <c r="EM3" s="228">
        <v>234.33</v>
      </c>
      <c r="EN3" s="228">
        <v>18.7</v>
      </c>
      <c r="EO3" s="231">
        <v>1517.53</v>
      </c>
      <c r="EP3" s="228">
        <v>869.17</v>
      </c>
      <c r="EQ3" s="228">
        <v>648.36</v>
      </c>
      <c r="ER3" s="229">
        <v>0.74590000000000001</v>
      </c>
      <c r="ES3" s="228">
        <v>424.89</v>
      </c>
      <c r="ET3" s="228">
        <v>264.88</v>
      </c>
      <c r="EU3" s="231">
        <v>1182.56</v>
      </c>
      <c r="EV3" s="231">
        <v>7946564</v>
      </c>
      <c r="EW3" s="231">
        <v>1872.34</v>
      </c>
      <c r="EX3" s="231">
        <v>1698.77</v>
      </c>
      <c r="EY3" s="228">
        <v>173.57</v>
      </c>
      <c r="EZ3" s="229">
        <v>0.1022</v>
      </c>
      <c r="FA3" s="229">
        <v>0.442</v>
      </c>
      <c r="FB3" s="227" t="s">
        <v>555</v>
      </c>
      <c r="FC3">
        <f t="shared" ref="FC3:FC66" si="0">BY3-CC3</f>
        <v>45</v>
      </c>
    </row>
    <row r="4" spans="1:159" ht="17.25" thickBot="1" x14ac:dyDescent="0.3">
      <c r="A4" s="226">
        <v>46029</v>
      </c>
      <c r="B4" s="227" t="s">
        <v>175</v>
      </c>
      <c r="C4" s="227" t="s">
        <v>544</v>
      </c>
      <c r="D4" s="228">
        <v>3100</v>
      </c>
      <c r="E4" s="228">
        <v>20</v>
      </c>
      <c r="F4" s="228">
        <v>362.5</v>
      </c>
      <c r="G4" s="228">
        <v>361.65</v>
      </c>
      <c r="H4" s="228">
        <v>0.85</v>
      </c>
      <c r="I4" s="229">
        <v>2.3999999999999998E-3</v>
      </c>
      <c r="J4" s="228">
        <v>361.1</v>
      </c>
      <c r="K4" s="228">
        <v>360.65</v>
      </c>
      <c r="L4" s="228">
        <v>0.45</v>
      </c>
      <c r="M4" s="229">
        <v>1.1999999999999999E-3</v>
      </c>
      <c r="N4" s="228">
        <v>362.5</v>
      </c>
      <c r="O4" s="228">
        <v>361.65</v>
      </c>
      <c r="P4" s="228">
        <v>0.85</v>
      </c>
      <c r="Q4" s="229">
        <v>2.3999999999999998E-3</v>
      </c>
      <c r="R4" s="228">
        <v>364.55</v>
      </c>
      <c r="S4" s="228">
        <v>363.65</v>
      </c>
      <c r="T4" s="228">
        <v>0.9</v>
      </c>
      <c r="U4" s="229">
        <v>2.5000000000000001E-3</v>
      </c>
      <c r="V4" s="228">
        <v>367.5</v>
      </c>
      <c r="W4" s="228">
        <v>366.55</v>
      </c>
      <c r="X4" s="228">
        <v>0.95</v>
      </c>
      <c r="Y4" s="229">
        <v>2.5999999999999999E-3</v>
      </c>
      <c r="Z4" s="228">
        <v>1.4</v>
      </c>
      <c r="AA4" s="228">
        <v>1</v>
      </c>
      <c r="AB4" s="228">
        <v>0.4</v>
      </c>
      <c r="AC4" s="229">
        <v>3.8999999999999998E-3</v>
      </c>
      <c r="AD4" s="228">
        <v>1.4</v>
      </c>
      <c r="AE4" s="228">
        <v>1</v>
      </c>
      <c r="AF4" s="228">
        <v>0.4</v>
      </c>
      <c r="AG4" s="229">
        <v>3.8999999999999998E-3</v>
      </c>
      <c r="AH4" s="228">
        <v>3.45</v>
      </c>
      <c r="AI4" s="228">
        <v>3</v>
      </c>
      <c r="AJ4" s="228">
        <v>0.45</v>
      </c>
      <c r="AK4" s="229">
        <v>9.5999999999999992E-3</v>
      </c>
      <c r="AL4" s="228">
        <v>6.4</v>
      </c>
      <c r="AM4" s="228">
        <v>5.9</v>
      </c>
      <c r="AN4" s="228">
        <v>0.5</v>
      </c>
      <c r="AO4" s="229">
        <v>1.77E-2</v>
      </c>
      <c r="AP4" s="228">
        <v>361.11</v>
      </c>
      <c r="AQ4" s="228">
        <v>362.02</v>
      </c>
      <c r="AR4" s="228">
        <v>0</v>
      </c>
      <c r="AS4" s="228">
        <v>412</v>
      </c>
      <c r="AT4" s="228">
        <v>398</v>
      </c>
      <c r="AU4" s="228">
        <v>13</v>
      </c>
      <c r="AV4" s="229">
        <v>3.3599999999999998E-2</v>
      </c>
      <c r="AW4" s="228">
        <v>352</v>
      </c>
      <c r="AX4" s="228">
        <v>377</v>
      </c>
      <c r="AY4" s="228">
        <v>-25</v>
      </c>
      <c r="AZ4" s="229">
        <v>-6.6400000000000001E-2</v>
      </c>
      <c r="BA4" s="228">
        <v>42</v>
      </c>
      <c r="BB4" s="228">
        <v>19</v>
      </c>
      <c r="BC4" s="228">
        <v>23</v>
      </c>
      <c r="BD4" s="229">
        <v>1.1850000000000001</v>
      </c>
      <c r="BE4" s="228">
        <v>17</v>
      </c>
      <c r="BF4" s="228">
        <v>1</v>
      </c>
      <c r="BG4" s="228">
        <v>15</v>
      </c>
      <c r="BH4" s="229">
        <v>12.454499999999999</v>
      </c>
      <c r="BI4" s="230">
        <v>1091</v>
      </c>
      <c r="BJ4" s="230">
        <v>1472</v>
      </c>
      <c r="BK4" s="228">
        <v>-381</v>
      </c>
      <c r="BL4" s="229">
        <v>-0.25890000000000002</v>
      </c>
      <c r="BM4" s="228">
        <v>361</v>
      </c>
      <c r="BN4" s="228">
        <v>391</v>
      </c>
      <c r="BO4" s="228">
        <v>-30</v>
      </c>
      <c r="BP4" s="229">
        <v>-7.6499999999999999E-2</v>
      </c>
      <c r="BQ4" s="230">
        <v>1863</v>
      </c>
      <c r="BR4" s="230">
        <v>2261</v>
      </c>
      <c r="BS4" s="228">
        <v>-397</v>
      </c>
      <c r="BT4" s="229">
        <v>-0.17580000000000001</v>
      </c>
      <c r="BU4" s="230">
        <v>2984788</v>
      </c>
      <c r="BV4" s="230">
        <v>3615625</v>
      </c>
      <c r="BW4" s="230">
        <v>-630837</v>
      </c>
      <c r="BX4" s="229">
        <v>-0.17449999999999999</v>
      </c>
      <c r="BY4" s="230">
        <v>2898</v>
      </c>
      <c r="BZ4" s="230">
        <v>2856</v>
      </c>
      <c r="CA4" s="228">
        <v>41</v>
      </c>
      <c r="CB4" s="229">
        <v>1.4500000000000001E-2</v>
      </c>
      <c r="CC4" s="230">
        <v>2837</v>
      </c>
      <c r="CD4" s="230">
        <v>2816</v>
      </c>
      <c r="CE4" s="228">
        <v>20</v>
      </c>
      <c r="CF4" s="229">
        <v>7.3000000000000001E-3</v>
      </c>
      <c r="CG4" s="228">
        <v>45</v>
      </c>
      <c r="CH4" s="228">
        <v>36</v>
      </c>
      <c r="CI4" s="228">
        <v>9</v>
      </c>
      <c r="CJ4" s="229">
        <v>0.25309999999999999</v>
      </c>
      <c r="CK4" s="228">
        <v>16</v>
      </c>
      <c r="CL4" s="228">
        <v>4</v>
      </c>
      <c r="CM4" s="228">
        <v>12</v>
      </c>
      <c r="CN4" s="229">
        <v>3.1175999999999999</v>
      </c>
      <c r="CO4" s="228">
        <v>883</v>
      </c>
      <c r="CP4" s="228">
        <v>904</v>
      </c>
      <c r="CQ4" s="228">
        <v>-21</v>
      </c>
      <c r="CR4" s="229">
        <v>-2.3599999999999999E-2</v>
      </c>
      <c r="CS4" s="228">
        <v>402</v>
      </c>
      <c r="CT4" s="228">
        <v>386</v>
      </c>
      <c r="CU4" s="228">
        <v>17</v>
      </c>
      <c r="CV4" s="229">
        <v>4.2799999999999998E-2</v>
      </c>
      <c r="CW4" s="230">
        <v>4183</v>
      </c>
      <c r="CX4" s="230">
        <v>4146</v>
      </c>
      <c r="CY4" s="228">
        <v>37</v>
      </c>
      <c r="CZ4" s="229">
        <v>8.8000000000000005E-3</v>
      </c>
      <c r="DA4" s="228">
        <v>28.73</v>
      </c>
      <c r="DB4" s="228">
        <v>29.73</v>
      </c>
      <c r="DC4" s="228">
        <v>-1</v>
      </c>
      <c r="DD4" s="228">
        <v>-1</v>
      </c>
      <c r="DE4" s="228">
        <v>37.9</v>
      </c>
      <c r="DF4" s="228">
        <v>38</v>
      </c>
      <c r="DG4" s="228">
        <v>-9.17</v>
      </c>
      <c r="DH4" s="228">
        <v>-0.1</v>
      </c>
      <c r="DI4" s="228">
        <v>28.83</v>
      </c>
      <c r="DJ4" s="228">
        <v>29.99</v>
      </c>
      <c r="DK4" s="228">
        <v>-1.1599999999999999</v>
      </c>
      <c r="DL4" s="228">
        <v>-1.1599999999999999</v>
      </c>
      <c r="DM4" s="228">
        <v>28.42</v>
      </c>
      <c r="DN4" s="228">
        <v>28.74</v>
      </c>
      <c r="DO4" s="228">
        <v>-0.32</v>
      </c>
      <c r="DP4" s="228">
        <v>-0.32</v>
      </c>
      <c r="DQ4" s="228">
        <v>0.46</v>
      </c>
      <c r="DR4" s="228">
        <v>0.43</v>
      </c>
      <c r="DS4" s="228">
        <v>0.03</v>
      </c>
      <c r="DT4" s="229">
        <v>6.9800000000000001E-2</v>
      </c>
      <c r="DU4" s="228">
        <v>385</v>
      </c>
      <c r="DV4" s="228">
        <v>350</v>
      </c>
      <c r="DW4" s="228">
        <v>0.33</v>
      </c>
      <c r="DX4" s="228">
        <v>0.27</v>
      </c>
      <c r="DY4" s="228">
        <v>0.06</v>
      </c>
      <c r="DZ4" s="229">
        <v>0.22220000000000001</v>
      </c>
      <c r="EA4" s="229">
        <v>2.1000000000000001E-2</v>
      </c>
      <c r="EB4" s="230">
        <v>1097400</v>
      </c>
      <c r="EC4" s="229">
        <v>5.7000000000000002E-3</v>
      </c>
      <c r="ED4" s="229">
        <v>2.1000000000000001E-2</v>
      </c>
      <c r="EE4" s="228">
        <v>0.91</v>
      </c>
      <c r="EF4" s="229">
        <v>2.5000000000000001E-3</v>
      </c>
      <c r="EG4" s="230">
        <v>1160499</v>
      </c>
      <c r="EH4" s="230">
        <v>1434119</v>
      </c>
      <c r="EI4" s="229">
        <v>-0.1908</v>
      </c>
      <c r="EJ4" s="229">
        <v>0.38879999999999998</v>
      </c>
      <c r="EK4" s="231">
        <v>1144.97</v>
      </c>
      <c r="EL4" s="228">
        <v>354.18</v>
      </c>
      <c r="EM4" s="228">
        <v>410.16</v>
      </c>
      <c r="EN4" s="228">
        <v>34.96</v>
      </c>
      <c r="EO4" s="231">
        <v>1909.31</v>
      </c>
      <c r="EP4" s="231">
        <v>2350.21</v>
      </c>
      <c r="EQ4" s="228">
        <v>-440.9</v>
      </c>
      <c r="ER4" s="229">
        <v>-0.18759999999999999</v>
      </c>
      <c r="ES4" s="228">
        <v>914.92</v>
      </c>
      <c r="ET4" s="228">
        <v>383.78</v>
      </c>
      <c r="EU4" s="231">
        <v>2898.06</v>
      </c>
      <c r="EV4" s="231">
        <v>122657000</v>
      </c>
      <c r="EW4" s="231">
        <v>4196.76</v>
      </c>
      <c r="EX4" s="231">
        <v>4154.84</v>
      </c>
      <c r="EY4" s="228">
        <v>41.92</v>
      </c>
      <c r="EZ4" s="229">
        <v>1.01E-2</v>
      </c>
      <c r="FA4" s="229">
        <v>0.94069999999999998</v>
      </c>
      <c r="FB4" s="227" t="s">
        <v>555</v>
      </c>
      <c r="FC4">
        <f t="shared" si="0"/>
        <v>61</v>
      </c>
    </row>
    <row r="5" spans="1:159" ht="17.25" thickBot="1" x14ac:dyDescent="0.3">
      <c r="A5" s="226">
        <v>46029</v>
      </c>
      <c r="B5" s="227" t="s">
        <v>161</v>
      </c>
      <c r="C5" s="227" t="s">
        <v>579</v>
      </c>
      <c r="D5" s="228">
        <v>675</v>
      </c>
      <c r="E5" s="228">
        <v>20</v>
      </c>
      <c r="F5" s="231">
        <v>1035.3</v>
      </c>
      <c r="G5" s="231">
        <v>1046.5</v>
      </c>
      <c r="H5" s="228">
        <v>-11.2</v>
      </c>
      <c r="I5" s="229">
        <v>-1.0699999999999999E-2</v>
      </c>
      <c r="J5" s="231">
        <v>1033.5</v>
      </c>
      <c r="K5" s="231">
        <v>1044.0999999999999</v>
      </c>
      <c r="L5" s="228">
        <v>-10.6</v>
      </c>
      <c r="M5" s="229">
        <v>-1.0200000000000001E-2</v>
      </c>
      <c r="N5" s="231">
        <v>1035.3</v>
      </c>
      <c r="O5" s="231">
        <v>1046.5</v>
      </c>
      <c r="P5" s="228">
        <v>-11.2</v>
      </c>
      <c r="Q5" s="229">
        <v>-1.0699999999999999E-2</v>
      </c>
      <c r="R5" s="231">
        <v>1040.2</v>
      </c>
      <c r="S5" s="231">
        <v>1052.5999999999999</v>
      </c>
      <c r="T5" s="228">
        <v>-12.4</v>
      </c>
      <c r="U5" s="229">
        <v>-1.18E-2</v>
      </c>
      <c r="V5" s="231">
        <v>1056.9000000000001</v>
      </c>
      <c r="W5" s="231">
        <v>1059.2</v>
      </c>
      <c r="X5" s="228">
        <v>-2.2999999999999998</v>
      </c>
      <c r="Y5" s="229">
        <v>-2.2000000000000001E-3</v>
      </c>
      <c r="Z5" s="228">
        <v>1.8</v>
      </c>
      <c r="AA5" s="228">
        <v>2.4</v>
      </c>
      <c r="AB5" s="228">
        <v>-0.6</v>
      </c>
      <c r="AC5" s="229">
        <v>1.6999999999999999E-3</v>
      </c>
      <c r="AD5" s="228">
        <v>1.8</v>
      </c>
      <c r="AE5" s="228">
        <v>2.4</v>
      </c>
      <c r="AF5" s="228">
        <v>-0.6</v>
      </c>
      <c r="AG5" s="229">
        <v>1.6999999999999999E-3</v>
      </c>
      <c r="AH5" s="228">
        <v>6.7</v>
      </c>
      <c r="AI5" s="228">
        <v>8.5</v>
      </c>
      <c r="AJ5" s="228">
        <v>-1.8</v>
      </c>
      <c r="AK5" s="229">
        <v>6.4999999999999997E-3</v>
      </c>
      <c r="AL5" s="228">
        <v>23.4</v>
      </c>
      <c r="AM5" s="228">
        <v>15.1</v>
      </c>
      <c r="AN5" s="228">
        <v>8.3000000000000007</v>
      </c>
      <c r="AO5" s="229">
        <v>2.2599999999999999E-2</v>
      </c>
      <c r="AP5" s="231">
        <v>1038.8499999999999</v>
      </c>
      <c r="AQ5" s="231">
        <v>1046.98</v>
      </c>
      <c r="AR5" s="228">
        <v>0</v>
      </c>
      <c r="AS5" s="228">
        <v>90</v>
      </c>
      <c r="AT5" s="228">
        <v>151</v>
      </c>
      <c r="AU5" s="228">
        <v>-61</v>
      </c>
      <c r="AV5" s="229">
        <v>-0.40529999999999999</v>
      </c>
      <c r="AW5" s="228">
        <v>86</v>
      </c>
      <c r="AX5" s="228">
        <v>146</v>
      </c>
      <c r="AY5" s="228">
        <v>-60</v>
      </c>
      <c r="AZ5" s="229">
        <v>-0.41220000000000001</v>
      </c>
      <c r="BA5" s="228">
        <v>3</v>
      </c>
      <c r="BB5" s="228">
        <v>4</v>
      </c>
      <c r="BC5" s="228">
        <v>-1</v>
      </c>
      <c r="BD5" s="229">
        <v>-0.19639999999999999</v>
      </c>
      <c r="BE5" s="228">
        <v>0</v>
      </c>
      <c r="BF5" s="228">
        <v>0</v>
      </c>
      <c r="BG5" s="228">
        <v>0</v>
      </c>
      <c r="BH5" s="229">
        <v>0</v>
      </c>
      <c r="BI5" s="228">
        <v>247</v>
      </c>
      <c r="BJ5" s="228">
        <v>242</v>
      </c>
      <c r="BK5" s="228">
        <v>5</v>
      </c>
      <c r="BL5" s="229">
        <v>1.9900000000000001E-2</v>
      </c>
      <c r="BM5" s="228">
        <v>58</v>
      </c>
      <c r="BN5" s="228">
        <v>133</v>
      </c>
      <c r="BO5" s="228">
        <v>-75</v>
      </c>
      <c r="BP5" s="229">
        <v>-0.56410000000000005</v>
      </c>
      <c r="BQ5" s="228">
        <v>394</v>
      </c>
      <c r="BR5" s="228">
        <v>525</v>
      </c>
      <c r="BS5" s="228">
        <v>-131</v>
      </c>
      <c r="BT5" s="229">
        <v>-0.24959999999999999</v>
      </c>
      <c r="BU5" s="230">
        <v>514748</v>
      </c>
      <c r="BV5" s="230">
        <v>983385</v>
      </c>
      <c r="BW5" s="230">
        <v>-468637</v>
      </c>
      <c r="BX5" s="229">
        <v>-0.47660000000000002</v>
      </c>
      <c r="BY5" s="230">
        <v>1777</v>
      </c>
      <c r="BZ5" s="230">
        <v>1783</v>
      </c>
      <c r="CA5" s="228">
        <v>-6</v>
      </c>
      <c r="CB5" s="229">
        <v>-3.3999999999999998E-3</v>
      </c>
      <c r="CC5" s="230">
        <v>1758</v>
      </c>
      <c r="CD5" s="230">
        <v>1766</v>
      </c>
      <c r="CE5" s="228">
        <v>-7</v>
      </c>
      <c r="CF5" s="229">
        <v>-4.1000000000000003E-3</v>
      </c>
      <c r="CG5" s="228">
        <v>14</v>
      </c>
      <c r="CH5" s="228">
        <v>13</v>
      </c>
      <c r="CI5" s="228">
        <v>1</v>
      </c>
      <c r="CJ5" s="229">
        <v>6.7400000000000002E-2</v>
      </c>
      <c r="CK5" s="228">
        <v>4</v>
      </c>
      <c r="CL5" s="228">
        <v>3</v>
      </c>
      <c r="CM5" s="228">
        <v>0</v>
      </c>
      <c r="CN5" s="229">
        <v>0.1</v>
      </c>
      <c r="CO5" s="228">
        <v>373</v>
      </c>
      <c r="CP5" s="228">
        <v>364</v>
      </c>
      <c r="CQ5" s="228">
        <v>9</v>
      </c>
      <c r="CR5" s="229">
        <v>2.46E-2</v>
      </c>
      <c r="CS5" s="228">
        <v>217</v>
      </c>
      <c r="CT5" s="228">
        <v>215</v>
      </c>
      <c r="CU5" s="228">
        <v>2</v>
      </c>
      <c r="CV5" s="229">
        <v>1.11E-2</v>
      </c>
      <c r="CW5" s="230">
        <v>2367</v>
      </c>
      <c r="CX5" s="230">
        <v>2362</v>
      </c>
      <c r="CY5" s="228">
        <v>5</v>
      </c>
      <c r="CZ5" s="229">
        <v>2.2000000000000001E-3</v>
      </c>
      <c r="DA5" s="228">
        <v>30.94</v>
      </c>
      <c r="DB5" s="228">
        <v>31.31</v>
      </c>
      <c r="DC5" s="228">
        <v>-0.37</v>
      </c>
      <c r="DD5" s="228">
        <v>-0.37</v>
      </c>
      <c r="DE5" s="228">
        <v>50.59</v>
      </c>
      <c r="DF5" s="228">
        <v>50.7</v>
      </c>
      <c r="DG5" s="228">
        <v>-19.649999999999999</v>
      </c>
      <c r="DH5" s="228">
        <v>-0.11</v>
      </c>
      <c r="DI5" s="228">
        <v>30.97</v>
      </c>
      <c r="DJ5" s="228">
        <v>31.29</v>
      </c>
      <c r="DK5" s="228">
        <v>-0.32</v>
      </c>
      <c r="DL5" s="228">
        <v>-0.32</v>
      </c>
      <c r="DM5" s="228">
        <v>30.82</v>
      </c>
      <c r="DN5" s="228">
        <v>31.37</v>
      </c>
      <c r="DO5" s="228">
        <v>-0.55000000000000004</v>
      </c>
      <c r="DP5" s="228">
        <v>-0.55000000000000004</v>
      </c>
      <c r="DQ5" s="228">
        <v>0.57999999999999996</v>
      </c>
      <c r="DR5" s="228">
        <v>0.59</v>
      </c>
      <c r="DS5" s="228">
        <v>-0.01</v>
      </c>
      <c r="DT5" s="229">
        <v>-1.6899999999999998E-2</v>
      </c>
      <c r="DU5" s="231">
        <v>1100</v>
      </c>
      <c r="DV5" s="228">
        <v>980</v>
      </c>
      <c r="DW5" s="228">
        <v>0.23</v>
      </c>
      <c r="DX5" s="228">
        <v>0.55000000000000004</v>
      </c>
      <c r="DY5" s="228">
        <v>-0.32</v>
      </c>
      <c r="DZ5" s="229">
        <v>-0.58179999999999998</v>
      </c>
      <c r="EA5" s="229">
        <v>1.03E-2</v>
      </c>
      <c r="EB5" s="230">
        <v>164025</v>
      </c>
      <c r="EC5" s="229">
        <v>4.7000000000000002E-3</v>
      </c>
      <c r="ED5" s="229">
        <v>1.03E-2</v>
      </c>
      <c r="EE5" s="228">
        <v>8.1300000000000008</v>
      </c>
      <c r="EF5" s="229">
        <v>7.7999999999999996E-3</v>
      </c>
      <c r="EG5" s="230">
        <v>221299</v>
      </c>
      <c r="EH5" s="230">
        <v>446407</v>
      </c>
      <c r="EI5" s="229">
        <v>-0.50429999999999997</v>
      </c>
      <c r="EJ5" s="229">
        <v>0.4299</v>
      </c>
      <c r="EK5" s="228">
        <v>262.05</v>
      </c>
      <c r="EL5" s="228">
        <v>57.9</v>
      </c>
      <c r="EM5" s="228">
        <v>89.86</v>
      </c>
      <c r="EN5" s="228">
        <v>30.65</v>
      </c>
      <c r="EO5" s="228">
        <v>409.82</v>
      </c>
      <c r="EP5" s="228">
        <v>543.14</v>
      </c>
      <c r="EQ5" s="228">
        <v>-133.33000000000001</v>
      </c>
      <c r="ER5" s="229">
        <v>-0.2455</v>
      </c>
      <c r="ES5" s="228">
        <v>390.5</v>
      </c>
      <c r="ET5" s="228">
        <v>208.74</v>
      </c>
      <c r="EU5" s="231">
        <v>1776.78</v>
      </c>
      <c r="EV5" s="231">
        <v>43791427</v>
      </c>
      <c r="EW5" s="231">
        <v>2376.02</v>
      </c>
      <c r="EX5" s="231">
        <v>2389.37</v>
      </c>
      <c r="EY5" s="228">
        <v>-13.35</v>
      </c>
      <c r="EZ5" s="229">
        <v>-5.5999999999999999E-3</v>
      </c>
      <c r="FA5" s="229">
        <v>0.52210000000000001</v>
      </c>
      <c r="FB5" s="227" t="s">
        <v>568</v>
      </c>
      <c r="FC5">
        <f t="shared" si="0"/>
        <v>19</v>
      </c>
    </row>
    <row r="6" spans="1:159" ht="17.25" thickBot="1" x14ac:dyDescent="0.3">
      <c r="A6" s="226">
        <v>46029</v>
      </c>
      <c r="B6" s="227" t="s">
        <v>215</v>
      </c>
      <c r="C6" s="227" t="s">
        <v>159</v>
      </c>
      <c r="D6" s="228">
        <v>309</v>
      </c>
      <c r="E6" s="228">
        <v>20</v>
      </c>
      <c r="F6" s="231">
        <v>2284.1</v>
      </c>
      <c r="G6" s="231">
        <v>2270.5</v>
      </c>
      <c r="H6" s="228">
        <v>13.6</v>
      </c>
      <c r="I6" s="229">
        <v>6.0000000000000001E-3</v>
      </c>
      <c r="J6" s="231">
        <v>2274.1</v>
      </c>
      <c r="K6" s="231">
        <v>2259.1</v>
      </c>
      <c r="L6" s="228">
        <v>15</v>
      </c>
      <c r="M6" s="229">
        <v>6.6E-3</v>
      </c>
      <c r="N6" s="231">
        <v>2284.1</v>
      </c>
      <c r="O6" s="231">
        <v>2270.5</v>
      </c>
      <c r="P6" s="228">
        <v>13.6</v>
      </c>
      <c r="Q6" s="229">
        <v>6.0000000000000001E-3</v>
      </c>
      <c r="R6" s="231">
        <v>2287.5</v>
      </c>
      <c r="S6" s="231">
        <v>2276.9</v>
      </c>
      <c r="T6" s="228">
        <v>10.6</v>
      </c>
      <c r="U6" s="229">
        <v>4.7000000000000002E-3</v>
      </c>
      <c r="V6" s="231">
        <v>2298.4</v>
      </c>
      <c r="W6" s="231">
        <v>2286.6</v>
      </c>
      <c r="X6" s="228">
        <v>11.8</v>
      </c>
      <c r="Y6" s="229">
        <v>5.1999999999999998E-3</v>
      </c>
      <c r="Z6" s="228">
        <v>10</v>
      </c>
      <c r="AA6" s="228">
        <v>11.4</v>
      </c>
      <c r="AB6" s="228">
        <v>-1.4</v>
      </c>
      <c r="AC6" s="229">
        <v>4.4000000000000003E-3</v>
      </c>
      <c r="AD6" s="228">
        <v>10</v>
      </c>
      <c r="AE6" s="228">
        <v>11.4</v>
      </c>
      <c r="AF6" s="228">
        <v>-1.4</v>
      </c>
      <c r="AG6" s="229">
        <v>4.4000000000000003E-3</v>
      </c>
      <c r="AH6" s="228">
        <v>13.4</v>
      </c>
      <c r="AI6" s="228">
        <v>17.8</v>
      </c>
      <c r="AJ6" s="228">
        <v>-4.4000000000000004</v>
      </c>
      <c r="AK6" s="229">
        <v>5.8999999999999999E-3</v>
      </c>
      <c r="AL6" s="228">
        <v>24.3</v>
      </c>
      <c r="AM6" s="228">
        <v>27.5</v>
      </c>
      <c r="AN6" s="228">
        <v>-3.2</v>
      </c>
      <c r="AO6" s="229">
        <v>1.0699999999999999E-2</v>
      </c>
      <c r="AP6" s="231">
        <v>2276.9</v>
      </c>
      <c r="AQ6" s="231">
        <v>2278.98</v>
      </c>
      <c r="AR6" s="228">
        <v>0</v>
      </c>
      <c r="AS6" s="228">
        <v>396</v>
      </c>
      <c r="AT6" s="228">
        <v>362</v>
      </c>
      <c r="AU6" s="228">
        <v>34</v>
      </c>
      <c r="AV6" s="229">
        <v>9.4799999999999995E-2</v>
      </c>
      <c r="AW6" s="228">
        <v>350</v>
      </c>
      <c r="AX6" s="228">
        <v>308</v>
      </c>
      <c r="AY6" s="228">
        <v>42</v>
      </c>
      <c r="AZ6" s="229">
        <v>0.13500000000000001</v>
      </c>
      <c r="BA6" s="228">
        <v>38</v>
      </c>
      <c r="BB6" s="228">
        <v>49</v>
      </c>
      <c r="BC6" s="228">
        <v>-11</v>
      </c>
      <c r="BD6" s="229">
        <v>-0.21590000000000001</v>
      </c>
      <c r="BE6" s="228">
        <v>8</v>
      </c>
      <c r="BF6" s="228">
        <v>5</v>
      </c>
      <c r="BG6" s="228">
        <v>3</v>
      </c>
      <c r="BH6" s="229">
        <v>0.65710000000000002</v>
      </c>
      <c r="BI6" s="230">
        <v>1319</v>
      </c>
      <c r="BJ6" s="230">
        <v>1106</v>
      </c>
      <c r="BK6" s="228">
        <v>213</v>
      </c>
      <c r="BL6" s="229">
        <v>0.1925</v>
      </c>
      <c r="BM6" s="228">
        <v>546</v>
      </c>
      <c r="BN6" s="228">
        <v>831</v>
      </c>
      <c r="BO6" s="228">
        <v>-286</v>
      </c>
      <c r="BP6" s="229">
        <v>-0.34350000000000003</v>
      </c>
      <c r="BQ6" s="230">
        <v>2260</v>
      </c>
      <c r="BR6" s="230">
        <v>2299</v>
      </c>
      <c r="BS6" s="228">
        <v>-38</v>
      </c>
      <c r="BT6" s="229">
        <v>-1.67E-2</v>
      </c>
      <c r="BU6" s="230">
        <v>548753</v>
      </c>
      <c r="BV6" s="230">
        <v>719517</v>
      </c>
      <c r="BW6" s="230">
        <v>-170764</v>
      </c>
      <c r="BX6" s="229">
        <v>-0.23730000000000001</v>
      </c>
      <c r="BY6" s="230">
        <v>4871</v>
      </c>
      <c r="BZ6" s="230">
        <v>4868</v>
      </c>
      <c r="CA6" s="228">
        <v>4</v>
      </c>
      <c r="CB6" s="229">
        <v>8.0000000000000004E-4</v>
      </c>
      <c r="CC6" s="230">
        <v>4640</v>
      </c>
      <c r="CD6" s="230">
        <v>4650</v>
      </c>
      <c r="CE6" s="228">
        <v>-9</v>
      </c>
      <c r="CF6" s="229">
        <v>-2E-3</v>
      </c>
      <c r="CG6" s="228">
        <v>214</v>
      </c>
      <c r="CH6" s="228">
        <v>207</v>
      </c>
      <c r="CI6" s="228">
        <v>7</v>
      </c>
      <c r="CJ6" s="229">
        <v>3.5099999999999999E-2</v>
      </c>
      <c r="CK6" s="228">
        <v>16</v>
      </c>
      <c r="CL6" s="228">
        <v>11</v>
      </c>
      <c r="CM6" s="228">
        <v>6</v>
      </c>
      <c r="CN6" s="229">
        <v>0.52980000000000005</v>
      </c>
      <c r="CO6" s="230">
        <v>1598</v>
      </c>
      <c r="CP6" s="230">
        <v>1539</v>
      </c>
      <c r="CQ6" s="228">
        <v>59</v>
      </c>
      <c r="CR6" s="229">
        <v>3.8699999999999998E-2</v>
      </c>
      <c r="CS6" s="230">
        <v>1351</v>
      </c>
      <c r="CT6" s="230">
        <v>1329</v>
      </c>
      <c r="CU6" s="228">
        <v>22</v>
      </c>
      <c r="CV6" s="229">
        <v>1.6500000000000001E-2</v>
      </c>
      <c r="CW6" s="230">
        <v>7821</v>
      </c>
      <c r="CX6" s="230">
        <v>7736</v>
      </c>
      <c r="CY6" s="228">
        <v>85</v>
      </c>
      <c r="CZ6" s="229">
        <v>1.0999999999999999E-2</v>
      </c>
      <c r="DA6" s="228">
        <v>25.06</v>
      </c>
      <c r="DB6" s="228">
        <v>25.97</v>
      </c>
      <c r="DC6" s="228">
        <v>-0.91</v>
      </c>
      <c r="DD6" s="228">
        <v>-0.91</v>
      </c>
      <c r="DE6" s="228">
        <v>45.25</v>
      </c>
      <c r="DF6" s="228">
        <v>45.35</v>
      </c>
      <c r="DG6" s="228">
        <v>-20.190000000000001</v>
      </c>
      <c r="DH6" s="228">
        <v>-0.1</v>
      </c>
      <c r="DI6" s="228">
        <v>24.9</v>
      </c>
      <c r="DJ6" s="228">
        <v>25.83</v>
      </c>
      <c r="DK6" s="228">
        <v>-0.93</v>
      </c>
      <c r="DL6" s="228">
        <v>-0.93</v>
      </c>
      <c r="DM6" s="228">
        <v>25.46</v>
      </c>
      <c r="DN6" s="228">
        <v>26.16</v>
      </c>
      <c r="DO6" s="228">
        <v>-0.7</v>
      </c>
      <c r="DP6" s="228">
        <v>-0.7</v>
      </c>
      <c r="DQ6" s="228">
        <v>0.85</v>
      </c>
      <c r="DR6" s="228">
        <v>0.86</v>
      </c>
      <c r="DS6" s="228">
        <v>-0.01</v>
      </c>
      <c r="DT6" s="229">
        <v>-1.1599999999999999E-2</v>
      </c>
      <c r="DU6" s="231">
        <v>2300</v>
      </c>
      <c r="DV6" s="231">
        <v>2200</v>
      </c>
      <c r="DW6" s="228">
        <v>0.41</v>
      </c>
      <c r="DX6" s="228">
        <v>0.75</v>
      </c>
      <c r="DY6" s="228">
        <v>-0.34</v>
      </c>
      <c r="DZ6" s="229">
        <v>-0.45329999999999998</v>
      </c>
      <c r="EA6" s="229">
        <v>4.7399999999999998E-2</v>
      </c>
      <c r="EB6" s="230">
        <v>953883</v>
      </c>
      <c r="EC6" s="229">
        <v>1.5E-3</v>
      </c>
      <c r="ED6" s="229">
        <v>4.7399999999999998E-2</v>
      </c>
      <c r="EE6" s="228">
        <v>2.08</v>
      </c>
      <c r="EF6" s="229">
        <v>8.9999999999999998E-4</v>
      </c>
      <c r="EG6" s="230">
        <v>166487</v>
      </c>
      <c r="EH6" s="230">
        <v>302488</v>
      </c>
      <c r="EI6" s="229">
        <v>-0.4496</v>
      </c>
      <c r="EJ6" s="229">
        <v>0.3034</v>
      </c>
      <c r="EK6" s="231">
        <v>1363.28</v>
      </c>
      <c r="EL6" s="228">
        <v>539.9</v>
      </c>
      <c r="EM6" s="228">
        <v>394.77</v>
      </c>
      <c r="EN6" s="228">
        <v>67.75</v>
      </c>
      <c r="EO6" s="231">
        <v>2297.96</v>
      </c>
      <c r="EP6" s="231">
        <v>2331.59</v>
      </c>
      <c r="EQ6" s="228">
        <v>-33.64</v>
      </c>
      <c r="ER6" s="229">
        <v>-1.44E-2</v>
      </c>
      <c r="ES6" s="231">
        <v>1633.28</v>
      </c>
      <c r="ET6" s="231">
        <v>1327.61</v>
      </c>
      <c r="EU6" s="231">
        <v>4871.6899999999996</v>
      </c>
      <c r="EV6" s="231">
        <v>49117354</v>
      </c>
      <c r="EW6" s="231">
        <v>7832.59</v>
      </c>
      <c r="EX6" s="231">
        <v>7717.89</v>
      </c>
      <c r="EY6" s="228">
        <v>114.7</v>
      </c>
      <c r="EZ6" s="229">
        <v>1.49E-2</v>
      </c>
      <c r="FA6" s="229">
        <v>0.69710000000000005</v>
      </c>
      <c r="FB6" s="227" t="s">
        <v>555</v>
      </c>
      <c r="FC6">
        <f t="shared" si="0"/>
        <v>231</v>
      </c>
    </row>
    <row r="7" spans="1:159" ht="17.25" thickBot="1" x14ac:dyDescent="0.3">
      <c r="A7" s="226">
        <v>46029</v>
      </c>
      <c r="B7" s="227" t="s">
        <v>161</v>
      </c>
      <c r="C7" s="227" t="s">
        <v>606</v>
      </c>
      <c r="D7" s="228">
        <v>600</v>
      </c>
      <c r="E7" s="228">
        <v>20</v>
      </c>
      <c r="F7" s="231">
        <v>1022.1</v>
      </c>
      <c r="G7" s="231">
        <v>1025.3</v>
      </c>
      <c r="H7" s="228">
        <v>-3.2</v>
      </c>
      <c r="I7" s="229">
        <v>-3.0999999999999999E-3</v>
      </c>
      <c r="J7" s="231">
        <v>1019.2</v>
      </c>
      <c r="K7" s="231">
        <v>1019.4</v>
      </c>
      <c r="L7" s="228">
        <v>-0.2</v>
      </c>
      <c r="M7" s="229">
        <v>-2.0000000000000001E-4</v>
      </c>
      <c r="N7" s="231">
        <v>1022.1</v>
      </c>
      <c r="O7" s="231">
        <v>1025.3</v>
      </c>
      <c r="P7" s="228">
        <v>-3.2</v>
      </c>
      <c r="Q7" s="229">
        <v>-3.0999999999999999E-3</v>
      </c>
      <c r="R7" s="231">
        <v>1028.8</v>
      </c>
      <c r="S7" s="231">
        <v>1030.5</v>
      </c>
      <c r="T7" s="228">
        <v>-1.7</v>
      </c>
      <c r="U7" s="229">
        <v>-1.6000000000000001E-3</v>
      </c>
      <c r="V7" s="231">
        <v>1037.8</v>
      </c>
      <c r="W7" s="231">
        <v>1037.2</v>
      </c>
      <c r="X7" s="228">
        <v>0.6</v>
      </c>
      <c r="Y7" s="229">
        <v>5.9999999999999995E-4</v>
      </c>
      <c r="Z7" s="228">
        <v>2.9</v>
      </c>
      <c r="AA7" s="228">
        <v>5.9</v>
      </c>
      <c r="AB7" s="228">
        <v>-3</v>
      </c>
      <c r="AC7" s="229">
        <v>2.8E-3</v>
      </c>
      <c r="AD7" s="228">
        <v>2.9</v>
      </c>
      <c r="AE7" s="228">
        <v>5.9</v>
      </c>
      <c r="AF7" s="228">
        <v>-3</v>
      </c>
      <c r="AG7" s="229">
        <v>2.8E-3</v>
      </c>
      <c r="AH7" s="228">
        <v>9.6</v>
      </c>
      <c r="AI7" s="228">
        <v>11.1</v>
      </c>
      <c r="AJ7" s="228">
        <v>-1.5</v>
      </c>
      <c r="AK7" s="229">
        <v>9.4000000000000004E-3</v>
      </c>
      <c r="AL7" s="228">
        <v>18.600000000000001</v>
      </c>
      <c r="AM7" s="228">
        <v>17.8</v>
      </c>
      <c r="AN7" s="228">
        <v>0.8</v>
      </c>
      <c r="AO7" s="229">
        <v>1.8200000000000001E-2</v>
      </c>
      <c r="AP7" s="231">
        <v>1021.02</v>
      </c>
      <c r="AQ7" s="231">
        <v>1027.04</v>
      </c>
      <c r="AR7" s="228">
        <v>0</v>
      </c>
      <c r="AS7" s="228">
        <v>126</v>
      </c>
      <c r="AT7" s="228">
        <v>207</v>
      </c>
      <c r="AU7" s="228">
        <v>-81</v>
      </c>
      <c r="AV7" s="229">
        <v>-0.39290000000000003</v>
      </c>
      <c r="AW7" s="228">
        <v>115</v>
      </c>
      <c r="AX7" s="228">
        <v>197</v>
      </c>
      <c r="AY7" s="228">
        <v>-82</v>
      </c>
      <c r="AZ7" s="229">
        <v>-0.41589999999999999</v>
      </c>
      <c r="BA7" s="228">
        <v>10</v>
      </c>
      <c r="BB7" s="228">
        <v>8</v>
      </c>
      <c r="BC7" s="228">
        <v>2</v>
      </c>
      <c r="BD7" s="229">
        <v>0.30399999999999999</v>
      </c>
      <c r="BE7" s="228">
        <v>1</v>
      </c>
      <c r="BF7" s="228">
        <v>2</v>
      </c>
      <c r="BG7" s="228">
        <v>-2</v>
      </c>
      <c r="BH7" s="229">
        <v>-0.72499999999999998</v>
      </c>
      <c r="BI7" s="228">
        <v>323</v>
      </c>
      <c r="BJ7" s="228">
        <v>382</v>
      </c>
      <c r="BK7" s="228">
        <v>-59</v>
      </c>
      <c r="BL7" s="229">
        <v>-0.15459999999999999</v>
      </c>
      <c r="BM7" s="228">
        <v>78</v>
      </c>
      <c r="BN7" s="228">
        <v>130</v>
      </c>
      <c r="BO7" s="228">
        <v>-52</v>
      </c>
      <c r="BP7" s="229">
        <v>-0.39760000000000001</v>
      </c>
      <c r="BQ7" s="228">
        <v>527</v>
      </c>
      <c r="BR7" s="228">
        <v>719</v>
      </c>
      <c r="BS7" s="228">
        <v>-192</v>
      </c>
      <c r="BT7" s="229">
        <v>-0.2671</v>
      </c>
      <c r="BU7" s="230">
        <v>781561</v>
      </c>
      <c r="BV7" s="230">
        <v>1014662</v>
      </c>
      <c r="BW7" s="230">
        <v>-233101</v>
      </c>
      <c r="BX7" s="229">
        <v>-0.22969999999999999</v>
      </c>
      <c r="BY7" s="230">
        <v>2420</v>
      </c>
      <c r="BZ7" s="230">
        <v>2422</v>
      </c>
      <c r="CA7" s="228">
        <v>-3</v>
      </c>
      <c r="CB7" s="229">
        <v>-1.1000000000000001E-3</v>
      </c>
      <c r="CC7" s="230">
        <v>2363</v>
      </c>
      <c r="CD7" s="230">
        <v>2371</v>
      </c>
      <c r="CE7" s="228">
        <v>-8</v>
      </c>
      <c r="CF7" s="229">
        <v>-3.2000000000000002E-3</v>
      </c>
      <c r="CG7" s="228">
        <v>50</v>
      </c>
      <c r="CH7" s="228">
        <v>46</v>
      </c>
      <c r="CI7" s="228">
        <v>5</v>
      </c>
      <c r="CJ7" s="229">
        <v>0.10780000000000001</v>
      </c>
      <c r="CK7" s="228">
        <v>6</v>
      </c>
      <c r="CL7" s="228">
        <v>6</v>
      </c>
      <c r="CM7" s="228">
        <v>0</v>
      </c>
      <c r="CN7" s="229">
        <v>3.2300000000000002E-2</v>
      </c>
      <c r="CO7" s="228">
        <v>682</v>
      </c>
      <c r="CP7" s="228">
        <v>661</v>
      </c>
      <c r="CQ7" s="228">
        <v>21</v>
      </c>
      <c r="CR7" s="229">
        <v>3.1600000000000003E-2</v>
      </c>
      <c r="CS7" s="228">
        <v>411</v>
      </c>
      <c r="CT7" s="228">
        <v>402</v>
      </c>
      <c r="CU7" s="228">
        <v>9</v>
      </c>
      <c r="CV7" s="229">
        <v>2.18E-2</v>
      </c>
      <c r="CW7" s="230">
        <v>3512</v>
      </c>
      <c r="CX7" s="230">
        <v>3485</v>
      </c>
      <c r="CY7" s="228">
        <v>27</v>
      </c>
      <c r="CZ7" s="229">
        <v>7.7999999999999996E-3</v>
      </c>
      <c r="DA7" s="228">
        <v>33.58</v>
      </c>
      <c r="DB7" s="228">
        <v>33.35</v>
      </c>
      <c r="DC7" s="228">
        <v>0.23</v>
      </c>
      <c r="DD7" s="228">
        <v>0.23</v>
      </c>
      <c r="DE7" s="228">
        <v>54</v>
      </c>
      <c r="DF7" s="228">
        <v>54.14</v>
      </c>
      <c r="DG7" s="228">
        <v>-20.420000000000002</v>
      </c>
      <c r="DH7" s="228">
        <v>-0.14000000000000001</v>
      </c>
      <c r="DI7" s="228">
        <v>33.64</v>
      </c>
      <c r="DJ7" s="228">
        <v>33.4</v>
      </c>
      <c r="DK7" s="228">
        <v>0.24</v>
      </c>
      <c r="DL7" s="228">
        <v>0.24</v>
      </c>
      <c r="DM7" s="228">
        <v>33.32</v>
      </c>
      <c r="DN7" s="228">
        <v>33.21</v>
      </c>
      <c r="DO7" s="228">
        <v>0.11</v>
      </c>
      <c r="DP7" s="228">
        <v>0.11</v>
      </c>
      <c r="DQ7" s="228">
        <v>0.6</v>
      </c>
      <c r="DR7" s="228">
        <v>0.61</v>
      </c>
      <c r="DS7" s="228">
        <v>-0.01</v>
      </c>
      <c r="DT7" s="229">
        <v>-1.6400000000000001E-2</v>
      </c>
      <c r="DU7" s="231">
        <v>1100</v>
      </c>
      <c r="DV7" s="231">
        <v>1000</v>
      </c>
      <c r="DW7" s="228">
        <v>0.24</v>
      </c>
      <c r="DX7" s="228">
        <v>0.34</v>
      </c>
      <c r="DY7" s="228">
        <v>-0.1</v>
      </c>
      <c r="DZ7" s="229">
        <v>-0.29409999999999997</v>
      </c>
      <c r="EA7" s="229">
        <v>2.3300000000000001E-2</v>
      </c>
      <c r="EB7" s="230">
        <v>501000</v>
      </c>
      <c r="EC7" s="229">
        <v>6.6E-3</v>
      </c>
      <c r="ED7" s="229">
        <v>2.3300000000000001E-2</v>
      </c>
      <c r="EE7" s="228">
        <v>6.02</v>
      </c>
      <c r="EF7" s="229">
        <v>5.8999999999999999E-3</v>
      </c>
      <c r="EG7" s="230">
        <v>201753</v>
      </c>
      <c r="EH7" s="230">
        <v>326043</v>
      </c>
      <c r="EI7" s="229">
        <v>-0.38119999999999998</v>
      </c>
      <c r="EJ7" s="229">
        <v>0.2581</v>
      </c>
      <c r="EK7" s="228">
        <v>342.58</v>
      </c>
      <c r="EL7" s="228">
        <v>77.83</v>
      </c>
      <c r="EM7" s="228">
        <v>125.77</v>
      </c>
      <c r="EN7" s="228">
        <v>41.15</v>
      </c>
      <c r="EO7" s="228">
        <v>546.19000000000005</v>
      </c>
      <c r="EP7" s="228">
        <v>750.47</v>
      </c>
      <c r="EQ7" s="228">
        <v>-204.28</v>
      </c>
      <c r="ER7" s="229">
        <v>-0.2722</v>
      </c>
      <c r="ES7" s="228">
        <v>720.41</v>
      </c>
      <c r="ET7" s="228">
        <v>402.47</v>
      </c>
      <c r="EU7" s="231">
        <v>2420.04</v>
      </c>
      <c r="EV7" s="231">
        <v>92816927</v>
      </c>
      <c r="EW7" s="231">
        <v>3542.92</v>
      </c>
      <c r="EX7" s="231">
        <v>3523.09</v>
      </c>
      <c r="EY7" s="228">
        <v>19.829999999999998</v>
      </c>
      <c r="EZ7" s="229">
        <v>5.5999999999999999E-3</v>
      </c>
      <c r="FA7" s="229">
        <v>0.37019999999999997</v>
      </c>
      <c r="FB7" s="227" t="s">
        <v>568</v>
      </c>
      <c r="FC7">
        <f t="shared" si="0"/>
        <v>57</v>
      </c>
    </row>
    <row r="8" spans="1:159" ht="17.25" thickBot="1" x14ac:dyDescent="0.3">
      <c r="A8" s="226">
        <v>46029</v>
      </c>
      <c r="B8" s="227" t="s">
        <v>215</v>
      </c>
      <c r="C8" s="227" t="s">
        <v>160</v>
      </c>
      <c r="D8" s="228">
        <v>475</v>
      </c>
      <c r="E8" s="228">
        <v>20</v>
      </c>
      <c r="F8" s="231">
        <v>1472.2</v>
      </c>
      <c r="G8" s="231">
        <v>1479</v>
      </c>
      <c r="H8" s="228">
        <v>-6.8</v>
      </c>
      <c r="I8" s="229">
        <v>-4.5999999999999999E-3</v>
      </c>
      <c r="J8" s="231">
        <v>1465.3</v>
      </c>
      <c r="K8" s="231">
        <v>1473.2</v>
      </c>
      <c r="L8" s="228">
        <v>-7.9</v>
      </c>
      <c r="M8" s="229">
        <v>-5.4000000000000003E-3</v>
      </c>
      <c r="N8" s="231">
        <v>1472.2</v>
      </c>
      <c r="O8" s="231">
        <v>1479</v>
      </c>
      <c r="P8" s="228">
        <v>-6.8</v>
      </c>
      <c r="Q8" s="229">
        <v>-4.5999999999999999E-3</v>
      </c>
      <c r="R8" s="231">
        <v>1480.4</v>
      </c>
      <c r="S8" s="231">
        <v>1488.1</v>
      </c>
      <c r="T8" s="228">
        <v>-7.7</v>
      </c>
      <c r="U8" s="229">
        <v>-5.1999999999999998E-3</v>
      </c>
      <c r="V8" s="231">
        <v>1490.1</v>
      </c>
      <c r="W8" s="231">
        <v>1500</v>
      </c>
      <c r="X8" s="228">
        <v>-9.9</v>
      </c>
      <c r="Y8" s="229">
        <v>-6.6E-3</v>
      </c>
      <c r="Z8" s="228">
        <v>6.9</v>
      </c>
      <c r="AA8" s="228">
        <v>5.8</v>
      </c>
      <c r="AB8" s="228">
        <v>1.1000000000000001</v>
      </c>
      <c r="AC8" s="229">
        <v>4.7000000000000002E-3</v>
      </c>
      <c r="AD8" s="228">
        <v>6.9</v>
      </c>
      <c r="AE8" s="228">
        <v>5.8</v>
      </c>
      <c r="AF8" s="228">
        <v>1.1000000000000001</v>
      </c>
      <c r="AG8" s="229">
        <v>4.7000000000000002E-3</v>
      </c>
      <c r="AH8" s="228">
        <v>15.1</v>
      </c>
      <c r="AI8" s="228">
        <v>14.9</v>
      </c>
      <c r="AJ8" s="228">
        <v>0.2</v>
      </c>
      <c r="AK8" s="229">
        <v>1.03E-2</v>
      </c>
      <c r="AL8" s="228">
        <v>24.8</v>
      </c>
      <c r="AM8" s="228">
        <v>26.8</v>
      </c>
      <c r="AN8" s="228">
        <v>-2</v>
      </c>
      <c r="AO8" s="229">
        <v>1.6899999999999998E-2</v>
      </c>
      <c r="AP8" s="231">
        <v>1475.72</v>
      </c>
      <c r="AQ8" s="231">
        <v>1484.96</v>
      </c>
      <c r="AR8" s="228">
        <v>0</v>
      </c>
      <c r="AS8" s="228">
        <v>357</v>
      </c>
      <c r="AT8" s="228">
        <v>365</v>
      </c>
      <c r="AU8" s="228">
        <v>-8</v>
      </c>
      <c r="AV8" s="229">
        <v>-2.07E-2</v>
      </c>
      <c r="AW8" s="228">
        <v>325</v>
      </c>
      <c r="AX8" s="228">
        <v>348</v>
      </c>
      <c r="AY8" s="228">
        <v>-23</v>
      </c>
      <c r="AZ8" s="229">
        <v>-6.5000000000000002E-2</v>
      </c>
      <c r="BA8" s="228">
        <v>27</v>
      </c>
      <c r="BB8" s="228">
        <v>16</v>
      </c>
      <c r="BC8" s="228">
        <v>12</v>
      </c>
      <c r="BD8" s="229">
        <v>0.76129999999999998</v>
      </c>
      <c r="BE8" s="228">
        <v>5</v>
      </c>
      <c r="BF8" s="228">
        <v>2</v>
      </c>
      <c r="BG8" s="228">
        <v>3</v>
      </c>
      <c r="BH8" s="229">
        <v>2.0909</v>
      </c>
      <c r="BI8" s="230">
        <v>1033</v>
      </c>
      <c r="BJ8" s="230">
        <v>1299</v>
      </c>
      <c r="BK8" s="228">
        <v>-266</v>
      </c>
      <c r="BL8" s="229">
        <v>-0.20469999999999999</v>
      </c>
      <c r="BM8" s="228">
        <v>609</v>
      </c>
      <c r="BN8" s="228">
        <v>764</v>
      </c>
      <c r="BO8" s="228">
        <v>-155</v>
      </c>
      <c r="BP8" s="229">
        <v>-0.2026</v>
      </c>
      <c r="BQ8" s="230">
        <v>1999</v>
      </c>
      <c r="BR8" s="230">
        <v>2428</v>
      </c>
      <c r="BS8" s="228">
        <v>-428</v>
      </c>
      <c r="BT8" s="229">
        <v>-0.1764</v>
      </c>
      <c r="BU8" s="230">
        <v>2378957</v>
      </c>
      <c r="BV8" s="230">
        <v>1703774</v>
      </c>
      <c r="BW8" s="230">
        <v>675183</v>
      </c>
      <c r="BX8" s="229">
        <v>0.39629999999999999</v>
      </c>
      <c r="BY8" s="230">
        <v>3814</v>
      </c>
      <c r="BZ8" s="230">
        <v>3732</v>
      </c>
      <c r="CA8" s="228">
        <v>82</v>
      </c>
      <c r="CB8" s="229">
        <v>2.1999999999999999E-2</v>
      </c>
      <c r="CC8" s="230">
        <v>3688</v>
      </c>
      <c r="CD8" s="230">
        <v>3618</v>
      </c>
      <c r="CE8" s="228">
        <v>70</v>
      </c>
      <c r="CF8" s="229">
        <v>1.95E-2</v>
      </c>
      <c r="CG8" s="228">
        <v>120</v>
      </c>
      <c r="CH8" s="228">
        <v>109</v>
      </c>
      <c r="CI8" s="228">
        <v>11</v>
      </c>
      <c r="CJ8" s="229">
        <v>9.9500000000000005E-2</v>
      </c>
      <c r="CK8" s="228">
        <v>6</v>
      </c>
      <c r="CL8" s="228">
        <v>5</v>
      </c>
      <c r="CM8" s="228">
        <v>1</v>
      </c>
      <c r="CN8" s="229">
        <v>0.1739</v>
      </c>
      <c r="CO8" s="228">
        <v>947</v>
      </c>
      <c r="CP8" s="228">
        <v>898</v>
      </c>
      <c r="CQ8" s="228">
        <v>49</v>
      </c>
      <c r="CR8" s="229">
        <v>5.4800000000000001E-2</v>
      </c>
      <c r="CS8" s="228">
        <v>679</v>
      </c>
      <c r="CT8" s="228">
        <v>677</v>
      </c>
      <c r="CU8" s="228">
        <v>2</v>
      </c>
      <c r="CV8" s="229">
        <v>2.5999999999999999E-3</v>
      </c>
      <c r="CW8" s="230">
        <v>5440</v>
      </c>
      <c r="CX8" s="230">
        <v>5307</v>
      </c>
      <c r="CY8" s="228">
        <v>133</v>
      </c>
      <c r="CZ8" s="229">
        <v>2.5100000000000001E-2</v>
      </c>
      <c r="DA8" s="228">
        <v>21.12</v>
      </c>
      <c r="DB8" s="228">
        <v>21.06</v>
      </c>
      <c r="DC8" s="228">
        <v>0.06</v>
      </c>
      <c r="DD8" s="228">
        <v>0.06</v>
      </c>
      <c r="DE8" s="228">
        <v>35.130000000000003</v>
      </c>
      <c r="DF8" s="228">
        <v>35.21</v>
      </c>
      <c r="DG8" s="228">
        <v>-14.01</v>
      </c>
      <c r="DH8" s="228">
        <v>-0.08</v>
      </c>
      <c r="DI8" s="228">
        <v>21.05</v>
      </c>
      <c r="DJ8" s="228">
        <v>20.92</v>
      </c>
      <c r="DK8" s="228">
        <v>0.13</v>
      </c>
      <c r="DL8" s="228">
        <v>0.13</v>
      </c>
      <c r="DM8" s="228">
        <v>21.26</v>
      </c>
      <c r="DN8" s="228">
        <v>21.28</v>
      </c>
      <c r="DO8" s="228">
        <v>-0.02</v>
      </c>
      <c r="DP8" s="228">
        <v>-0.02</v>
      </c>
      <c r="DQ8" s="228">
        <v>0.72</v>
      </c>
      <c r="DR8" s="228">
        <v>0.75</v>
      </c>
      <c r="DS8" s="228">
        <v>-0.03</v>
      </c>
      <c r="DT8" s="229">
        <v>-0.04</v>
      </c>
      <c r="DU8" s="231">
        <v>1500</v>
      </c>
      <c r="DV8" s="231">
        <v>1480</v>
      </c>
      <c r="DW8" s="228">
        <v>0.59</v>
      </c>
      <c r="DX8" s="228">
        <v>0.59</v>
      </c>
      <c r="DY8" s="228">
        <v>0</v>
      </c>
      <c r="DZ8" s="229">
        <v>0</v>
      </c>
      <c r="EA8" s="229">
        <v>3.2899999999999999E-2</v>
      </c>
      <c r="EB8" s="230">
        <v>772825</v>
      </c>
      <c r="EC8" s="229">
        <v>5.5999999999999999E-3</v>
      </c>
      <c r="ED8" s="229">
        <v>3.2899999999999999E-2</v>
      </c>
      <c r="EE8" s="228">
        <v>9.24</v>
      </c>
      <c r="EF8" s="229">
        <v>6.3E-3</v>
      </c>
      <c r="EG8" s="230">
        <v>1779834</v>
      </c>
      <c r="EH8" s="230">
        <v>1016527</v>
      </c>
      <c r="EI8" s="229">
        <v>0.75090000000000001</v>
      </c>
      <c r="EJ8" s="229">
        <v>0.74819999999999998</v>
      </c>
      <c r="EK8" s="231">
        <v>1073.75</v>
      </c>
      <c r="EL8" s="228">
        <v>605.12</v>
      </c>
      <c r="EM8" s="228">
        <v>358.36</v>
      </c>
      <c r="EN8" s="228">
        <v>37.19</v>
      </c>
      <c r="EO8" s="231">
        <v>2037.23</v>
      </c>
      <c r="EP8" s="231">
        <v>2491.2399999999998</v>
      </c>
      <c r="EQ8" s="228">
        <v>-454.01</v>
      </c>
      <c r="ER8" s="229">
        <v>-0.1822</v>
      </c>
      <c r="ES8" s="228">
        <v>986.57</v>
      </c>
      <c r="ET8" s="228">
        <v>659.89</v>
      </c>
      <c r="EU8" s="231">
        <v>3814.55</v>
      </c>
      <c r="EV8" s="231">
        <v>84394936</v>
      </c>
      <c r="EW8" s="231">
        <v>5461.01</v>
      </c>
      <c r="EX8" s="231">
        <v>5344.39</v>
      </c>
      <c r="EY8" s="228">
        <v>116.62</v>
      </c>
      <c r="EZ8" s="229">
        <v>2.18E-2</v>
      </c>
      <c r="FA8" s="229">
        <v>0.43780000000000002</v>
      </c>
      <c r="FB8" s="227" t="s">
        <v>567</v>
      </c>
      <c r="FC8">
        <f t="shared" si="0"/>
        <v>126</v>
      </c>
    </row>
    <row r="9" spans="1:159" ht="17.25" thickBot="1" x14ac:dyDescent="0.3">
      <c r="A9" s="226">
        <v>46029</v>
      </c>
      <c r="B9" s="227" t="s">
        <v>170</v>
      </c>
      <c r="C9" s="227" t="s">
        <v>497</v>
      </c>
      <c r="D9" s="228">
        <v>125</v>
      </c>
      <c r="E9" s="228">
        <v>20</v>
      </c>
      <c r="F9" s="231">
        <v>5824.5</v>
      </c>
      <c r="G9" s="231">
        <v>5673.5</v>
      </c>
      <c r="H9" s="228">
        <v>151</v>
      </c>
      <c r="I9" s="229">
        <v>2.6599999999999999E-2</v>
      </c>
      <c r="J9" s="231">
        <v>5806.5</v>
      </c>
      <c r="K9" s="231">
        <v>5655.5</v>
      </c>
      <c r="L9" s="228">
        <v>151</v>
      </c>
      <c r="M9" s="229">
        <v>2.6700000000000002E-2</v>
      </c>
      <c r="N9" s="231">
        <v>5824.5</v>
      </c>
      <c r="O9" s="231">
        <v>5673.5</v>
      </c>
      <c r="P9" s="228">
        <v>151</v>
      </c>
      <c r="Q9" s="229">
        <v>2.6599999999999999E-2</v>
      </c>
      <c r="R9" s="231">
        <v>5823.5</v>
      </c>
      <c r="S9" s="231">
        <v>5676</v>
      </c>
      <c r="T9" s="228">
        <v>147.5</v>
      </c>
      <c r="U9" s="229">
        <v>2.5999999999999999E-2</v>
      </c>
      <c r="V9" s="231">
        <v>5845</v>
      </c>
      <c r="W9" s="231">
        <v>5620</v>
      </c>
      <c r="X9" s="228">
        <v>225</v>
      </c>
      <c r="Y9" s="229">
        <v>0.04</v>
      </c>
      <c r="Z9" s="228">
        <v>18</v>
      </c>
      <c r="AA9" s="228">
        <v>18</v>
      </c>
      <c r="AB9" s="228">
        <v>0</v>
      </c>
      <c r="AC9" s="229">
        <v>3.0999999999999999E-3</v>
      </c>
      <c r="AD9" s="228">
        <v>18</v>
      </c>
      <c r="AE9" s="228">
        <v>18</v>
      </c>
      <c r="AF9" s="228">
        <v>0</v>
      </c>
      <c r="AG9" s="229">
        <v>3.0999999999999999E-3</v>
      </c>
      <c r="AH9" s="228">
        <v>17</v>
      </c>
      <c r="AI9" s="228">
        <v>20.5</v>
      </c>
      <c r="AJ9" s="228">
        <v>-3.5</v>
      </c>
      <c r="AK9" s="229">
        <v>2.8999999999999998E-3</v>
      </c>
      <c r="AL9" s="228">
        <v>38.5</v>
      </c>
      <c r="AM9" s="228">
        <v>-35.5</v>
      </c>
      <c r="AN9" s="228">
        <v>74</v>
      </c>
      <c r="AO9" s="229">
        <v>6.6E-3</v>
      </c>
      <c r="AP9" s="231">
        <v>5796.21</v>
      </c>
      <c r="AQ9" s="231">
        <v>5781.42</v>
      </c>
      <c r="AR9" s="228">
        <v>0</v>
      </c>
      <c r="AS9" s="228">
        <v>190</v>
      </c>
      <c r="AT9" s="228">
        <v>88</v>
      </c>
      <c r="AU9" s="228">
        <v>102</v>
      </c>
      <c r="AV9" s="229">
        <v>1.1507000000000001</v>
      </c>
      <c r="AW9" s="228">
        <v>183</v>
      </c>
      <c r="AX9" s="228">
        <v>83</v>
      </c>
      <c r="AY9" s="228">
        <v>101</v>
      </c>
      <c r="AZ9" s="229">
        <v>1.2145999999999999</v>
      </c>
      <c r="BA9" s="228">
        <v>7</v>
      </c>
      <c r="BB9" s="228">
        <v>5</v>
      </c>
      <c r="BC9" s="228">
        <v>1</v>
      </c>
      <c r="BD9" s="229">
        <v>0.2</v>
      </c>
      <c r="BE9" s="228">
        <v>0</v>
      </c>
      <c r="BF9" s="228">
        <v>0</v>
      </c>
      <c r="BG9" s="228">
        <v>0</v>
      </c>
      <c r="BH9" s="229">
        <v>0.5</v>
      </c>
      <c r="BI9" s="228">
        <v>866</v>
      </c>
      <c r="BJ9" s="228">
        <v>241</v>
      </c>
      <c r="BK9" s="228">
        <v>625</v>
      </c>
      <c r="BL9" s="229">
        <v>2.5941000000000001</v>
      </c>
      <c r="BM9" s="228">
        <v>146</v>
      </c>
      <c r="BN9" s="228">
        <v>50</v>
      </c>
      <c r="BO9" s="228">
        <v>96</v>
      </c>
      <c r="BP9" s="229">
        <v>1.9088000000000001</v>
      </c>
      <c r="BQ9" s="230">
        <v>1203</v>
      </c>
      <c r="BR9" s="228">
        <v>380</v>
      </c>
      <c r="BS9" s="228">
        <v>823</v>
      </c>
      <c r="BT9" s="229">
        <v>2.1674000000000002</v>
      </c>
      <c r="BU9" s="230">
        <v>261614</v>
      </c>
      <c r="BV9" s="230">
        <v>87701</v>
      </c>
      <c r="BW9" s="230">
        <v>173913</v>
      </c>
      <c r="BX9" s="229">
        <v>1.9830000000000001</v>
      </c>
      <c r="BY9" s="228">
        <v>877</v>
      </c>
      <c r="BZ9" s="228">
        <v>874</v>
      </c>
      <c r="CA9" s="228">
        <v>3</v>
      </c>
      <c r="CB9" s="229">
        <v>3.2000000000000002E-3</v>
      </c>
      <c r="CC9" s="228">
        <v>869</v>
      </c>
      <c r="CD9" s="228">
        <v>866</v>
      </c>
      <c r="CE9" s="228">
        <v>3</v>
      </c>
      <c r="CF9" s="229">
        <v>3.2000000000000002E-3</v>
      </c>
      <c r="CG9" s="228">
        <v>8</v>
      </c>
      <c r="CH9" s="228">
        <v>8</v>
      </c>
      <c r="CI9" s="228">
        <v>0</v>
      </c>
      <c r="CJ9" s="229">
        <v>0</v>
      </c>
      <c r="CK9" s="228">
        <v>0</v>
      </c>
      <c r="CL9" s="228">
        <v>0</v>
      </c>
      <c r="CM9" s="228">
        <v>0</v>
      </c>
      <c r="CN9" s="229">
        <v>0.5</v>
      </c>
      <c r="CO9" s="228">
        <v>123</v>
      </c>
      <c r="CP9" s="228">
        <v>93</v>
      </c>
      <c r="CQ9" s="228">
        <v>30</v>
      </c>
      <c r="CR9" s="229">
        <v>0.32450000000000001</v>
      </c>
      <c r="CS9" s="228">
        <v>87</v>
      </c>
      <c r="CT9" s="228">
        <v>72</v>
      </c>
      <c r="CU9" s="228">
        <v>15</v>
      </c>
      <c r="CV9" s="229">
        <v>0.20399999999999999</v>
      </c>
      <c r="CW9" s="230">
        <v>1087</v>
      </c>
      <c r="CX9" s="230">
        <v>1040</v>
      </c>
      <c r="CY9" s="228">
        <v>48</v>
      </c>
      <c r="CZ9" s="229">
        <v>4.5900000000000003E-2</v>
      </c>
      <c r="DA9" s="228">
        <v>22.57</v>
      </c>
      <c r="DB9" s="228">
        <v>21.25</v>
      </c>
      <c r="DC9" s="228">
        <v>1.32</v>
      </c>
      <c r="DD9" s="228">
        <v>1.32</v>
      </c>
      <c r="DE9" s="228">
        <v>25.95</v>
      </c>
      <c r="DF9" s="228">
        <v>25.78</v>
      </c>
      <c r="DG9" s="228">
        <v>-3.38</v>
      </c>
      <c r="DH9" s="228">
        <v>0.17</v>
      </c>
      <c r="DI9" s="228">
        <v>22.36</v>
      </c>
      <c r="DJ9" s="228">
        <v>21.04</v>
      </c>
      <c r="DK9" s="228">
        <v>1.32</v>
      </c>
      <c r="DL9" s="228">
        <v>1.32</v>
      </c>
      <c r="DM9" s="228">
        <v>23.82</v>
      </c>
      <c r="DN9" s="228">
        <v>22.24</v>
      </c>
      <c r="DO9" s="228">
        <v>1.58</v>
      </c>
      <c r="DP9" s="228">
        <v>1.58</v>
      </c>
      <c r="DQ9" s="228">
        <v>0.71</v>
      </c>
      <c r="DR9" s="228">
        <v>0.78</v>
      </c>
      <c r="DS9" s="228">
        <v>-7.0000000000000007E-2</v>
      </c>
      <c r="DT9" s="229">
        <v>-8.9700000000000002E-2</v>
      </c>
      <c r="DU9" s="231">
        <v>5800</v>
      </c>
      <c r="DV9" s="231">
        <v>5100</v>
      </c>
      <c r="DW9" s="228">
        <v>0.17</v>
      </c>
      <c r="DX9" s="228">
        <v>0.21</v>
      </c>
      <c r="DY9" s="228">
        <v>-0.04</v>
      </c>
      <c r="DZ9" s="229">
        <v>-0.1905</v>
      </c>
      <c r="EA9" s="229">
        <v>9.1000000000000004E-3</v>
      </c>
      <c r="EB9" s="230">
        <v>13625</v>
      </c>
      <c r="EC9" s="229">
        <v>-2.0000000000000001E-4</v>
      </c>
      <c r="ED9" s="229">
        <v>9.1000000000000004E-3</v>
      </c>
      <c r="EE9" s="228">
        <v>-14.79</v>
      </c>
      <c r="EF9" s="229">
        <v>-2.5999999999999999E-3</v>
      </c>
      <c r="EG9" s="230">
        <v>167818</v>
      </c>
      <c r="EH9" s="230">
        <v>49669</v>
      </c>
      <c r="EI9" s="229">
        <v>2.3786999999999998</v>
      </c>
      <c r="EJ9" s="229">
        <v>0.64149999999999996</v>
      </c>
      <c r="EK9" s="228">
        <v>887.62</v>
      </c>
      <c r="EL9" s="228">
        <v>140.54</v>
      </c>
      <c r="EM9" s="228">
        <v>189.16</v>
      </c>
      <c r="EN9" s="228">
        <v>10.31</v>
      </c>
      <c r="EO9" s="231">
        <v>1217.32</v>
      </c>
      <c r="EP9" s="228">
        <v>373.48</v>
      </c>
      <c r="EQ9" s="228">
        <v>843.84</v>
      </c>
      <c r="ER9" s="229">
        <v>2.2593999999999999</v>
      </c>
      <c r="ES9" s="228">
        <v>123.86</v>
      </c>
      <c r="ET9" s="228">
        <v>80.2</v>
      </c>
      <c r="EU9" s="228">
        <v>877.02</v>
      </c>
      <c r="EV9" s="231">
        <v>7334235</v>
      </c>
      <c r="EW9" s="231">
        <v>1081.08</v>
      </c>
      <c r="EX9" s="231">
        <v>1009.09</v>
      </c>
      <c r="EY9" s="228">
        <v>71.989999999999995</v>
      </c>
      <c r="EZ9" s="229">
        <v>7.1300000000000002E-2</v>
      </c>
      <c r="FA9" s="229">
        <v>0.2545</v>
      </c>
      <c r="FB9" s="227" t="s">
        <v>555</v>
      </c>
      <c r="FC9">
        <f t="shared" si="0"/>
        <v>8</v>
      </c>
    </row>
    <row r="10" spans="1:159" ht="17.25" thickBot="1" x14ac:dyDescent="0.3">
      <c r="A10" s="226">
        <v>46029</v>
      </c>
      <c r="B10" s="227" t="s">
        <v>184</v>
      </c>
      <c r="C10" s="227" t="s">
        <v>681</v>
      </c>
      <c r="D10" s="228">
        <v>100</v>
      </c>
      <c r="E10" s="228">
        <v>20</v>
      </c>
      <c r="F10" s="231">
        <v>6673.5</v>
      </c>
      <c r="G10" s="231">
        <v>6713</v>
      </c>
      <c r="H10" s="228">
        <v>-39.5</v>
      </c>
      <c r="I10" s="229">
        <v>-5.8999999999999999E-3</v>
      </c>
      <c r="J10" s="231">
        <v>6653</v>
      </c>
      <c r="K10" s="231">
        <v>6707.5</v>
      </c>
      <c r="L10" s="228">
        <v>-54.5</v>
      </c>
      <c r="M10" s="229">
        <v>-8.0999999999999996E-3</v>
      </c>
      <c r="N10" s="231">
        <v>6673.5</v>
      </c>
      <c r="O10" s="231">
        <v>6713</v>
      </c>
      <c r="P10" s="228">
        <v>-39.5</v>
      </c>
      <c r="Q10" s="229">
        <v>-5.8999999999999999E-3</v>
      </c>
      <c r="R10" s="231">
        <v>6572.5</v>
      </c>
      <c r="S10" s="231">
        <v>6598</v>
      </c>
      <c r="T10" s="228">
        <v>-25.5</v>
      </c>
      <c r="U10" s="229">
        <v>-3.8999999999999998E-3</v>
      </c>
      <c r="V10" s="231">
        <v>6542.5</v>
      </c>
      <c r="W10" s="231">
        <v>6528</v>
      </c>
      <c r="X10" s="228">
        <v>14.5</v>
      </c>
      <c r="Y10" s="229">
        <v>2.2000000000000001E-3</v>
      </c>
      <c r="Z10" s="228">
        <v>20.5</v>
      </c>
      <c r="AA10" s="228">
        <v>5.5</v>
      </c>
      <c r="AB10" s="228">
        <v>15</v>
      </c>
      <c r="AC10" s="229">
        <v>3.0999999999999999E-3</v>
      </c>
      <c r="AD10" s="228">
        <v>20.5</v>
      </c>
      <c r="AE10" s="228">
        <v>5.5</v>
      </c>
      <c r="AF10" s="228">
        <v>15</v>
      </c>
      <c r="AG10" s="229">
        <v>3.0999999999999999E-3</v>
      </c>
      <c r="AH10" s="228">
        <v>-80.5</v>
      </c>
      <c r="AI10" s="228">
        <v>-109.5</v>
      </c>
      <c r="AJ10" s="228">
        <v>29</v>
      </c>
      <c r="AK10" s="229">
        <v>-1.21E-2</v>
      </c>
      <c r="AL10" s="228">
        <v>-110.5</v>
      </c>
      <c r="AM10" s="228">
        <v>-179.5</v>
      </c>
      <c r="AN10" s="228">
        <v>69</v>
      </c>
      <c r="AO10" s="229">
        <v>-1.66E-2</v>
      </c>
      <c r="AP10" s="231">
        <v>6681.09</v>
      </c>
      <c r="AQ10" s="231">
        <v>6580.42</v>
      </c>
      <c r="AR10" s="228">
        <v>0</v>
      </c>
      <c r="AS10" s="228">
        <v>78</v>
      </c>
      <c r="AT10" s="228">
        <v>157</v>
      </c>
      <c r="AU10" s="228">
        <v>-79</v>
      </c>
      <c r="AV10" s="229">
        <v>-0.50280000000000002</v>
      </c>
      <c r="AW10" s="228">
        <v>68</v>
      </c>
      <c r="AX10" s="228">
        <v>144</v>
      </c>
      <c r="AY10" s="228">
        <v>-76</v>
      </c>
      <c r="AZ10" s="229">
        <v>-0.52569999999999995</v>
      </c>
      <c r="BA10" s="228">
        <v>9</v>
      </c>
      <c r="BB10" s="228">
        <v>12</v>
      </c>
      <c r="BC10" s="228">
        <v>-2</v>
      </c>
      <c r="BD10" s="229">
        <v>-0.20669999999999999</v>
      </c>
      <c r="BE10" s="228">
        <v>0</v>
      </c>
      <c r="BF10" s="228">
        <v>1</v>
      </c>
      <c r="BG10" s="228">
        <v>-1</v>
      </c>
      <c r="BH10" s="229">
        <v>-0.81820000000000004</v>
      </c>
      <c r="BI10" s="228">
        <v>236</v>
      </c>
      <c r="BJ10" s="228">
        <v>409</v>
      </c>
      <c r="BK10" s="228">
        <v>-173</v>
      </c>
      <c r="BL10" s="229">
        <v>-0.42259999999999998</v>
      </c>
      <c r="BM10" s="228">
        <v>114</v>
      </c>
      <c r="BN10" s="228">
        <v>355</v>
      </c>
      <c r="BO10" s="228">
        <v>-241</v>
      </c>
      <c r="BP10" s="229">
        <v>-0.67789999999999995</v>
      </c>
      <c r="BQ10" s="228">
        <v>429</v>
      </c>
      <c r="BR10" s="228">
        <v>921</v>
      </c>
      <c r="BS10" s="228">
        <v>-492</v>
      </c>
      <c r="BT10" s="229">
        <v>-0.53469999999999995</v>
      </c>
      <c r="BU10" s="230">
        <v>109650</v>
      </c>
      <c r="BV10" s="230">
        <v>183524</v>
      </c>
      <c r="BW10" s="230">
        <v>-73874</v>
      </c>
      <c r="BX10" s="229">
        <v>-0.40250000000000002</v>
      </c>
      <c r="BY10" s="228">
        <v>627</v>
      </c>
      <c r="BZ10" s="228">
        <v>622</v>
      </c>
      <c r="CA10" s="228">
        <v>5</v>
      </c>
      <c r="CB10" s="229">
        <v>8.3000000000000001E-3</v>
      </c>
      <c r="CC10" s="228">
        <v>586</v>
      </c>
      <c r="CD10" s="228">
        <v>585</v>
      </c>
      <c r="CE10" s="228">
        <v>1</v>
      </c>
      <c r="CF10" s="229">
        <v>2.2000000000000001E-3</v>
      </c>
      <c r="CG10" s="228">
        <v>37</v>
      </c>
      <c r="CH10" s="228">
        <v>34</v>
      </c>
      <c r="CI10" s="228">
        <v>4</v>
      </c>
      <c r="CJ10" s="229">
        <v>0.1116</v>
      </c>
      <c r="CK10" s="228">
        <v>3</v>
      </c>
      <c r="CL10" s="228">
        <v>3</v>
      </c>
      <c r="CM10" s="228">
        <v>0</v>
      </c>
      <c r="CN10" s="229">
        <v>4.0800000000000003E-2</v>
      </c>
      <c r="CO10" s="228">
        <v>307</v>
      </c>
      <c r="CP10" s="228">
        <v>278</v>
      </c>
      <c r="CQ10" s="228">
        <v>28</v>
      </c>
      <c r="CR10" s="229">
        <v>0.1021</v>
      </c>
      <c r="CS10" s="228">
        <v>220</v>
      </c>
      <c r="CT10" s="228">
        <v>220</v>
      </c>
      <c r="CU10" s="228">
        <v>0</v>
      </c>
      <c r="CV10" s="229">
        <v>2.9999999999999997E-4</v>
      </c>
      <c r="CW10" s="230">
        <v>1154</v>
      </c>
      <c r="CX10" s="230">
        <v>1120</v>
      </c>
      <c r="CY10" s="228">
        <v>34</v>
      </c>
      <c r="CZ10" s="229">
        <v>0.03</v>
      </c>
      <c r="DA10" s="228">
        <v>30.98</v>
      </c>
      <c r="DB10" s="228">
        <v>31.4</v>
      </c>
      <c r="DC10" s="228">
        <v>-0.42</v>
      </c>
      <c r="DD10" s="228">
        <v>-0.42</v>
      </c>
      <c r="DE10" s="228">
        <v>51.39</v>
      </c>
      <c r="DF10" s="228">
        <v>51.51</v>
      </c>
      <c r="DG10" s="228">
        <v>-20.41</v>
      </c>
      <c r="DH10" s="228">
        <v>-0.12</v>
      </c>
      <c r="DI10" s="228">
        <v>30.54</v>
      </c>
      <c r="DJ10" s="228">
        <v>30.78</v>
      </c>
      <c r="DK10" s="228">
        <v>-0.24</v>
      </c>
      <c r="DL10" s="228">
        <v>-0.24</v>
      </c>
      <c r="DM10" s="228">
        <v>31.89</v>
      </c>
      <c r="DN10" s="228">
        <v>32.119999999999997</v>
      </c>
      <c r="DO10" s="228">
        <v>-0.23</v>
      </c>
      <c r="DP10" s="228">
        <v>-0.23</v>
      </c>
      <c r="DQ10" s="228">
        <v>0.72</v>
      </c>
      <c r="DR10" s="228">
        <v>0.79</v>
      </c>
      <c r="DS10" s="228">
        <v>-7.0000000000000007E-2</v>
      </c>
      <c r="DT10" s="229">
        <v>-8.8599999999999998E-2</v>
      </c>
      <c r="DU10" s="231">
        <v>7000</v>
      </c>
      <c r="DV10" s="231">
        <v>6000</v>
      </c>
      <c r="DW10" s="228">
        <v>0.48</v>
      </c>
      <c r="DX10" s="228">
        <v>0.87</v>
      </c>
      <c r="DY10" s="228">
        <v>-0.39</v>
      </c>
      <c r="DZ10" s="229">
        <v>-0.44829999999999998</v>
      </c>
      <c r="EA10" s="229">
        <v>6.4799999999999996E-2</v>
      </c>
      <c r="EB10" s="230">
        <v>55100</v>
      </c>
      <c r="EC10" s="229">
        <v>-1.5100000000000001E-2</v>
      </c>
      <c r="ED10" s="229">
        <v>6.4799999999999996E-2</v>
      </c>
      <c r="EE10" s="228">
        <v>-100.67</v>
      </c>
      <c r="EF10" s="229">
        <v>-1.5100000000000001E-2</v>
      </c>
      <c r="EG10" s="230">
        <v>47699</v>
      </c>
      <c r="EH10" s="230">
        <v>49435</v>
      </c>
      <c r="EI10" s="229">
        <v>-3.5099999999999999E-2</v>
      </c>
      <c r="EJ10" s="229">
        <v>0.435</v>
      </c>
      <c r="EK10" s="228">
        <v>248.58</v>
      </c>
      <c r="EL10" s="228">
        <v>111.29</v>
      </c>
      <c r="EM10" s="228">
        <v>77.89</v>
      </c>
      <c r="EN10" s="228">
        <v>25.34</v>
      </c>
      <c r="EO10" s="228">
        <v>437.76</v>
      </c>
      <c r="EP10" s="228">
        <v>936.55</v>
      </c>
      <c r="EQ10" s="228">
        <v>-498.79</v>
      </c>
      <c r="ER10" s="229">
        <v>-0.53259999999999996</v>
      </c>
      <c r="ES10" s="228">
        <v>316.42</v>
      </c>
      <c r="ET10" s="228">
        <v>210.1</v>
      </c>
      <c r="EU10" s="228">
        <v>626.41</v>
      </c>
      <c r="EV10" s="231">
        <v>3257355</v>
      </c>
      <c r="EW10" s="231">
        <v>1152.94</v>
      </c>
      <c r="EX10" s="231">
        <v>1122.01</v>
      </c>
      <c r="EY10" s="228">
        <v>30.93</v>
      </c>
      <c r="EZ10" s="229">
        <v>2.76E-2</v>
      </c>
      <c r="FA10" s="229">
        <v>0.53090000000000004</v>
      </c>
      <c r="FB10" s="227" t="s">
        <v>567</v>
      </c>
      <c r="FC10">
        <f t="shared" si="0"/>
        <v>41</v>
      </c>
    </row>
    <row r="11" spans="1:159" ht="17.25" thickBot="1" x14ac:dyDescent="0.3">
      <c r="A11" s="226">
        <v>46029</v>
      </c>
      <c r="B11" s="227" t="s">
        <v>157</v>
      </c>
      <c r="C11" s="227" t="s">
        <v>164</v>
      </c>
      <c r="D11" s="228">
        <v>1050</v>
      </c>
      <c r="E11" s="228">
        <v>20</v>
      </c>
      <c r="F11" s="228">
        <v>564.6</v>
      </c>
      <c r="G11" s="228">
        <v>564.95000000000005</v>
      </c>
      <c r="H11" s="228">
        <v>-0.35</v>
      </c>
      <c r="I11" s="229">
        <v>-5.9999999999999995E-4</v>
      </c>
      <c r="J11" s="228">
        <v>562</v>
      </c>
      <c r="K11" s="228">
        <v>563.54999999999995</v>
      </c>
      <c r="L11" s="228">
        <v>-1.55</v>
      </c>
      <c r="M11" s="229">
        <v>-2.8E-3</v>
      </c>
      <c r="N11" s="228">
        <v>564.6</v>
      </c>
      <c r="O11" s="228">
        <v>564.95000000000005</v>
      </c>
      <c r="P11" s="228">
        <v>-0.35</v>
      </c>
      <c r="Q11" s="229">
        <v>-5.9999999999999995E-4</v>
      </c>
      <c r="R11" s="228">
        <v>567.9</v>
      </c>
      <c r="S11" s="228">
        <v>568.25</v>
      </c>
      <c r="T11" s="228">
        <v>-0.35</v>
      </c>
      <c r="U11" s="229">
        <v>-5.9999999999999995E-4</v>
      </c>
      <c r="V11" s="228">
        <v>570.1</v>
      </c>
      <c r="W11" s="228">
        <v>571.15</v>
      </c>
      <c r="X11" s="228">
        <v>-1.05</v>
      </c>
      <c r="Y11" s="229">
        <v>-1.8E-3</v>
      </c>
      <c r="Z11" s="228">
        <v>2.6</v>
      </c>
      <c r="AA11" s="228">
        <v>1.4</v>
      </c>
      <c r="AB11" s="228">
        <v>1.2</v>
      </c>
      <c r="AC11" s="229">
        <v>4.5999999999999999E-3</v>
      </c>
      <c r="AD11" s="228">
        <v>2.6</v>
      </c>
      <c r="AE11" s="228">
        <v>1.4</v>
      </c>
      <c r="AF11" s="228">
        <v>1.2</v>
      </c>
      <c r="AG11" s="229">
        <v>4.5999999999999999E-3</v>
      </c>
      <c r="AH11" s="228">
        <v>5.9</v>
      </c>
      <c r="AI11" s="228">
        <v>4.7</v>
      </c>
      <c r="AJ11" s="228">
        <v>1.2</v>
      </c>
      <c r="AK11" s="229">
        <v>1.0500000000000001E-2</v>
      </c>
      <c r="AL11" s="228">
        <v>8.1</v>
      </c>
      <c r="AM11" s="228">
        <v>7.6</v>
      </c>
      <c r="AN11" s="228">
        <v>0.5</v>
      </c>
      <c r="AO11" s="229">
        <v>1.44E-2</v>
      </c>
      <c r="AP11" s="228">
        <v>565.42999999999995</v>
      </c>
      <c r="AQ11" s="228">
        <v>568.85</v>
      </c>
      <c r="AR11" s="228">
        <v>0</v>
      </c>
      <c r="AS11" s="228">
        <v>224</v>
      </c>
      <c r="AT11" s="228">
        <v>288</v>
      </c>
      <c r="AU11" s="228">
        <v>-64</v>
      </c>
      <c r="AV11" s="229">
        <v>-0.22140000000000001</v>
      </c>
      <c r="AW11" s="228">
        <v>218</v>
      </c>
      <c r="AX11" s="228">
        <v>272</v>
      </c>
      <c r="AY11" s="228">
        <v>-55</v>
      </c>
      <c r="AZ11" s="229">
        <v>-0.2006</v>
      </c>
      <c r="BA11" s="228">
        <v>6</v>
      </c>
      <c r="BB11" s="228">
        <v>14</v>
      </c>
      <c r="BC11" s="228">
        <v>-8</v>
      </c>
      <c r="BD11" s="229">
        <v>-0.55700000000000005</v>
      </c>
      <c r="BE11" s="228">
        <v>1</v>
      </c>
      <c r="BF11" s="228">
        <v>2</v>
      </c>
      <c r="BG11" s="228">
        <v>-1</v>
      </c>
      <c r="BH11" s="229">
        <v>-0.69699999999999995</v>
      </c>
      <c r="BI11" s="228">
        <v>331</v>
      </c>
      <c r="BJ11" s="228">
        <v>392</v>
      </c>
      <c r="BK11" s="228">
        <v>-61</v>
      </c>
      <c r="BL11" s="229">
        <v>-0.15490000000000001</v>
      </c>
      <c r="BM11" s="228">
        <v>151</v>
      </c>
      <c r="BN11" s="228">
        <v>253</v>
      </c>
      <c r="BO11" s="228">
        <v>-103</v>
      </c>
      <c r="BP11" s="229">
        <v>-0.40529999999999999</v>
      </c>
      <c r="BQ11" s="228">
        <v>706</v>
      </c>
      <c r="BR11" s="228">
        <v>933</v>
      </c>
      <c r="BS11" s="228">
        <v>-227</v>
      </c>
      <c r="BT11" s="229">
        <v>-0.24340000000000001</v>
      </c>
      <c r="BU11" s="230">
        <v>3950238</v>
      </c>
      <c r="BV11" s="230">
        <v>1093389</v>
      </c>
      <c r="BW11" s="230">
        <v>2856849</v>
      </c>
      <c r="BX11" s="229">
        <v>2.6128</v>
      </c>
      <c r="BY11" s="230">
        <v>2923</v>
      </c>
      <c r="BZ11" s="230">
        <v>2911</v>
      </c>
      <c r="CA11" s="228">
        <v>12</v>
      </c>
      <c r="CB11" s="229">
        <v>4.0000000000000001E-3</v>
      </c>
      <c r="CC11" s="230">
        <v>2865</v>
      </c>
      <c r="CD11" s="230">
        <v>2855</v>
      </c>
      <c r="CE11" s="228">
        <v>9</v>
      </c>
      <c r="CF11" s="229">
        <v>3.3E-3</v>
      </c>
      <c r="CG11" s="228">
        <v>52</v>
      </c>
      <c r="CH11" s="228">
        <v>51</v>
      </c>
      <c r="CI11" s="228">
        <v>2</v>
      </c>
      <c r="CJ11" s="229">
        <v>3.5099999999999999E-2</v>
      </c>
      <c r="CK11" s="228">
        <v>6</v>
      </c>
      <c r="CL11" s="228">
        <v>5</v>
      </c>
      <c r="CM11" s="228">
        <v>1</v>
      </c>
      <c r="CN11" s="229">
        <v>0.11360000000000001</v>
      </c>
      <c r="CO11" s="228">
        <v>663</v>
      </c>
      <c r="CP11" s="228">
        <v>665</v>
      </c>
      <c r="CQ11" s="228">
        <v>-1</v>
      </c>
      <c r="CR11" s="229">
        <v>-2.0999999999999999E-3</v>
      </c>
      <c r="CS11" s="228">
        <v>598</v>
      </c>
      <c r="CT11" s="228">
        <v>598</v>
      </c>
      <c r="CU11" s="228">
        <v>0</v>
      </c>
      <c r="CV11" s="229">
        <v>-2.9999999999999997E-4</v>
      </c>
      <c r="CW11" s="230">
        <v>4184</v>
      </c>
      <c r="CX11" s="230">
        <v>4174</v>
      </c>
      <c r="CY11" s="228">
        <v>10</v>
      </c>
      <c r="CZ11" s="229">
        <v>2.3999999999999998E-3</v>
      </c>
      <c r="DA11" s="228">
        <v>19.309999999999999</v>
      </c>
      <c r="DB11" s="228">
        <v>19.73</v>
      </c>
      <c r="DC11" s="228">
        <v>-0.42</v>
      </c>
      <c r="DD11" s="228">
        <v>-0.42</v>
      </c>
      <c r="DE11" s="228">
        <v>30.93</v>
      </c>
      <c r="DF11" s="228">
        <v>31.01</v>
      </c>
      <c r="DG11" s="228">
        <v>-11.62</v>
      </c>
      <c r="DH11" s="228">
        <v>-0.08</v>
      </c>
      <c r="DI11" s="228">
        <v>19.45</v>
      </c>
      <c r="DJ11" s="228">
        <v>20.13</v>
      </c>
      <c r="DK11" s="228">
        <v>-0.68</v>
      </c>
      <c r="DL11" s="228">
        <v>-0.68</v>
      </c>
      <c r="DM11" s="228">
        <v>18.989999999999998</v>
      </c>
      <c r="DN11" s="228">
        <v>19.13</v>
      </c>
      <c r="DO11" s="228">
        <v>-0.14000000000000001</v>
      </c>
      <c r="DP11" s="228">
        <v>-0.14000000000000001</v>
      </c>
      <c r="DQ11" s="228">
        <v>0.9</v>
      </c>
      <c r="DR11" s="228">
        <v>0.9</v>
      </c>
      <c r="DS11" s="228">
        <v>0</v>
      </c>
      <c r="DT11" s="229">
        <v>0</v>
      </c>
      <c r="DU11" s="228">
        <v>550</v>
      </c>
      <c r="DV11" s="228">
        <v>550</v>
      </c>
      <c r="DW11" s="228">
        <v>0.46</v>
      </c>
      <c r="DX11" s="228">
        <v>0.65</v>
      </c>
      <c r="DY11" s="228">
        <v>-0.19</v>
      </c>
      <c r="DZ11" s="229">
        <v>-0.2923</v>
      </c>
      <c r="EA11" s="229">
        <v>1.9900000000000001E-2</v>
      </c>
      <c r="EB11" s="230">
        <v>990150</v>
      </c>
      <c r="EC11" s="229">
        <v>5.7999999999999996E-3</v>
      </c>
      <c r="ED11" s="229">
        <v>1.9900000000000001E-2</v>
      </c>
      <c r="EE11" s="228">
        <v>3.42</v>
      </c>
      <c r="EF11" s="229">
        <v>6.0000000000000001E-3</v>
      </c>
      <c r="EG11" s="230">
        <v>3084698</v>
      </c>
      <c r="EH11" s="230">
        <v>543054</v>
      </c>
      <c r="EI11" s="229">
        <v>4.6802999999999999</v>
      </c>
      <c r="EJ11" s="229">
        <v>0.78090000000000004</v>
      </c>
      <c r="EK11" s="228">
        <v>342.18</v>
      </c>
      <c r="EL11" s="228">
        <v>150.33000000000001</v>
      </c>
      <c r="EM11" s="228">
        <v>224.76</v>
      </c>
      <c r="EN11" s="228">
        <v>42.52</v>
      </c>
      <c r="EO11" s="228">
        <v>717.27</v>
      </c>
      <c r="EP11" s="228">
        <v>951.7</v>
      </c>
      <c r="EQ11" s="228">
        <v>-234.43</v>
      </c>
      <c r="ER11" s="229">
        <v>-0.24629999999999999</v>
      </c>
      <c r="ES11" s="228">
        <v>672.91</v>
      </c>
      <c r="ET11" s="228">
        <v>592.63</v>
      </c>
      <c r="EU11" s="231">
        <v>2923.19</v>
      </c>
      <c r="EV11" s="231">
        <v>79841849</v>
      </c>
      <c r="EW11" s="231">
        <v>4188.7299999999996</v>
      </c>
      <c r="EX11" s="231">
        <v>4180.07</v>
      </c>
      <c r="EY11" s="228">
        <v>8.66</v>
      </c>
      <c r="EZ11" s="229">
        <v>2.0999999999999999E-3</v>
      </c>
      <c r="FA11" s="229">
        <v>0.92820000000000003</v>
      </c>
      <c r="FB11" s="227" t="s">
        <v>567</v>
      </c>
      <c r="FC11">
        <f t="shared" si="0"/>
        <v>58</v>
      </c>
    </row>
    <row r="12" spans="1:159" ht="17.25" thickBot="1" x14ac:dyDescent="0.3">
      <c r="A12" s="226">
        <v>46029</v>
      </c>
      <c r="B12" s="227" t="s">
        <v>175</v>
      </c>
      <c r="C12" s="227" t="s">
        <v>609</v>
      </c>
      <c r="D12" s="228">
        <v>250</v>
      </c>
      <c r="E12" s="228">
        <v>20</v>
      </c>
      <c r="F12" s="231">
        <v>2469.3000000000002</v>
      </c>
      <c r="G12" s="231">
        <v>2416</v>
      </c>
      <c r="H12" s="228">
        <v>53.3</v>
      </c>
      <c r="I12" s="229">
        <v>2.2100000000000002E-2</v>
      </c>
      <c r="J12" s="231">
        <v>2470.6</v>
      </c>
      <c r="K12" s="231">
        <v>2411.3000000000002</v>
      </c>
      <c r="L12" s="228">
        <v>59.3</v>
      </c>
      <c r="M12" s="229">
        <v>2.46E-2</v>
      </c>
      <c r="N12" s="231">
        <v>2469.3000000000002</v>
      </c>
      <c r="O12" s="231">
        <v>2416</v>
      </c>
      <c r="P12" s="228">
        <v>53.3</v>
      </c>
      <c r="Q12" s="229">
        <v>2.2100000000000002E-2</v>
      </c>
      <c r="R12" s="231">
        <v>2453</v>
      </c>
      <c r="S12" s="231">
        <v>2394.4</v>
      </c>
      <c r="T12" s="228">
        <v>58.6</v>
      </c>
      <c r="U12" s="229">
        <v>2.4500000000000001E-2</v>
      </c>
      <c r="V12" s="231">
        <v>2439.6</v>
      </c>
      <c r="W12" s="231">
        <v>2369.6</v>
      </c>
      <c r="X12" s="228">
        <v>70</v>
      </c>
      <c r="Y12" s="229">
        <v>2.9499999999999998E-2</v>
      </c>
      <c r="Z12" s="228">
        <v>-1.3</v>
      </c>
      <c r="AA12" s="228">
        <v>4.7</v>
      </c>
      <c r="AB12" s="228">
        <v>-6</v>
      </c>
      <c r="AC12" s="229">
        <v>-5.0000000000000001E-4</v>
      </c>
      <c r="AD12" s="228">
        <v>-1.3</v>
      </c>
      <c r="AE12" s="228">
        <v>4.7</v>
      </c>
      <c r="AF12" s="228">
        <v>-6</v>
      </c>
      <c r="AG12" s="229">
        <v>-5.0000000000000001E-4</v>
      </c>
      <c r="AH12" s="228">
        <v>-17.600000000000001</v>
      </c>
      <c r="AI12" s="228">
        <v>-16.899999999999999</v>
      </c>
      <c r="AJ12" s="228">
        <v>-0.7</v>
      </c>
      <c r="AK12" s="229">
        <v>-7.1000000000000004E-3</v>
      </c>
      <c r="AL12" s="228">
        <v>-31</v>
      </c>
      <c r="AM12" s="228">
        <v>-41.7</v>
      </c>
      <c r="AN12" s="228">
        <v>10.7</v>
      </c>
      <c r="AO12" s="229">
        <v>-1.2500000000000001E-2</v>
      </c>
      <c r="AP12" s="231">
        <v>2453.0700000000002</v>
      </c>
      <c r="AQ12" s="231">
        <v>2435.3000000000002</v>
      </c>
      <c r="AR12" s="228">
        <v>0</v>
      </c>
      <c r="AS12" s="228">
        <v>282</v>
      </c>
      <c r="AT12" s="228">
        <v>215</v>
      </c>
      <c r="AU12" s="228">
        <v>67</v>
      </c>
      <c r="AV12" s="229">
        <v>0.31080000000000002</v>
      </c>
      <c r="AW12" s="228">
        <v>261</v>
      </c>
      <c r="AX12" s="228">
        <v>188</v>
      </c>
      <c r="AY12" s="228">
        <v>74</v>
      </c>
      <c r="AZ12" s="229">
        <v>0.39219999999999999</v>
      </c>
      <c r="BA12" s="228">
        <v>19</v>
      </c>
      <c r="BB12" s="228">
        <v>26</v>
      </c>
      <c r="BC12" s="228">
        <v>-7</v>
      </c>
      <c r="BD12" s="229">
        <v>-0.27989999999999998</v>
      </c>
      <c r="BE12" s="228">
        <v>2</v>
      </c>
      <c r="BF12" s="228">
        <v>2</v>
      </c>
      <c r="BG12" s="228">
        <v>0</v>
      </c>
      <c r="BH12" s="229">
        <v>0.28570000000000001</v>
      </c>
      <c r="BI12" s="228">
        <v>965</v>
      </c>
      <c r="BJ12" s="228">
        <v>885</v>
      </c>
      <c r="BK12" s="228">
        <v>80</v>
      </c>
      <c r="BL12" s="229">
        <v>9.0499999999999997E-2</v>
      </c>
      <c r="BM12" s="228">
        <v>601</v>
      </c>
      <c r="BN12" s="228">
        <v>457</v>
      </c>
      <c r="BO12" s="228">
        <v>143</v>
      </c>
      <c r="BP12" s="229">
        <v>0.31280000000000002</v>
      </c>
      <c r="BQ12" s="230">
        <v>1847</v>
      </c>
      <c r="BR12" s="230">
        <v>1557</v>
      </c>
      <c r="BS12" s="228">
        <v>290</v>
      </c>
      <c r="BT12" s="229">
        <v>0.1862</v>
      </c>
      <c r="BU12" s="230">
        <v>573484</v>
      </c>
      <c r="BV12" s="230">
        <v>484884</v>
      </c>
      <c r="BW12" s="230">
        <v>88600</v>
      </c>
      <c r="BX12" s="229">
        <v>0.1827</v>
      </c>
      <c r="BY12" s="228">
        <v>989</v>
      </c>
      <c r="BZ12" s="230">
        <v>1000</v>
      </c>
      <c r="CA12" s="228">
        <v>-12</v>
      </c>
      <c r="CB12" s="229">
        <v>-1.1900000000000001E-2</v>
      </c>
      <c r="CC12" s="228">
        <v>930</v>
      </c>
      <c r="CD12" s="228">
        <v>945</v>
      </c>
      <c r="CE12" s="228">
        <v>-15</v>
      </c>
      <c r="CF12" s="229">
        <v>-1.6199999999999999E-2</v>
      </c>
      <c r="CG12" s="228">
        <v>55</v>
      </c>
      <c r="CH12" s="228">
        <v>52</v>
      </c>
      <c r="CI12" s="228">
        <v>4</v>
      </c>
      <c r="CJ12" s="229">
        <v>6.93E-2</v>
      </c>
      <c r="CK12" s="228">
        <v>4</v>
      </c>
      <c r="CL12" s="228">
        <v>4</v>
      </c>
      <c r="CM12" s="228">
        <v>0</v>
      </c>
      <c r="CN12" s="229">
        <v>-4.6899999999999997E-2</v>
      </c>
      <c r="CO12" s="228">
        <v>483</v>
      </c>
      <c r="CP12" s="228">
        <v>526</v>
      </c>
      <c r="CQ12" s="228">
        <v>-43</v>
      </c>
      <c r="CR12" s="229">
        <v>-8.1000000000000003E-2</v>
      </c>
      <c r="CS12" s="228">
        <v>484</v>
      </c>
      <c r="CT12" s="228">
        <v>461</v>
      </c>
      <c r="CU12" s="228">
        <v>23</v>
      </c>
      <c r="CV12" s="229">
        <v>5.0099999999999999E-2</v>
      </c>
      <c r="CW12" s="230">
        <v>1956</v>
      </c>
      <c r="CX12" s="230">
        <v>1987</v>
      </c>
      <c r="CY12" s="228">
        <v>-31</v>
      </c>
      <c r="CZ12" s="229">
        <v>-1.5800000000000002E-2</v>
      </c>
      <c r="DA12" s="228">
        <v>41.86</v>
      </c>
      <c r="DB12" s="228">
        <v>40.93</v>
      </c>
      <c r="DC12" s="228">
        <v>0.93</v>
      </c>
      <c r="DD12" s="228">
        <v>0.93</v>
      </c>
      <c r="DE12" s="228">
        <v>51.64</v>
      </c>
      <c r="DF12" s="228">
        <v>51.69</v>
      </c>
      <c r="DG12" s="228">
        <v>-9.7799999999999994</v>
      </c>
      <c r="DH12" s="228">
        <v>-0.05</v>
      </c>
      <c r="DI12" s="228">
        <v>41.18</v>
      </c>
      <c r="DJ12" s="228">
        <v>40.6</v>
      </c>
      <c r="DK12" s="228">
        <v>0.57999999999999996</v>
      </c>
      <c r="DL12" s="228">
        <v>0.57999999999999996</v>
      </c>
      <c r="DM12" s="228">
        <v>42.96</v>
      </c>
      <c r="DN12" s="228">
        <v>41.58</v>
      </c>
      <c r="DO12" s="228">
        <v>1.38</v>
      </c>
      <c r="DP12" s="228">
        <v>1.38</v>
      </c>
      <c r="DQ12" s="228">
        <v>1</v>
      </c>
      <c r="DR12" s="228">
        <v>0.88</v>
      </c>
      <c r="DS12" s="228">
        <v>0.12</v>
      </c>
      <c r="DT12" s="229">
        <v>0.13639999999999999</v>
      </c>
      <c r="DU12" s="231">
        <v>2600</v>
      </c>
      <c r="DV12" s="231">
        <v>2200</v>
      </c>
      <c r="DW12" s="228">
        <v>0.62</v>
      </c>
      <c r="DX12" s="228">
        <v>0.52</v>
      </c>
      <c r="DY12" s="228">
        <v>0.1</v>
      </c>
      <c r="DZ12" s="229">
        <v>0.1923</v>
      </c>
      <c r="EA12" s="229">
        <v>5.9700000000000003E-2</v>
      </c>
      <c r="EB12" s="230">
        <v>225250</v>
      </c>
      <c r="EC12" s="229">
        <v>-6.6E-3</v>
      </c>
      <c r="ED12" s="229">
        <v>5.9700000000000003E-2</v>
      </c>
      <c r="EE12" s="228">
        <v>-17.77</v>
      </c>
      <c r="EF12" s="229">
        <v>-7.1999999999999998E-3</v>
      </c>
      <c r="EG12" s="230">
        <v>190674</v>
      </c>
      <c r="EH12" s="230">
        <v>109712</v>
      </c>
      <c r="EI12" s="229">
        <v>0.73799999999999999</v>
      </c>
      <c r="EJ12" s="229">
        <v>0.33250000000000002</v>
      </c>
      <c r="EK12" s="231">
        <v>1021.13</v>
      </c>
      <c r="EL12" s="228">
        <v>574.51</v>
      </c>
      <c r="EM12" s="228">
        <v>279.98</v>
      </c>
      <c r="EN12" s="228">
        <v>42.75</v>
      </c>
      <c r="EO12" s="231">
        <v>1875.62</v>
      </c>
      <c r="EP12" s="231">
        <v>1573.15</v>
      </c>
      <c r="EQ12" s="228">
        <v>302.47000000000003</v>
      </c>
      <c r="ER12" s="229">
        <v>0.1923</v>
      </c>
      <c r="ES12" s="228">
        <v>508.72</v>
      </c>
      <c r="ET12" s="228">
        <v>454.49</v>
      </c>
      <c r="EU12" s="228">
        <v>988.17</v>
      </c>
      <c r="EV12" s="231">
        <v>9673308</v>
      </c>
      <c r="EW12" s="231">
        <v>1951.39</v>
      </c>
      <c r="EX12" s="231">
        <v>1959.55</v>
      </c>
      <c r="EY12" s="228">
        <v>-8.16</v>
      </c>
      <c r="EZ12" s="229">
        <v>-4.1999999999999997E-3</v>
      </c>
      <c r="FA12" s="229">
        <v>0.81879999999999997</v>
      </c>
      <c r="FB12" s="227" t="s">
        <v>556</v>
      </c>
      <c r="FC12">
        <f t="shared" si="0"/>
        <v>59</v>
      </c>
    </row>
    <row r="13" spans="1:159" ht="17.25" thickBot="1" x14ac:dyDescent="0.3">
      <c r="A13" s="226">
        <v>46029</v>
      </c>
      <c r="B13" s="227" t="s">
        <v>227</v>
      </c>
      <c r="C13" s="227" t="s">
        <v>598</v>
      </c>
      <c r="D13" s="228">
        <v>350</v>
      </c>
      <c r="E13" s="228">
        <v>20</v>
      </c>
      <c r="F13" s="231">
        <v>1957.5</v>
      </c>
      <c r="G13" s="231">
        <v>1953.3</v>
      </c>
      <c r="H13" s="228">
        <v>4.2</v>
      </c>
      <c r="I13" s="229">
        <v>2.2000000000000001E-3</v>
      </c>
      <c r="J13" s="231">
        <v>1949.8</v>
      </c>
      <c r="K13" s="231">
        <v>1947.9</v>
      </c>
      <c r="L13" s="228">
        <v>1.9</v>
      </c>
      <c r="M13" s="229">
        <v>1E-3</v>
      </c>
      <c r="N13" s="231">
        <v>1957.5</v>
      </c>
      <c r="O13" s="231">
        <v>1953.3</v>
      </c>
      <c r="P13" s="228">
        <v>4.2</v>
      </c>
      <c r="Q13" s="229">
        <v>2.2000000000000001E-3</v>
      </c>
      <c r="R13" s="231">
        <v>1965</v>
      </c>
      <c r="S13" s="231">
        <v>1965.1</v>
      </c>
      <c r="T13" s="228">
        <v>-0.1</v>
      </c>
      <c r="U13" s="229">
        <v>-1E-4</v>
      </c>
      <c r="V13" s="231">
        <v>1977.4</v>
      </c>
      <c r="W13" s="231">
        <v>1973</v>
      </c>
      <c r="X13" s="228">
        <v>4.4000000000000004</v>
      </c>
      <c r="Y13" s="229">
        <v>2.2000000000000001E-3</v>
      </c>
      <c r="Z13" s="228">
        <v>7.7</v>
      </c>
      <c r="AA13" s="228">
        <v>5.4</v>
      </c>
      <c r="AB13" s="228">
        <v>2.2999999999999998</v>
      </c>
      <c r="AC13" s="229">
        <v>3.8999999999999998E-3</v>
      </c>
      <c r="AD13" s="228">
        <v>7.7</v>
      </c>
      <c r="AE13" s="228">
        <v>5.4</v>
      </c>
      <c r="AF13" s="228">
        <v>2.2999999999999998</v>
      </c>
      <c r="AG13" s="229">
        <v>3.8999999999999998E-3</v>
      </c>
      <c r="AH13" s="228">
        <v>15.2</v>
      </c>
      <c r="AI13" s="228">
        <v>17.2</v>
      </c>
      <c r="AJ13" s="228">
        <v>-2</v>
      </c>
      <c r="AK13" s="229">
        <v>7.7999999999999996E-3</v>
      </c>
      <c r="AL13" s="228">
        <v>27.6</v>
      </c>
      <c r="AM13" s="228">
        <v>25.1</v>
      </c>
      <c r="AN13" s="228">
        <v>2.5</v>
      </c>
      <c r="AO13" s="229">
        <v>1.4200000000000001E-2</v>
      </c>
      <c r="AP13" s="231">
        <v>1952.04</v>
      </c>
      <c r="AQ13" s="231">
        <v>1963.71</v>
      </c>
      <c r="AR13" s="228">
        <v>0</v>
      </c>
      <c r="AS13" s="228">
        <v>72</v>
      </c>
      <c r="AT13" s="228">
        <v>135</v>
      </c>
      <c r="AU13" s="228">
        <v>-63</v>
      </c>
      <c r="AV13" s="229">
        <v>-0.46379999999999999</v>
      </c>
      <c r="AW13" s="228">
        <v>71</v>
      </c>
      <c r="AX13" s="228">
        <v>131</v>
      </c>
      <c r="AY13" s="228">
        <v>-60</v>
      </c>
      <c r="AZ13" s="229">
        <v>-0.45900000000000002</v>
      </c>
      <c r="BA13" s="228">
        <v>1</v>
      </c>
      <c r="BB13" s="228">
        <v>3</v>
      </c>
      <c r="BC13" s="228">
        <v>-2</v>
      </c>
      <c r="BD13" s="229">
        <v>-0.56520000000000004</v>
      </c>
      <c r="BE13" s="228">
        <v>0</v>
      </c>
      <c r="BF13" s="228">
        <v>1</v>
      </c>
      <c r="BG13" s="228">
        <v>-1</v>
      </c>
      <c r="BH13" s="229">
        <v>-0.78569999999999995</v>
      </c>
      <c r="BI13" s="228">
        <v>89</v>
      </c>
      <c r="BJ13" s="228">
        <v>172</v>
      </c>
      <c r="BK13" s="228">
        <v>-84</v>
      </c>
      <c r="BL13" s="229">
        <v>-0.48509999999999998</v>
      </c>
      <c r="BM13" s="228">
        <v>20</v>
      </c>
      <c r="BN13" s="228">
        <v>41</v>
      </c>
      <c r="BO13" s="228">
        <v>-22</v>
      </c>
      <c r="BP13" s="229">
        <v>-0.52229999999999999</v>
      </c>
      <c r="BQ13" s="228">
        <v>181</v>
      </c>
      <c r="BR13" s="228">
        <v>349</v>
      </c>
      <c r="BS13" s="228">
        <v>-168</v>
      </c>
      <c r="BT13" s="229">
        <v>-0.48130000000000001</v>
      </c>
      <c r="BU13" s="230">
        <v>327527</v>
      </c>
      <c r="BV13" s="230">
        <v>534243</v>
      </c>
      <c r="BW13" s="230">
        <v>-206716</v>
      </c>
      <c r="BX13" s="229">
        <v>-0.38690000000000002</v>
      </c>
      <c r="BY13" s="230">
        <v>1929</v>
      </c>
      <c r="BZ13" s="230">
        <v>1940</v>
      </c>
      <c r="CA13" s="228">
        <v>-11</v>
      </c>
      <c r="CB13" s="229">
        <v>-5.5999999999999999E-3</v>
      </c>
      <c r="CC13" s="230">
        <v>1913</v>
      </c>
      <c r="CD13" s="230">
        <v>1924</v>
      </c>
      <c r="CE13" s="228">
        <v>-11</v>
      </c>
      <c r="CF13" s="229">
        <v>-5.7000000000000002E-3</v>
      </c>
      <c r="CG13" s="228">
        <v>15</v>
      </c>
      <c r="CH13" s="228">
        <v>15</v>
      </c>
      <c r="CI13" s="228">
        <v>0</v>
      </c>
      <c r="CJ13" s="229">
        <v>1.38E-2</v>
      </c>
      <c r="CK13" s="228">
        <v>1</v>
      </c>
      <c r="CL13" s="228">
        <v>1</v>
      </c>
      <c r="CM13" s="228">
        <v>0</v>
      </c>
      <c r="CN13" s="229">
        <v>0</v>
      </c>
      <c r="CO13" s="228">
        <v>231</v>
      </c>
      <c r="CP13" s="228">
        <v>227</v>
      </c>
      <c r="CQ13" s="228">
        <v>4</v>
      </c>
      <c r="CR13" s="229">
        <v>1.5699999999999999E-2</v>
      </c>
      <c r="CS13" s="228">
        <v>126</v>
      </c>
      <c r="CT13" s="228">
        <v>123</v>
      </c>
      <c r="CU13" s="228">
        <v>2</v>
      </c>
      <c r="CV13" s="229">
        <v>1.83E-2</v>
      </c>
      <c r="CW13" s="230">
        <v>2286</v>
      </c>
      <c r="CX13" s="230">
        <v>2291</v>
      </c>
      <c r="CY13" s="228">
        <v>-5</v>
      </c>
      <c r="CZ13" s="229">
        <v>-2.2000000000000001E-3</v>
      </c>
      <c r="DA13" s="228">
        <v>24.58</v>
      </c>
      <c r="DB13" s="228">
        <v>25.02</v>
      </c>
      <c r="DC13" s="228">
        <v>-0.44</v>
      </c>
      <c r="DD13" s="228">
        <v>-0.44</v>
      </c>
      <c r="DE13" s="228">
        <v>32.020000000000003</v>
      </c>
      <c r="DF13" s="228">
        <v>32.1</v>
      </c>
      <c r="DG13" s="228">
        <v>-7.44</v>
      </c>
      <c r="DH13" s="228">
        <v>-0.08</v>
      </c>
      <c r="DI13" s="228">
        <v>24.62</v>
      </c>
      <c r="DJ13" s="228">
        <v>25</v>
      </c>
      <c r="DK13" s="228">
        <v>-0.38</v>
      </c>
      <c r="DL13" s="228">
        <v>-0.38</v>
      </c>
      <c r="DM13" s="228">
        <v>24.41</v>
      </c>
      <c r="DN13" s="228">
        <v>25.1</v>
      </c>
      <c r="DO13" s="228">
        <v>-0.69</v>
      </c>
      <c r="DP13" s="228">
        <v>-0.69</v>
      </c>
      <c r="DQ13" s="228">
        <v>0.54</v>
      </c>
      <c r="DR13" s="228">
        <v>0.54</v>
      </c>
      <c r="DS13" s="228">
        <v>0</v>
      </c>
      <c r="DT13" s="229">
        <v>0</v>
      </c>
      <c r="DU13" s="231">
        <v>2000</v>
      </c>
      <c r="DV13" s="231">
        <v>1900</v>
      </c>
      <c r="DW13" s="228">
        <v>0.22</v>
      </c>
      <c r="DX13" s="228">
        <v>0.24</v>
      </c>
      <c r="DY13" s="228">
        <v>-0.02</v>
      </c>
      <c r="DZ13" s="229">
        <v>-8.3299999999999999E-2</v>
      </c>
      <c r="EA13" s="229">
        <v>8.6E-3</v>
      </c>
      <c r="EB13" s="230">
        <v>83300</v>
      </c>
      <c r="EC13" s="229">
        <v>3.8E-3</v>
      </c>
      <c r="ED13" s="229">
        <v>8.6E-3</v>
      </c>
      <c r="EE13" s="228">
        <v>11.67</v>
      </c>
      <c r="EF13" s="229">
        <v>6.0000000000000001E-3</v>
      </c>
      <c r="EG13" s="230">
        <v>220272</v>
      </c>
      <c r="EH13" s="230">
        <v>357014</v>
      </c>
      <c r="EI13" s="229">
        <v>-0.38300000000000001</v>
      </c>
      <c r="EJ13" s="229">
        <v>0.67249999999999999</v>
      </c>
      <c r="EK13" s="228">
        <v>92.43</v>
      </c>
      <c r="EL13" s="228">
        <v>19.579999999999998</v>
      </c>
      <c r="EM13" s="228">
        <v>72.290000000000006</v>
      </c>
      <c r="EN13" s="228">
        <v>37.909999999999997</v>
      </c>
      <c r="EO13" s="228">
        <v>184.31</v>
      </c>
      <c r="EP13" s="228">
        <v>356.12</v>
      </c>
      <c r="EQ13" s="228">
        <v>-171.81</v>
      </c>
      <c r="ER13" s="229">
        <v>-0.48249999999999998</v>
      </c>
      <c r="ES13" s="228">
        <v>236.69</v>
      </c>
      <c r="ET13" s="228">
        <v>119.86</v>
      </c>
      <c r="EU13" s="231">
        <v>1929.45</v>
      </c>
      <c r="EV13" s="231">
        <v>23068453</v>
      </c>
      <c r="EW13" s="231">
        <v>2286</v>
      </c>
      <c r="EX13" s="231">
        <v>2286.4899999999998</v>
      </c>
      <c r="EY13" s="228">
        <v>-0.49</v>
      </c>
      <c r="EZ13" s="229">
        <v>-2.0000000000000001E-4</v>
      </c>
      <c r="FA13" s="229">
        <v>0.50619999999999998</v>
      </c>
      <c r="FB13" s="227" t="s">
        <v>556</v>
      </c>
      <c r="FC13">
        <f t="shared" si="0"/>
        <v>16</v>
      </c>
    </row>
    <row r="14" spans="1:159" ht="17.25" thickBot="1" x14ac:dyDescent="0.3">
      <c r="A14" s="226">
        <v>46029</v>
      </c>
      <c r="B14" s="227" t="s">
        <v>170</v>
      </c>
      <c r="C14" s="227" t="s">
        <v>165</v>
      </c>
      <c r="D14" s="228">
        <v>125</v>
      </c>
      <c r="E14" s="228">
        <v>20</v>
      </c>
      <c r="F14" s="231">
        <v>7474</v>
      </c>
      <c r="G14" s="231">
        <v>7365</v>
      </c>
      <c r="H14" s="228">
        <v>109</v>
      </c>
      <c r="I14" s="229">
        <v>1.4800000000000001E-2</v>
      </c>
      <c r="J14" s="231">
        <v>7447.5</v>
      </c>
      <c r="K14" s="231">
        <v>7348</v>
      </c>
      <c r="L14" s="228">
        <v>99.5</v>
      </c>
      <c r="M14" s="229">
        <v>1.35E-2</v>
      </c>
      <c r="N14" s="231">
        <v>7474</v>
      </c>
      <c r="O14" s="231">
        <v>7365</v>
      </c>
      <c r="P14" s="228">
        <v>109</v>
      </c>
      <c r="Q14" s="229">
        <v>1.4800000000000001E-2</v>
      </c>
      <c r="R14" s="231">
        <v>7507.5</v>
      </c>
      <c r="S14" s="231">
        <v>7404</v>
      </c>
      <c r="T14" s="228">
        <v>103.5</v>
      </c>
      <c r="U14" s="229">
        <v>1.4E-2</v>
      </c>
      <c r="V14" s="231">
        <v>7558.5</v>
      </c>
      <c r="W14" s="231">
        <v>7443.5</v>
      </c>
      <c r="X14" s="228">
        <v>115</v>
      </c>
      <c r="Y14" s="229">
        <v>1.54E-2</v>
      </c>
      <c r="Z14" s="228">
        <v>26.5</v>
      </c>
      <c r="AA14" s="228">
        <v>17</v>
      </c>
      <c r="AB14" s="228">
        <v>9.5</v>
      </c>
      <c r="AC14" s="229">
        <v>3.5999999999999999E-3</v>
      </c>
      <c r="AD14" s="228">
        <v>26.5</v>
      </c>
      <c r="AE14" s="228">
        <v>17</v>
      </c>
      <c r="AF14" s="228">
        <v>9.5</v>
      </c>
      <c r="AG14" s="229">
        <v>3.5999999999999999E-3</v>
      </c>
      <c r="AH14" s="228">
        <v>60</v>
      </c>
      <c r="AI14" s="228">
        <v>56</v>
      </c>
      <c r="AJ14" s="228">
        <v>4</v>
      </c>
      <c r="AK14" s="229">
        <v>8.0999999999999996E-3</v>
      </c>
      <c r="AL14" s="228">
        <v>111</v>
      </c>
      <c r="AM14" s="228">
        <v>95.5</v>
      </c>
      <c r="AN14" s="228">
        <v>15.5</v>
      </c>
      <c r="AO14" s="229">
        <v>1.49E-2</v>
      </c>
      <c r="AP14" s="231">
        <v>7445.8</v>
      </c>
      <c r="AQ14" s="231">
        <v>7484.46</v>
      </c>
      <c r="AR14" s="228">
        <v>0</v>
      </c>
      <c r="AS14" s="228">
        <v>662</v>
      </c>
      <c r="AT14" s="228">
        <v>737</v>
      </c>
      <c r="AU14" s="228">
        <v>-74</v>
      </c>
      <c r="AV14" s="229">
        <v>-0.10100000000000001</v>
      </c>
      <c r="AW14" s="228">
        <v>633</v>
      </c>
      <c r="AX14" s="228">
        <v>713</v>
      </c>
      <c r="AY14" s="228">
        <v>-80</v>
      </c>
      <c r="AZ14" s="229">
        <v>-0.1124</v>
      </c>
      <c r="BA14" s="228">
        <v>22</v>
      </c>
      <c r="BB14" s="228">
        <v>21</v>
      </c>
      <c r="BC14" s="228">
        <v>1</v>
      </c>
      <c r="BD14" s="229">
        <v>5.91E-2</v>
      </c>
      <c r="BE14" s="228">
        <v>8</v>
      </c>
      <c r="BF14" s="228">
        <v>3</v>
      </c>
      <c r="BG14" s="228">
        <v>5</v>
      </c>
      <c r="BH14" s="229">
        <v>1.4412</v>
      </c>
      <c r="BI14" s="230">
        <v>5907</v>
      </c>
      <c r="BJ14" s="230">
        <v>6621</v>
      </c>
      <c r="BK14" s="228">
        <v>-714</v>
      </c>
      <c r="BL14" s="229">
        <v>-0.1079</v>
      </c>
      <c r="BM14" s="230">
        <v>2326</v>
      </c>
      <c r="BN14" s="230">
        <v>2146</v>
      </c>
      <c r="BO14" s="228">
        <v>180</v>
      </c>
      <c r="BP14" s="229">
        <v>8.4099999999999994E-2</v>
      </c>
      <c r="BQ14" s="230">
        <v>8895</v>
      </c>
      <c r="BR14" s="230">
        <v>9503</v>
      </c>
      <c r="BS14" s="228">
        <v>-608</v>
      </c>
      <c r="BT14" s="229">
        <v>-6.4000000000000001E-2</v>
      </c>
      <c r="BU14" s="230">
        <v>652758</v>
      </c>
      <c r="BV14" s="230">
        <v>599077</v>
      </c>
      <c r="BW14" s="230">
        <v>53681</v>
      </c>
      <c r="BX14" s="229">
        <v>8.9599999999999999E-2</v>
      </c>
      <c r="BY14" s="230">
        <v>2280</v>
      </c>
      <c r="BZ14" s="230">
        <v>2228</v>
      </c>
      <c r="CA14" s="228">
        <v>52</v>
      </c>
      <c r="CB14" s="229">
        <v>2.3400000000000001E-2</v>
      </c>
      <c r="CC14" s="230">
        <v>2232</v>
      </c>
      <c r="CD14" s="230">
        <v>2183</v>
      </c>
      <c r="CE14" s="228">
        <v>49</v>
      </c>
      <c r="CF14" s="229">
        <v>2.23E-2</v>
      </c>
      <c r="CG14" s="228">
        <v>40</v>
      </c>
      <c r="CH14" s="228">
        <v>42</v>
      </c>
      <c r="CI14" s="228">
        <v>-1</v>
      </c>
      <c r="CJ14" s="229">
        <v>-3.1300000000000001E-2</v>
      </c>
      <c r="CK14" s="228">
        <v>8</v>
      </c>
      <c r="CL14" s="228">
        <v>3</v>
      </c>
      <c r="CM14" s="228">
        <v>5</v>
      </c>
      <c r="CN14" s="229">
        <v>1.6774</v>
      </c>
      <c r="CO14" s="228">
        <v>905</v>
      </c>
      <c r="CP14" s="228">
        <v>841</v>
      </c>
      <c r="CQ14" s="228">
        <v>64</v>
      </c>
      <c r="CR14" s="229">
        <v>7.5800000000000006E-2</v>
      </c>
      <c r="CS14" s="228">
        <v>883</v>
      </c>
      <c r="CT14" s="228">
        <v>719</v>
      </c>
      <c r="CU14" s="228">
        <v>164</v>
      </c>
      <c r="CV14" s="229">
        <v>0.22850000000000001</v>
      </c>
      <c r="CW14" s="230">
        <v>4068</v>
      </c>
      <c r="CX14" s="230">
        <v>3788</v>
      </c>
      <c r="CY14" s="228">
        <v>280</v>
      </c>
      <c r="CZ14" s="229">
        <v>7.3999999999999996E-2</v>
      </c>
      <c r="DA14" s="228">
        <v>18.11</v>
      </c>
      <c r="DB14" s="228">
        <v>17.71</v>
      </c>
      <c r="DC14" s="228">
        <v>0.4</v>
      </c>
      <c r="DD14" s="228">
        <v>0.4</v>
      </c>
      <c r="DE14" s="228">
        <v>24.99</v>
      </c>
      <c r="DF14" s="228">
        <v>24.99</v>
      </c>
      <c r="DG14" s="228">
        <v>-6.88</v>
      </c>
      <c r="DH14" s="228">
        <v>0</v>
      </c>
      <c r="DI14" s="228">
        <v>17.920000000000002</v>
      </c>
      <c r="DJ14" s="228">
        <v>17.54</v>
      </c>
      <c r="DK14" s="228">
        <v>0.38</v>
      </c>
      <c r="DL14" s="228">
        <v>0.38</v>
      </c>
      <c r="DM14" s="228">
        <v>18.600000000000001</v>
      </c>
      <c r="DN14" s="228">
        <v>18.23</v>
      </c>
      <c r="DO14" s="228">
        <v>0.37</v>
      </c>
      <c r="DP14" s="228">
        <v>0.37</v>
      </c>
      <c r="DQ14" s="228">
        <v>0.98</v>
      </c>
      <c r="DR14" s="228">
        <v>0.85</v>
      </c>
      <c r="DS14" s="228">
        <v>0.13</v>
      </c>
      <c r="DT14" s="229">
        <v>0.15290000000000001</v>
      </c>
      <c r="DU14" s="231">
        <v>7500</v>
      </c>
      <c r="DV14" s="231">
        <v>7300</v>
      </c>
      <c r="DW14" s="228">
        <v>0.39</v>
      </c>
      <c r="DX14" s="228">
        <v>0.32</v>
      </c>
      <c r="DY14" s="228">
        <v>7.0000000000000007E-2</v>
      </c>
      <c r="DZ14" s="229">
        <v>0.21879999999999999</v>
      </c>
      <c r="EA14" s="229">
        <v>2.1100000000000001E-2</v>
      </c>
      <c r="EB14" s="230">
        <v>59750</v>
      </c>
      <c r="EC14" s="229">
        <v>4.4999999999999997E-3</v>
      </c>
      <c r="ED14" s="229">
        <v>2.1100000000000001E-2</v>
      </c>
      <c r="EE14" s="228">
        <v>38.659999999999997</v>
      </c>
      <c r="EF14" s="229">
        <v>5.1999999999999998E-3</v>
      </c>
      <c r="EG14" s="230">
        <v>356486</v>
      </c>
      <c r="EH14" s="230">
        <v>293132</v>
      </c>
      <c r="EI14" s="229">
        <v>0.21609999999999999</v>
      </c>
      <c r="EJ14" s="229">
        <v>0.54610000000000003</v>
      </c>
      <c r="EK14" s="231">
        <v>6067.04</v>
      </c>
      <c r="EL14" s="231">
        <v>2280</v>
      </c>
      <c r="EM14" s="228">
        <v>660.01</v>
      </c>
      <c r="EN14" s="228">
        <v>35.96</v>
      </c>
      <c r="EO14" s="231">
        <v>9007.0499999999993</v>
      </c>
      <c r="EP14" s="231">
        <v>9426.9599999999991</v>
      </c>
      <c r="EQ14" s="228">
        <v>-419.92</v>
      </c>
      <c r="ER14" s="229">
        <v>-4.4499999999999998E-2</v>
      </c>
      <c r="ES14" s="228">
        <v>912.53</v>
      </c>
      <c r="ET14" s="228">
        <v>836.12</v>
      </c>
      <c r="EU14" s="231">
        <v>2280.21</v>
      </c>
      <c r="EV14" s="231">
        <v>15524629</v>
      </c>
      <c r="EW14" s="231">
        <v>4028.86</v>
      </c>
      <c r="EX14" s="231">
        <v>3708.48</v>
      </c>
      <c r="EY14" s="228">
        <v>320.38</v>
      </c>
      <c r="EZ14" s="229">
        <v>8.6400000000000005E-2</v>
      </c>
      <c r="FA14" s="229">
        <v>0.35060000000000002</v>
      </c>
      <c r="FB14" s="227" t="s">
        <v>555</v>
      </c>
      <c r="FC14">
        <f t="shared" si="0"/>
        <v>48</v>
      </c>
    </row>
    <row r="15" spans="1:159" ht="17.25" thickBot="1" x14ac:dyDescent="0.3">
      <c r="A15" s="226">
        <v>46029</v>
      </c>
      <c r="B15" s="227" t="s">
        <v>162</v>
      </c>
      <c r="C15" s="227" t="s">
        <v>167</v>
      </c>
      <c r="D15" s="228">
        <v>5000</v>
      </c>
      <c r="E15" s="228">
        <v>20</v>
      </c>
      <c r="F15" s="228">
        <v>185.76</v>
      </c>
      <c r="G15" s="228">
        <v>185.97</v>
      </c>
      <c r="H15" s="228">
        <v>-0.21</v>
      </c>
      <c r="I15" s="229">
        <v>-1.1000000000000001E-3</v>
      </c>
      <c r="J15" s="228">
        <v>186.12</v>
      </c>
      <c r="K15" s="228">
        <v>186.15</v>
      </c>
      <c r="L15" s="228">
        <v>-0.03</v>
      </c>
      <c r="M15" s="229">
        <v>-2.0000000000000001E-4</v>
      </c>
      <c r="N15" s="228">
        <v>185.76</v>
      </c>
      <c r="O15" s="228">
        <v>185.97</v>
      </c>
      <c r="P15" s="228">
        <v>-0.21</v>
      </c>
      <c r="Q15" s="229">
        <v>-1.1000000000000001E-3</v>
      </c>
      <c r="R15" s="228">
        <v>184.26</v>
      </c>
      <c r="S15" s="228">
        <v>183.93</v>
      </c>
      <c r="T15" s="228">
        <v>0.33</v>
      </c>
      <c r="U15" s="229">
        <v>1.8E-3</v>
      </c>
      <c r="V15" s="228">
        <v>183.14</v>
      </c>
      <c r="W15" s="228">
        <v>181.7</v>
      </c>
      <c r="X15" s="228">
        <v>1.44</v>
      </c>
      <c r="Y15" s="229">
        <v>7.9000000000000008E-3</v>
      </c>
      <c r="Z15" s="228">
        <v>-0.36</v>
      </c>
      <c r="AA15" s="228">
        <v>-0.18</v>
      </c>
      <c r="AB15" s="228">
        <v>-0.18</v>
      </c>
      <c r="AC15" s="229">
        <v>-1.9E-3</v>
      </c>
      <c r="AD15" s="228">
        <v>-0.36</v>
      </c>
      <c r="AE15" s="228">
        <v>-0.18</v>
      </c>
      <c r="AF15" s="228">
        <v>-0.18</v>
      </c>
      <c r="AG15" s="229">
        <v>-1.9E-3</v>
      </c>
      <c r="AH15" s="228">
        <v>-1.86</v>
      </c>
      <c r="AI15" s="228">
        <v>-2.2200000000000002</v>
      </c>
      <c r="AJ15" s="228">
        <v>0.36</v>
      </c>
      <c r="AK15" s="229">
        <v>-0.01</v>
      </c>
      <c r="AL15" s="228">
        <v>-2.98</v>
      </c>
      <c r="AM15" s="228">
        <v>-4.45</v>
      </c>
      <c r="AN15" s="228">
        <v>1.47</v>
      </c>
      <c r="AO15" s="229">
        <v>-1.6E-2</v>
      </c>
      <c r="AP15" s="228">
        <v>185.23</v>
      </c>
      <c r="AQ15" s="228">
        <v>183.66</v>
      </c>
      <c r="AR15" s="228">
        <v>0</v>
      </c>
      <c r="AS15" s="228">
        <v>358</v>
      </c>
      <c r="AT15" s="228">
        <v>286</v>
      </c>
      <c r="AU15" s="228">
        <v>72</v>
      </c>
      <c r="AV15" s="229">
        <v>0.25259999999999999</v>
      </c>
      <c r="AW15" s="228">
        <v>289</v>
      </c>
      <c r="AX15" s="228">
        <v>269</v>
      </c>
      <c r="AY15" s="228">
        <v>20</v>
      </c>
      <c r="AZ15" s="229">
        <v>7.4499999999999997E-2</v>
      </c>
      <c r="BA15" s="228">
        <v>67</v>
      </c>
      <c r="BB15" s="228">
        <v>15</v>
      </c>
      <c r="BC15" s="228">
        <v>52</v>
      </c>
      <c r="BD15" s="229">
        <v>3.472</v>
      </c>
      <c r="BE15" s="228">
        <v>2</v>
      </c>
      <c r="BF15" s="228">
        <v>2</v>
      </c>
      <c r="BG15" s="228">
        <v>0</v>
      </c>
      <c r="BH15" s="229">
        <v>0.1176</v>
      </c>
      <c r="BI15" s="228">
        <v>678</v>
      </c>
      <c r="BJ15" s="230">
        <v>1048</v>
      </c>
      <c r="BK15" s="228">
        <v>-370</v>
      </c>
      <c r="BL15" s="229">
        <v>-0.3528</v>
      </c>
      <c r="BM15" s="228">
        <v>399</v>
      </c>
      <c r="BN15" s="228">
        <v>414</v>
      </c>
      <c r="BO15" s="228">
        <v>-16</v>
      </c>
      <c r="BP15" s="229">
        <v>-3.7400000000000003E-2</v>
      </c>
      <c r="BQ15" s="230">
        <v>1435</v>
      </c>
      <c r="BR15" s="230">
        <v>1748</v>
      </c>
      <c r="BS15" s="228">
        <v>-313</v>
      </c>
      <c r="BT15" s="229">
        <v>-0.17899999999999999</v>
      </c>
      <c r="BU15" s="230">
        <v>9694424</v>
      </c>
      <c r="BV15" s="230">
        <v>9367141</v>
      </c>
      <c r="BW15" s="230">
        <v>327283</v>
      </c>
      <c r="BX15" s="229">
        <v>3.49E-2</v>
      </c>
      <c r="BY15" s="230">
        <v>3236</v>
      </c>
      <c r="BZ15" s="230">
        <v>3243</v>
      </c>
      <c r="CA15" s="228">
        <v>-7</v>
      </c>
      <c r="CB15" s="229">
        <v>-2.0999999999999999E-3</v>
      </c>
      <c r="CC15" s="230">
        <v>3128</v>
      </c>
      <c r="CD15" s="230">
        <v>3171</v>
      </c>
      <c r="CE15" s="228">
        <v>-44</v>
      </c>
      <c r="CF15" s="229">
        <v>-1.38E-2</v>
      </c>
      <c r="CG15" s="228">
        <v>98</v>
      </c>
      <c r="CH15" s="228">
        <v>61</v>
      </c>
      <c r="CI15" s="228">
        <v>37</v>
      </c>
      <c r="CJ15" s="229">
        <v>0.6</v>
      </c>
      <c r="CK15" s="228">
        <v>10</v>
      </c>
      <c r="CL15" s="228">
        <v>10</v>
      </c>
      <c r="CM15" s="228">
        <v>0</v>
      </c>
      <c r="CN15" s="229">
        <v>9.2999999999999992E-3</v>
      </c>
      <c r="CO15" s="230">
        <v>1110</v>
      </c>
      <c r="CP15" s="230">
        <v>1112</v>
      </c>
      <c r="CQ15" s="228">
        <v>-2</v>
      </c>
      <c r="CR15" s="229">
        <v>-1.8E-3</v>
      </c>
      <c r="CS15" s="228">
        <v>811</v>
      </c>
      <c r="CT15" s="228">
        <v>796</v>
      </c>
      <c r="CU15" s="228">
        <v>15</v>
      </c>
      <c r="CV15" s="229">
        <v>1.9300000000000001E-2</v>
      </c>
      <c r="CW15" s="230">
        <v>5157</v>
      </c>
      <c r="CX15" s="230">
        <v>5150</v>
      </c>
      <c r="CY15" s="228">
        <v>6</v>
      </c>
      <c r="CZ15" s="229">
        <v>1.1999999999999999E-3</v>
      </c>
      <c r="DA15" s="228">
        <v>26.62</v>
      </c>
      <c r="DB15" s="228">
        <v>26.52</v>
      </c>
      <c r="DC15" s="228">
        <v>0.1</v>
      </c>
      <c r="DD15" s="228">
        <v>0.1</v>
      </c>
      <c r="DE15" s="228">
        <v>34.86</v>
      </c>
      <c r="DF15" s="228">
        <v>34.94</v>
      </c>
      <c r="DG15" s="228">
        <v>-8.24</v>
      </c>
      <c r="DH15" s="228">
        <v>-0.08</v>
      </c>
      <c r="DI15" s="228">
        <v>26.58</v>
      </c>
      <c r="DJ15" s="228">
        <v>26.42</v>
      </c>
      <c r="DK15" s="228">
        <v>0.16</v>
      </c>
      <c r="DL15" s="228">
        <v>0.16</v>
      </c>
      <c r="DM15" s="228">
        <v>26.7</v>
      </c>
      <c r="DN15" s="228">
        <v>26.75</v>
      </c>
      <c r="DO15" s="228">
        <v>-0.05</v>
      </c>
      <c r="DP15" s="228">
        <v>-0.05</v>
      </c>
      <c r="DQ15" s="228">
        <v>0.73</v>
      </c>
      <c r="DR15" s="228">
        <v>0.72</v>
      </c>
      <c r="DS15" s="228">
        <v>0.01</v>
      </c>
      <c r="DT15" s="229">
        <v>1.3899999999999999E-2</v>
      </c>
      <c r="DU15" s="228">
        <v>190</v>
      </c>
      <c r="DV15" s="228">
        <v>180</v>
      </c>
      <c r="DW15" s="228">
        <v>0.59</v>
      </c>
      <c r="DX15" s="228">
        <v>0.4</v>
      </c>
      <c r="DY15" s="228">
        <v>0.19</v>
      </c>
      <c r="DZ15" s="229">
        <v>0.47499999999999998</v>
      </c>
      <c r="EA15" s="229">
        <v>3.3399999999999999E-2</v>
      </c>
      <c r="EB15" s="230">
        <v>3835000</v>
      </c>
      <c r="EC15" s="229">
        <v>-8.0999999999999996E-3</v>
      </c>
      <c r="ED15" s="229">
        <v>3.3399999999999999E-2</v>
      </c>
      <c r="EE15" s="228">
        <v>-1.57</v>
      </c>
      <c r="EF15" s="229">
        <v>-8.5000000000000006E-3</v>
      </c>
      <c r="EG15" s="230">
        <v>5220671</v>
      </c>
      <c r="EH15" s="230">
        <v>4545441</v>
      </c>
      <c r="EI15" s="229">
        <v>0.14860000000000001</v>
      </c>
      <c r="EJ15" s="229">
        <v>0.53849999999999998</v>
      </c>
      <c r="EK15" s="228">
        <v>705.21</v>
      </c>
      <c r="EL15" s="228">
        <v>389.69</v>
      </c>
      <c r="EM15" s="228">
        <v>356.25</v>
      </c>
      <c r="EN15" s="228">
        <v>59.57</v>
      </c>
      <c r="EO15" s="231">
        <v>1451.15</v>
      </c>
      <c r="EP15" s="231">
        <v>1788.59</v>
      </c>
      <c r="EQ15" s="228">
        <v>-337.44</v>
      </c>
      <c r="ER15" s="229">
        <v>-0.18870000000000001</v>
      </c>
      <c r="ES15" s="231">
        <v>1133.6300000000001</v>
      </c>
      <c r="ET15" s="228">
        <v>757.96</v>
      </c>
      <c r="EU15" s="231">
        <v>3234.73</v>
      </c>
      <c r="EV15" s="231">
        <v>423719104</v>
      </c>
      <c r="EW15" s="231">
        <v>5126.3100000000004</v>
      </c>
      <c r="EX15" s="231">
        <v>5123.12</v>
      </c>
      <c r="EY15" s="228">
        <v>3.19</v>
      </c>
      <c r="EZ15" s="229">
        <v>5.9999999999999995E-4</v>
      </c>
      <c r="FA15" s="229">
        <v>0.65510000000000002</v>
      </c>
      <c r="FB15" s="227" t="s">
        <v>568</v>
      </c>
      <c r="FC15">
        <f t="shared" si="0"/>
        <v>108</v>
      </c>
    </row>
    <row r="16" spans="1:159" ht="17.25" thickBot="1" x14ac:dyDescent="0.3">
      <c r="A16" s="226">
        <v>46029</v>
      </c>
      <c r="B16" s="227" t="s">
        <v>168</v>
      </c>
      <c r="C16" s="227" t="s">
        <v>169</v>
      </c>
      <c r="D16" s="228">
        <v>250</v>
      </c>
      <c r="E16" s="228">
        <v>20</v>
      </c>
      <c r="F16" s="231">
        <v>2811.8</v>
      </c>
      <c r="G16" s="231">
        <v>2850.5</v>
      </c>
      <c r="H16" s="228">
        <v>-38.700000000000003</v>
      </c>
      <c r="I16" s="229">
        <v>-1.3599999999999999E-2</v>
      </c>
      <c r="J16" s="231">
        <v>2809.4</v>
      </c>
      <c r="K16" s="231">
        <v>2845.8</v>
      </c>
      <c r="L16" s="228">
        <v>-36.4</v>
      </c>
      <c r="M16" s="229">
        <v>-1.2800000000000001E-2</v>
      </c>
      <c r="N16" s="231">
        <v>2811.8</v>
      </c>
      <c r="O16" s="231">
        <v>2850.5</v>
      </c>
      <c r="P16" s="228">
        <v>-38.700000000000003</v>
      </c>
      <c r="Q16" s="229">
        <v>-1.3599999999999999E-2</v>
      </c>
      <c r="R16" s="231">
        <v>2825.3</v>
      </c>
      <c r="S16" s="231">
        <v>2862.2</v>
      </c>
      <c r="T16" s="228">
        <v>-36.9</v>
      </c>
      <c r="U16" s="229">
        <v>-1.29E-2</v>
      </c>
      <c r="V16" s="231">
        <v>2843.9</v>
      </c>
      <c r="W16" s="231">
        <v>2878.3</v>
      </c>
      <c r="X16" s="228">
        <v>-34.4</v>
      </c>
      <c r="Y16" s="229">
        <v>-1.2E-2</v>
      </c>
      <c r="Z16" s="228">
        <v>2.4</v>
      </c>
      <c r="AA16" s="228">
        <v>4.7</v>
      </c>
      <c r="AB16" s="228">
        <v>-2.2999999999999998</v>
      </c>
      <c r="AC16" s="229">
        <v>8.9999999999999998E-4</v>
      </c>
      <c r="AD16" s="228">
        <v>2.4</v>
      </c>
      <c r="AE16" s="228">
        <v>4.7</v>
      </c>
      <c r="AF16" s="228">
        <v>-2.2999999999999998</v>
      </c>
      <c r="AG16" s="229">
        <v>8.9999999999999998E-4</v>
      </c>
      <c r="AH16" s="228">
        <v>15.9</v>
      </c>
      <c r="AI16" s="228">
        <v>16.399999999999999</v>
      </c>
      <c r="AJ16" s="228">
        <v>-0.5</v>
      </c>
      <c r="AK16" s="229">
        <v>5.7000000000000002E-3</v>
      </c>
      <c r="AL16" s="228">
        <v>34.5</v>
      </c>
      <c r="AM16" s="228">
        <v>32.5</v>
      </c>
      <c r="AN16" s="228">
        <v>2</v>
      </c>
      <c r="AO16" s="229">
        <v>1.23E-2</v>
      </c>
      <c r="AP16" s="231">
        <v>2826.07</v>
      </c>
      <c r="AQ16" s="231">
        <v>2840.75</v>
      </c>
      <c r="AR16" s="228">
        <v>0</v>
      </c>
      <c r="AS16" s="228">
        <v>291</v>
      </c>
      <c r="AT16" s="228">
        <v>357</v>
      </c>
      <c r="AU16" s="228">
        <v>-66</v>
      </c>
      <c r="AV16" s="229">
        <v>-0.184</v>
      </c>
      <c r="AW16" s="228">
        <v>274</v>
      </c>
      <c r="AX16" s="228">
        <v>338</v>
      </c>
      <c r="AY16" s="228">
        <v>-64</v>
      </c>
      <c r="AZ16" s="229">
        <v>-0.18840000000000001</v>
      </c>
      <c r="BA16" s="228">
        <v>15</v>
      </c>
      <c r="BB16" s="228">
        <v>17</v>
      </c>
      <c r="BC16" s="228">
        <v>-2</v>
      </c>
      <c r="BD16" s="229">
        <v>-0.13689999999999999</v>
      </c>
      <c r="BE16" s="228">
        <v>2</v>
      </c>
      <c r="BF16" s="228">
        <v>2</v>
      </c>
      <c r="BG16" s="228">
        <v>0</v>
      </c>
      <c r="BH16" s="229">
        <v>0.1333</v>
      </c>
      <c r="BI16" s="230">
        <v>1442</v>
      </c>
      <c r="BJ16" s="230">
        <v>2153</v>
      </c>
      <c r="BK16" s="228">
        <v>-711</v>
      </c>
      <c r="BL16" s="229">
        <v>-0.33029999999999998</v>
      </c>
      <c r="BM16" s="228">
        <v>845</v>
      </c>
      <c r="BN16" s="230">
        <v>1028</v>
      </c>
      <c r="BO16" s="228">
        <v>-183</v>
      </c>
      <c r="BP16" s="229">
        <v>-0.17799999999999999</v>
      </c>
      <c r="BQ16" s="230">
        <v>2578</v>
      </c>
      <c r="BR16" s="230">
        <v>3538</v>
      </c>
      <c r="BS16" s="228">
        <v>-960</v>
      </c>
      <c r="BT16" s="229">
        <v>-0.27129999999999999</v>
      </c>
      <c r="BU16" s="230">
        <v>651523</v>
      </c>
      <c r="BV16" s="230">
        <v>915222</v>
      </c>
      <c r="BW16" s="230">
        <v>-263699</v>
      </c>
      <c r="BX16" s="229">
        <v>-0.28810000000000002</v>
      </c>
      <c r="BY16" s="230">
        <v>3762</v>
      </c>
      <c r="BZ16" s="230">
        <v>3737</v>
      </c>
      <c r="CA16" s="228">
        <v>25</v>
      </c>
      <c r="CB16" s="229">
        <v>6.7999999999999996E-3</v>
      </c>
      <c r="CC16" s="230">
        <v>3682</v>
      </c>
      <c r="CD16" s="230">
        <v>3659</v>
      </c>
      <c r="CE16" s="228">
        <v>22</v>
      </c>
      <c r="CF16" s="229">
        <v>6.1000000000000004E-3</v>
      </c>
      <c r="CG16" s="228">
        <v>76</v>
      </c>
      <c r="CH16" s="228">
        <v>74</v>
      </c>
      <c r="CI16" s="228">
        <v>2</v>
      </c>
      <c r="CJ16" s="229">
        <v>2.0799999999999999E-2</v>
      </c>
      <c r="CK16" s="228">
        <v>4</v>
      </c>
      <c r="CL16" s="228">
        <v>3</v>
      </c>
      <c r="CM16" s="228">
        <v>1</v>
      </c>
      <c r="CN16" s="229">
        <v>0.4884</v>
      </c>
      <c r="CO16" s="230">
        <v>1212</v>
      </c>
      <c r="CP16" s="230">
        <v>1175</v>
      </c>
      <c r="CQ16" s="228">
        <v>37</v>
      </c>
      <c r="CR16" s="229">
        <v>3.1800000000000002E-2</v>
      </c>
      <c r="CS16" s="228">
        <v>881</v>
      </c>
      <c r="CT16" s="228">
        <v>851</v>
      </c>
      <c r="CU16" s="228">
        <v>30</v>
      </c>
      <c r="CV16" s="229">
        <v>3.5200000000000002E-2</v>
      </c>
      <c r="CW16" s="230">
        <v>5855</v>
      </c>
      <c r="CX16" s="230">
        <v>5763</v>
      </c>
      <c r="CY16" s="228">
        <v>93</v>
      </c>
      <c r="CZ16" s="229">
        <v>1.61E-2</v>
      </c>
      <c r="DA16" s="228">
        <v>20.440000000000001</v>
      </c>
      <c r="DB16" s="228">
        <v>20.100000000000001</v>
      </c>
      <c r="DC16" s="228">
        <v>0.34</v>
      </c>
      <c r="DD16" s="228">
        <v>0.34</v>
      </c>
      <c r="DE16" s="228">
        <v>24.81</v>
      </c>
      <c r="DF16" s="228">
        <v>24.81</v>
      </c>
      <c r="DG16" s="228">
        <v>-4.37</v>
      </c>
      <c r="DH16" s="228">
        <v>0</v>
      </c>
      <c r="DI16" s="228">
        <v>20.36</v>
      </c>
      <c r="DJ16" s="228">
        <v>19.8</v>
      </c>
      <c r="DK16" s="228">
        <v>0.56000000000000005</v>
      </c>
      <c r="DL16" s="228">
        <v>0.56000000000000005</v>
      </c>
      <c r="DM16" s="228">
        <v>20.58</v>
      </c>
      <c r="DN16" s="228">
        <v>20.73</v>
      </c>
      <c r="DO16" s="228">
        <v>-0.15</v>
      </c>
      <c r="DP16" s="228">
        <v>-0.15</v>
      </c>
      <c r="DQ16" s="228">
        <v>0.73</v>
      </c>
      <c r="DR16" s="228">
        <v>0.72</v>
      </c>
      <c r="DS16" s="228">
        <v>0.01</v>
      </c>
      <c r="DT16" s="229">
        <v>1.3899999999999999E-2</v>
      </c>
      <c r="DU16" s="231">
        <v>3000</v>
      </c>
      <c r="DV16" s="231">
        <v>2600</v>
      </c>
      <c r="DW16" s="228">
        <v>0.59</v>
      </c>
      <c r="DX16" s="228">
        <v>0.48</v>
      </c>
      <c r="DY16" s="228">
        <v>0.11</v>
      </c>
      <c r="DZ16" s="229">
        <v>0.22919999999999999</v>
      </c>
      <c r="EA16" s="229">
        <v>2.1399999999999999E-2</v>
      </c>
      <c r="EB16" s="230">
        <v>275500</v>
      </c>
      <c r="EC16" s="229">
        <v>4.7999999999999996E-3</v>
      </c>
      <c r="ED16" s="229">
        <v>2.1399999999999999E-2</v>
      </c>
      <c r="EE16" s="228">
        <v>14.68</v>
      </c>
      <c r="EF16" s="229">
        <v>5.1999999999999998E-3</v>
      </c>
      <c r="EG16" s="230">
        <v>357815</v>
      </c>
      <c r="EH16" s="230">
        <v>546625</v>
      </c>
      <c r="EI16" s="229">
        <v>-0.34539999999999998</v>
      </c>
      <c r="EJ16" s="229">
        <v>0.54920000000000002</v>
      </c>
      <c r="EK16" s="231">
        <v>1500.8</v>
      </c>
      <c r="EL16" s="228">
        <v>843.78</v>
      </c>
      <c r="EM16" s="228">
        <v>293.02</v>
      </c>
      <c r="EN16" s="228">
        <v>42.39</v>
      </c>
      <c r="EO16" s="231">
        <v>2637.6</v>
      </c>
      <c r="EP16" s="231">
        <v>3630.22</v>
      </c>
      <c r="EQ16" s="228">
        <v>-992.61</v>
      </c>
      <c r="ER16" s="229">
        <v>-0.27339999999999998</v>
      </c>
      <c r="ES16" s="231">
        <v>1260.6300000000001</v>
      </c>
      <c r="ET16" s="228">
        <v>839.92</v>
      </c>
      <c r="EU16" s="231">
        <v>3762.6</v>
      </c>
      <c r="EV16" s="231">
        <v>49389162</v>
      </c>
      <c r="EW16" s="231">
        <v>5863.16</v>
      </c>
      <c r="EX16" s="231">
        <v>5818.66</v>
      </c>
      <c r="EY16" s="228">
        <v>44.5</v>
      </c>
      <c r="EZ16" s="229">
        <v>7.6E-3</v>
      </c>
      <c r="FA16" s="229">
        <v>0.42159999999999997</v>
      </c>
      <c r="FB16" s="227" t="s">
        <v>567</v>
      </c>
      <c r="FC16">
        <f t="shared" si="0"/>
        <v>80</v>
      </c>
    </row>
    <row r="17" spans="1:159" ht="17.25" thickBot="1" x14ac:dyDescent="0.3">
      <c r="A17" s="226">
        <v>46029</v>
      </c>
      <c r="B17" s="227" t="s">
        <v>184</v>
      </c>
      <c r="C17" s="227" t="s">
        <v>503</v>
      </c>
      <c r="D17" s="228">
        <v>425</v>
      </c>
      <c r="E17" s="228">
        <v>20</v>
      </c>
      <c r="F17" s="231">
        <v>1503.7</v>
      </c>
      <c r="G17" s="231">
        <v>1493.1</v>
      </c>
      <c r="H17" s="228">
        <v>10.6</v>
      </c>
      <c r="I17" s="229">
        <v>7.1000000000000004E-3</v>
      </c>
      <c r="J17" s="231">
        <v>1502.6</v>
      </c>
      <c r="K17" s="231">
        <v>1487.2</v>
      </c>
      <c r="L17" s="228">
        <v>15.4</v>
      </c>
      <c r="M17" s="229">
        <v>1.04E-2</v>
      </c>
      <c r="N17" s="231">
        <v>1503.7</v>
      </c>
      <c r="O17" s="231">
        <v>1493.1</v>
      </c>
      <c r="P17" s="228">
        <v>10.6</v>
      </c>
      <c r="Q17" s="229">
        <v>7.1000000000000004E-3</v>
      </c>
      <c r="R17" s="231">
        <v>1500</v>
      </c>
      <c r="S17" s="231">
        <v>1487</v>
      </c>
      <c r="T17" s="228">
        <v>13</v>
      </c>
      <c r="U17" s="229">
        <v>8.6999999999999994E-3</v>
      </c>
      <c r="V17" s="231">
        <v>1502.3</v>
      </c>
      <c r="W17" s="231">
        <v>1490.2</v>
      </c>
      <c r="X17" s="228">
        <v>12.1</v>
      </c>
      <c r="Y17" s="229">
        <v>8.0999999999999996E-3</v>
      </c>
      <c r="Z17" s="228">
        <v>1.1000000000000001</v>
      </c>
      <c r="AA17" s="228">
        <v>5.9</v>
      </c>
      <c r="AB17" s="228">
        <v>-4.8</v>
      </c>
      <c r="AC17" s="229">
        <v>6.9999999999999999E-4</v>
      </c>
      <c r="AD17" s="228">
        <v>1.1000000000000001</v>
      </c>
      <c r="AE17" s="228">
        <v>5.9</v>
      </c>
      <c r="AF17" s="228">
        <v>-4.8</v>
      </c>
      <c r="AG17" s="229">
        <v>6.9999999999999999E-4</v>
      </c>
      <c r="AH17" s="228">
        <v>-2.6</v>
      </c>
      <c r="AI17" s="228">
        <v>-0.2</v>
      </c>
      <c r="AJ17" s="228">
        <v>-2.4</v>
      </c>
      <c r="AK17" s="229">
        <v>-1.6999999999999999E-3</v>
      </c>
      <c r="AL17" s="228">
        <v>-0.3</v>
      </c>
      <c r="AM17" s="228">
        <v>3</v>
      </c>
      <c r="AN17" s="228">
        <v>-3.3</v>
      </c>
      <c r="AO17" s="229">
        <v>-2.0000000000000001E-4</v>
      </c>
      <c r="AP17" s="231">
        <v>1500.62</v>
      </c>
      <c r="AQ17" s="231">
        <v>1499.15</v>
      </c>
      <c r="AR17" s="228">
        <v>0</v>
      </c>
      <c r="AS17" s="228">
        <v>416</v>
      </c>
      <c r="AT17" s="228">
        <v>128</v>
      </c>
      <c r="AU17" s="228">
        <v>288</v>
      </c>
      <c r="AV17" s="229">
        <v>2.2422</v>
      </c>
      <c r="AW17" s="228">
        <v>333</v>
      </c>
      <c r="AX17" s="228">
        <v>120</v>
      </c>
      <c r="AY17" s="228">
        <v>213</v>
      </c>
      <c r="AZ17" s="229">
        <v>1.7735000000000001</v>
      </c>
      <c r="BA17" s="228">
        <v>81</v>
      </c>
      <c r="BB17" s="228">
        <v>6</v>
      </c>
      <c r="BC17" s="228">
        <v>74</v>
      </c>
      <c r="BD17" s="229">
        <v>11.7273</v>
      </c>
      <c r="BE17" s="228">
        <v>2</v>
      </c>
      <c r="BF17" s="228">
        <v>2</v>
      </c>
      <c r="BG17" s="228">
        <v>0</v>
      </c>
      <c r="BH17" s="229">
        <v>0.1111</v>
      </c>
      <c r="BI17" s="228">
        <v>699</v>
      </c>
      <c r="BJ17" s="228">
        <v>247</v>
      </c>
      <c r="BK17" s="228">
        <v>451</v>
      </c>
      <c r="BL17" s="229">
        <v>1.8258000000000001</v>
      </c>
      <c r="BM17" s="228">
        <v>365</v>
      </c>
      <c r="BN17" s="228">
        <v>126</v>
      </c>
      <c r="BO17" s="228">
        <v>239</v>
      </c>
      <c r="BP17" s="229">
        <v>1.8956</v>
      </c>
      <c r="BQ17" s="230">
        <v>1480</v>
      </c>
      <c r="BR17" s="228">
        <v>502</v>
      </c>
      <c r="BS17" s="228">
        <v>978</v>
      </c>
      <c r="BT17" s="229">
        <v>1.9498</v>
      </c>
      <c r="BU17" s="230">
        <v>1058724</v>
      </c>
      <c r="BV17" s="230">
        <v>267149</v>
      </c>
      <c r="BW17" s="230">
        <v>791575</v>
      </c>
      <c r="BX17" s="229">
        <v>2.9630000000000001</v>
      </c>
      <c r="BY17" s="230">
        <v>1063</v>
      </c>
      <c r="BZ17" s="230">
        <v>1071</v>
      </c>
      <c r="CA17" s="228">
        <v>-8</v>
      </c>
      <c r="CB17" s="229">
        <v>-7.3000000000000001E-3</v>
      </c>
      <c r="CC17" s="230">
        <v>1001</v>
      </c>
      <c r="CD17" s="230">
        <v>1014</v>
      </c>
      <c r="CE17" s="228">
        <v>-13</v>
      </c>
      <c r="CF17" s="229">
        <v>-1.26E-2</v>
      </c>
      <c r="CG17" s="228">
        <v>59</v>
      </c>
      <c r="CH17" s="228">
        <v>54</v>
      </c>
      <c r="CI17" s="228">
        <v>5</v>
      </c>
      <c r="CJ17" s="229">
        <v>8.6900000000000005E-2</v>
      </c>
      <c r="CK17" s="228">
        <v>3</v>
      </c>
      <c r="CL17" s="228">
        <v>2</v>
      </c>
      <c r="CM17" s="228">
        <v>0</v>
      </c>
      <c r="CN17" s="229">
        <v>0.1026</v>
      </c>
      <c r="CO17" s="228">
        <v>374</v>
      </c>
      <c r="CP17" s="228">
        <v>355</v>
      </c>
      <c r="CQ17" s="228">
        <v>19</v>
      </c>
      <c r="CR17" s="229">
        <v>5.3999999999999999E-2</v>
      </c>
      <c r="CS17" s="228">
        <v>283</v>
      </c>
      <c r="CT17" s="228">
        <v>270</v>
      </c>
      <c r="CU17" s="228">
        <v>13</v>
      </c>
      <c r="CV17" s="229">
        <v>4.9200000000000001E-2</v>
      </c>
      <c r="CW17" s="230">
        <v>1721</v>
      </c>
      <c r="CX17" s="230">
        <v>1696</v>
      </c>
      <c r="CY17" s="228">
        <v>25</v>
      </c>
      <c r="CZ17" s="229">
        <v>1.4500000000000001E-2</v>
      </c>
      <c r="DA17" s="228">
        <v>23.91</v>
      </c>
      <c r="DB17" s="228">
        <v>24.59</v>
      </c>
      <c r="DC17" s="228">
        <v>-0.68</v>
      </c>
      <c r="DD17" s="228">
        <v>-0.68</v>
      </c>
      <c r="DE17" s="228">
        <v>33.49</v>
      </c>
      <c r="DF17" s="228">
        <v>33.56</v>
      </c>
      <c r="DG17" s="228">
        <v>-9.58</v>
      </c>
      <c r="DH17" s="228">
        <v>-7.0000000000000007E-2</v>
      </c>
      <c r="DI17" s="228">
        <v>23.76</v>
      </c>
      <c r="DJ17" s="228">
        <v>24.22</v>
      </c>
      <c r="DK17" s="228">
        <v>-0.46</v>
      </c>
      <c r="DL17" s="228">
        <v>-0.46</v>
      </c>
      <c r="DM17" s="228">
        <v>24.18</v>
      </c>
      <c r="DN17" s="228">
        <v>25.31</v>
      </c>
      <c r="DO17" s="228">
        <v>-1.1299999999999999</v>
      </c>
      <c r="DP17" s="228">
        <v>-1.1299999999999999</v>
      </c>
      <c r="DQ17" s="228">
        <v>0.76</v>
      </c>
      <c r="DR17" s="228">
        <v>0.76</v>
      </c>
      <c r="DS17" s="228">
        <v>0</v>
      </c>
      <c r="DT17" s="229">
        <v>0</v>
      </c>
      <c r="DU17" s="231">
        <v>1400</v>
      </c>
      <c r="DV17" s="231">
        <v>1400</v>
      </c>
      <c r="DW17" s="228">
        <v>0.52</v>
      </c>
      <c r="DX17" s="228">
        <v>0.51</v>
      </c>
      <c r="DY17" s="228">
        <v>0.01</v>
      </c>
      <c r="DZ17" s="229">
        <v>1.9599999999999999E-2</v>
      </c>
      <c r="EA17" s="229">
        <v>5.8200000000000002E-2</v>
      </c>
      <c r="EB17" s="230">
        <v>378675</v>
      </c>
      <c r="EC17" s="229">
        <v>-2.5000000000000001E-3</v>
      </c>
      <c r="ED17" s="229">
        <v>5.8200000000000002E-2</v>
      </c>
      <c r="EE17" s="228">
        <v>-1.47</v>
      </c>
      <c r="EF17" s="229">
        <v>-1E-3</v>
      </c>
      <c r="EG17" s="230">
        <v>273795</v>
      </c>
      <c r="EH17" s="230">
        <v>118687</v>
      </c>
      <c r="EI17" s="229">
        <v>1.3069</v>
      </c>
      <c r="EJ17" s="229">
        <v>0.2586</v>
      </c>
      <c r="EK17" s="228">
        <v>718.18</v>
      </c>
      <c r="EL17" s="228">
        <v>365.14</v>
      </c>
      <c r="EM17" s="228">
        <v>414.91</v>
      </c>
      <c r="EN17" s="228">
        <v>37.33</v>
      </c>
      <c r="EO17" s="231">
        <v>1498.24</v>
      </c>
      <c r="EP17" s="228">
        <v>507.52</v>
      </c>
      <c r="EQ17" s="228">
        <v>990.71</v>
      </c>
      <c r="ER17" s="229">
        <v>1.9520999999999999</v>
      </c>
      <c r="ES17" s="228">
        <v>374.72</v>
      </c>
      <c r="ET17" s="228">
        <v>263.36</v>
      </c>
      <c r="EU17" s="231">
        <v>1063.08</v>
      </c>
      <c r="EV17" s="231">
        <v>18450534</v>
      </c>
      <c r="EW17" s="231">
        <v>1701.15</v>
      </c>
      <c r="EX17" s="231">
        <v>1666.11</v>
      </c>
      <c r="EY17" s="228">
        <v>35.04</v>
      </c>
      <c r="EZ17" s="229">
        <v>2.1000000000000001E-2</v>
      </c>
      <c r="FA17" s="229">
        <v>0.62029999999999996</v>
      </c>
      <c r="FB17" s="227" t="s">
        <v>556</v>
      </c>
      <c r="FC17">
        <f t="shared" si="0"/>
        <v>62</v>
      </c>
    </row>
    <row r="18" spans="1:159" ht="17.25" thickBot="1" x14ac:dyDescent="0.3">
      <c r="A18" s="226">
        <v>46029</v>
      </c>
      <c r="B18" s="227" t="s">
        <v>172</v>
      </c>
      <c r="C18" s="227" t="s">
        <v>495</v>
      </c>
      <c r="D18" s="228">
        <v>1000</v>
      </c>
      <c r="E18" s="228">
        <v>20</v>
      </c>
      <c r="F18" s="231">
        <v>1007.9</v>
      </c>
      <c r="G18" s="231">
        <v>1013.9</v>
      </c>
      <c r="H18" s="228">
        <v>-6</v>
      </c>
      <c r="I18" s="229">
        <v>-5.8999999999999999E-3</v>
      </c>
      <c r="J18" s="231">
        <v>1004.55</v>
      </c>
      <c r="K18" s="231">
        <v>1008.75</v>
      </c>
      <c r="L18" s="228">
        <v>-4.2</v>
      </c>
      <c r="M18" s="229">
        <v>-4.1999999999999997E-3</v>
      </c>
      <c r="N18" s="231">
        <v>1007.9</v>
      </c>
      <c r="O18" s="231">
        <v>1013.9</v>
      </c>
      <c r="P18" s="228">
        <v>-6</v>
      </c>
      <c r="Q18" s="229">
        <v>-5.8999999999999999E-3</v>
      </c>
      <c r="R18" s="231">
        <v>1011.8</v>
      </c>
      <c r="S18" s="231">
        <v>1017.45</v>
      </c>
      <c r="T18" s="228">
        <v>-5.65</v>
      </c>
      <c r="U18" s="229">
        <v>-5.5999999999999999E-3</v>
      </c>
      <c r="V18" s="231">
        <v>1013.9</v>
      </c>
      <c r="W18" s="231">
        <v>1021.05</v>
      </c>
      <c r="X18" s="228">
        <v>-7.15</v>
      </c>
      <c r="Y18" s="229">
        <v>-7.0000000000000001E-3</v>
      </c>
      <c r="Z18" s="228">
        <v>3.35</v>
      </c>
      <c r="AA18" s="228">
        <v>5.15</v>
      </c>
      <c r="AB18" s="228">
        <v>-1.8</v>
      </c>
      <c r="AC18" s="229">
        <v>3.3E-3</v>
      </c>
      <c r="AD18" s="228">
        <v>3.35</v>
      </c>
      <c r="AE18" s="228">
        <v>5.15</v>
      </c>
      <c r="AF18" s="228">
        <v>-1.8</v>
      </c>
      <c r="AG18" s="229">
        <v>3.3E-3</v>
      </c>
      <c r="AH18" s="228">
        <v>7.25</v>
      </c>
      <c r="AI18" s="228">
        <v>8.6999999999999993</v>
      </c>
      <c r="AJ18" s="228">
        <v>-1.45</v>
      </c>
      <c r="AK18" s="229">
        <v>7.1999999999999998E-3</v>
      </c>
      <c r="AL18" s="228">
        <v>9.35</v>
      </c>
      <c r="AM18" s="228">
        <v>12.3</v>
      </c>
      <c r="AN18" s="228">
        <v>-2.95</v>
      </c>
      <c r="AO18" s="229">
        <v>9.2999999999999992E-3</v>
      </c>
      <c r="AP18" s="231">
        <v>1008.98</v>
      </c>
      <c r="AQ18" s="231">
        <v>1012.18</v>
      </c>
      <c r="AR18" s="228">
        <v>0</v>
      </c>
      <c r="AS18" s="228">
        <v>247</v>
      </c>
      <c r="AT18" s="228">
        <v>223</v>
      </c>
      <c r="AU18" s="228">
        <v>24</v>
      </c>
      <c r="AV18" s="229">
        <v>0.1071</v>
      </c>
      <c r="AW18" s="228">
        <v>238</v>
      </c>
      <c r="AX18" s="228">
        <v>212</v>
      </c>
      <c r="AY18" s="228">
        <v>25</v>
      </c>
      <c r="AZ18" s="229">
        <v>0.1202</v>
      </c>
      <c r="BA18" s="228">
        <v>8</v>
      </c>
      <c r="BB18" s="228">
        <v>10</v>
      </c>
      <c r="BC18" s="228">
        <v>-2</v>
      </c>
      <c r="BD18" s="229">
        <v>-0.18629999999999999</v>
      </c>
      <c r="BE18" s="228">
        <v>1</v>
      </c>
      <c r="BF18" s="228">
        <v>1</v>
      </c>
      <c r="BG18" s="228">
        <v>0</v>
      </c>
      <c r="BH18" s="229">
        <v>0.5</v>
      </c>
      <c r="BI18" s="228">
        <v>315</v>
      </c>
      <c r="BJ18" s="228">
        <v>325</v>
      </c>
      <c r="BK18" s="228">
        <v>-10</v>
      </c>
      <c r="BL18" s="229">
        <v>-3.0099999999999998E-2</v>
      </c>
      <c r="BM18" s="228">
        <v>194</v>
      </c>
      <c r="BN18" s="228">
        <v>233</v>
      </c>
      <c r="BO18" s="228">
        <v>-39</v>
      </c>
      <c r="BP18" s="229">
        <v>-0.16619999999999999</v>
      </c>
      <c r="BQ18" s="228">
        <v>757</v>
      </c>
      <c r="BR18" s="228">
        <v>781</v>
      </c>
      <c r="BS18" s="228">
        <v>-25</v>
      </c>
      <c r="BT18" s="229">
        <v>-3.15E-2</v>
      </c>
      <c r="BU18" s="230">
        <v>1660283</v>
      </c>
      <c r="BV18" s="230">
        <v>710390</v>
      </c>
      <c r="BW18" s="230">
        <v>949893</v>
      </c>
      <c r="BX18" s="229">
        <v>1.3371</v>
      </c>
      <c r="BY18" s="230">
        <v>2010</v>
      </c>
      <c r="BZ18" s="230">
        <v>2008</v>
      </c>
      <c r="CA18" s="228">
        <v>2</v>
      </c>
      <c r="CB18" s="229">
        <v>8.0000000000000004E-4</v>
      </c>
      <c r="CC18" s="230">
        <v>1960</v>
      </c>
      <c r="CD18" s="230">
        <v>1960</v>
      </c>
      <c r="CE18" s="228">
        <v>0</v>
      </c>
      <c r="CF18" s="229">
        <v>2.0000000000000001E-4</v>
      </c>
      <c r="CG18" s="228">
        <v>47</v>
      </c>
      <c r="CH18" s="228">
        <v>46</v>
      </c>
      <c r="CI18" s="228">
        <v>1</v>
      </c>
      <c r="CJ18" s="229">
        <v>1.54E-2</v>
      </c>
      <c r="CK18" s="228">
        <v>3</v>
      </c>
      <c r="CL18" s="228">
        <v>3</v>
      </c>
      <c r="CM18" s="228">
        <v>1</v>
      </c>
      <c r="CN18" s="229">
        <v>0.2</v>
      </c>
      <c r="CO18" s="228">
        <v>541</v>
      </c>
      <c r="CP18" s="228">
        <v>509</v>
      </c>
      <c r="CQ18" s="228">
        <v>31</v>
      </c>
      <c r="CR18" s="229">
        <v>6.0900000000000003E-2</v>
      </c>
      <c r="CS18" s="228">
        <v>379</v>
      </c>
      <c r="CT18" s="228">
        <v>390</v>
      </c>
      <c r="CU18" s="228">
        <v>-10</v>
      </c>
      <c r="CV18" s="229">
        <v>-2.6100000000000002E-2</v>
      </c>
      <c r="CW18" s="230">
        <v>2930</v>
      </c>
      <c r="CX18" s="230">
        <v>2907</v>
      </c>
      <c r="CY18" s="228">
        <v>22</v>
      </c>
      <c r="CZ18" s="229">
        <v>7.7000000000000002E-3</v>
      </c>
      <c r="DA18" s="228">
        <v>27.73</v>
      </c>
      <c r="DB18" s="228">
        <v>27.48</v>
      </c>
      <c r="DC18" s="228">
        <v>0.25</v>
      </c>
      <c r="DD18" s="228">
        <v>0.25</v>
      </c>
      <c r="DE18" s="228">
        <v>34.630000000000003</v>
      </c>
      <c r="DF18" s="228">
        <v>34.71</v>
      </c>
      <c r="DG18" s="228">
        <v>-6.9</v>
      </c>
      <c r="DH18" s="228">
        <v>-0.08</v>
      </c>
      <c r="DI18" s="228">
        <v>27.64</v>
      </c>
      <c r="DJ18" s="228">
        <v>27.3</v>
      </c>
      <c r="DK18" s="228">
        <v>0.34</v>
      </c>
      <c r="DL18" s="228">
        <v>0.34</v>
      </c>
      <c r="DM18" s="228">
        <v>27.87</v>
      </c>
      <c r="DN18" s="228">
        <v>27.72</v>
      </c>
      <c r="DO18" s="228">
        <v>0.15</v>
      </c>
      <c r="DP18" s="228">
        <v>0.15</v>
      </c>
      <c r="DQ18" s="228">
        <v>0.7</v>
      </c>
      <c r="DR18" s="228">
        <v>0.76</v>
      </c>
      <c r="DS18" s="228">
        <v>-0.06</v>
      </c>
      <c r="DT18" s="229">
        <v>-7.8899999999999998E-2</v>
      </c>
      <c r="DU18" s="231">
        <v>1100</v>
      </c>
      <c r="DV18" s="231">
        <v>1000</v>
      </c>
      <c r="DW18" s="228">
        <v>0.62</v>
      </c>
      <c r="DX18" s="228">
        <v>0.72</v>
      </c>
      <c r="DY18" s="228">
        <v>-0.1</v>
      </c>
      <c r="DZ18" s="229">
        <v>-0.1389</v>
      </c>
      <c r="EA18" s="229">
        <v>2.47E-2</v>
      </c>
      <c r="EB18" s="230">
        <v>480000</v>
      </c>
      <c r="EC18" s="229">
        <v>3.8999999999999998E-3</v>
      </c>
      <c r="ED18" s="229">
        <v>2.47E-2</v>
      </c>
      <c r="EE18" s="228">
        <v>3.2</v>
      </c>
      <c r="EF18" s="229">
        <v>3.2000000000000002E-3</v>
      </c>
      <c r="EG18" s="230">
        <v>1148933</v>
      </c>
      <c r="EH18" s="230">
        <v>375629</v>
      </c>
      <c r="EI18" s="229">
        <v>2.0587</v>
      </c>
      <c r="EJ18" s="229">
        <v>0.69199999999999995</v>
      </c>
      <c r="EK18" s="228">
        <v>331.19</v>
      </c>
      <c r="EL18" s="228">
        <v>191.24</v>
      </c>
      <c r="EM18" s="228">
        <v>247.23</v>
      </c>
      <c r="EN18" s="228">
        <v>30.9</v>
      </c>
      <c r="EO18" s="228">
        <v>769.66</v>
      </c>
      <c r="EP18" s="228">
        <v>795.62</v>
      </c>
      <c r="EQ18" s="228">
        <v>-25.96</v>
      </c>
      <c r="ER18" s="229">
        <v>-3.2599999999999997E-2</v>
      </c>
      <c r="ES18" s="228">
        <v>551.58000000000004</v>
      </c>
      <c r="ET18" s="228">
        <v>363.19</v>
      </c>
      <c r="EU18" s="231">
        <v>2009.85</v>
      </c>
      <c r="EV18" s="231">
        <v>86371921</v>
      </c>
      <c r="EW18" s="231">
        <v>2924.62</v>
      </c>
      <c r="EX18" s="231">
        <v>2912.28</v>
      </c>
      <c r="EY18" s="228">
        <v>12.34</v>
      </c>
      <c r="EZ18" s="229">
        <v>4.1999999999999997E-3</v>
      </c>
      <c r="FA18" s="229">
        <v>0.33650000000000002</v>
      </c>
      <c r="FB18" s="227" t="s">
        <v>567</v>
      </c>
      <c r="FC18">
        <f t="shared" si="0"/>
        <v>50</v>
      </c>
    </row>
    <row r="19" spans="1:159" ht="17.25" thickBot="1" x14ac:dyDescent="0.3">
      <c r="A19" s="226">
        <v>46029</v>
      </c>
      <c r="B19" s="227" t="s">
        <v>170</v>
      </c>
      <c r="C19" s="227" t="s">
        <v>171</v>
      </c>
      <c r="D19" s="228">
        <v>550</v>
      </c>
      <c r="E19" s="228">
        <v>20</v>
      </c>
      <c r="F19" s="231">
        <v>1241.5999999999999</v>
      </c>
      <c r="G19" s="231">
        <v>1237.5999999999999</v>
      </c>
      <c r="H19" s="228">
        <v>4</v>
      </c>
      <c r="I19" s="229">
        <v>3.2000000000000002E-3</v>
      </c>
      <c r="J19" s="231">
        <v>1235.4000000000001</v>
      </c>
      <c r="K19" s="231">
        <v>1231.3</v>
      </c>
      <c r="L19" s="228">
        <v>4.0999999999999996</v>
      </c>
      <c r="M19" s="229">
        <v>3.3E-3</v>
      </c>
      <c r="N19" s="231">
        <v>1241.5999999999999</v>
      </c>
      <c r="O19" s="231">
        <v>1237.5999999999999</v>
      </c>
      <c r="P19" s="228">
        <v>4</v>
      </c>
      <c r="Q19" s="229">
        <v>3.2000000000000002E-3</v>
      </c>
      <c r="R19" s="231">
        <v>1248.2</v>
      </c>
      <c r="S19" s="231">
        <v>1244.4000000000001</v>
      </c>
      <c r="T19" s="228">
        <v>3.8</v>
      </c>
      <c r="U19" s="229">
        <v>3.0999999999999999E-3</v>
      </c>
      <c r="V19" s="231">
        <v>1257</v>
      </c>
      <c r="W19" s="231">
        <v>1254.7</v>
      </c>
      <c r="X19" s="228">
        <v>2.2999999999999998</v>
      </c>
      <c r="Y19" s="229">
        <v>1.8E-3</v>
      </c>
      <c r="Z19" s="228">
        <v>6.2</v>
      </c>
      <c r="AA19" s="228">
        <v>6.3</v>
      </c>
      <c r="AB19" s="228">
        <v>-0.1</v>
      </c>
      <c r="AC19" s="229">
        <v>5.0000000000000001E-3</v>
      </c>
      <c r="AD19" s="228">
        <v>6.2</v>
      </c>
      <c r="AE19" s="228">
        <v>6.3</v>
      </c>
      <c r="AF19" s="228">
        <v>-0.1</v>
      </c>
      <c r="AG19" s="229">
        <v>5.0000000000000001E-3</v>
      </c>
      <c r="AH19" s="228">
        <v>12.8</v>
      </c>
      <c r="AI19" s="228">
        <v>13.1</v>
      </c>
      <c r="AJ19" s="228">
        <v>-0.3</v>
      </c>
      <c r="AK19" s="229">
        <v>1.04E-2</v>
      </c>
      <c r="AL19" s="228">
        <v>21.6</v>
      </c>
      <c r="AM19" s="228">
        <v>23.4</v>
      </c>
      <c r="AN19" s="228">
        <v>-1.8</v>
      </c>
      <c r="AO19" s="229">
        <v>1.7500000000000002E-2</v>
      </c>
      <c r="AP19" s="231">
        <v>1255.17</v>
      </c>
      <c r="AQ19" s="231">
        <v>1264.26</v>
      </c>
      <c r="AR19" s="228">
        <v>0</v>
      </c>
      <c r="AS19" s="228">
        <v>566</v>
      </c>
      <c r="AT19" s="228">
        <v>402</v>
      </c>
      <c r="AU19" s="228">
        <v>164</v>
      </c>
      <c r="AV19" s="229">
        <v>0.40870000000000001</v>
      </c>
      <c r="AW19" s="228">
        <v>523</v>
      </c>
      <c r="AX19" s="228">
        <v>376</v>
      </c>
      <c r="AY19" s="228">
        <v>147</v>
      </c>
      <c r="AZ19" s="229">
        <v>0.3911</v>
      </c>
      <c r="BA19" s="228">
        <v>40</v>
      </c>
      <c r="BB19" s="228">
        <v>25</v>
      </c>
      <c r="BC19" s="228">
        <v>16</v>
      </c>
      <c r="BD19" s="229">
        <v>0.63060000000000005</v>
      </c>
      <c r="BE19" s="228">
        <v>2</v>
      </c>
      <c r="BF19" s="228">
        <v>1</v>
      </c>
      <c r="BG19" s="228">
        <v>2</v>
      </c>
      <c r="BH19" s="229">
        <v>1.8332999999999999</v>
      </c>
      <c r="BI19" s="230">
        <v>2325</v>
      </c>
      <c r="BJ19" s="228">
        <v>996</v>
      </c>
      <c r="BK19" s="230">
        <v>1329</v>
      </c>
      <c r="BL19" s="229">
        <v>1.3346</v>
      </c>
      <c r="BM19" s="228">
        <v>598</v>
      </c>
      <c r="BN19" s="228">
        <v>310</v>
      </c>
      <c r="BO19" s="228">
        <v>288</v>
      </c>
      <c r="BP19" s="229">
        <v>0.92800000000000005</v>
      </c>
      <c r="BQ19" s="230">
        <v>3489</v>
      </c>
      <c r="BR19" s="230">
        <v>1708</v>
      </c>
      <c r="BS19" s="230">
        <v>1781</v>
      </c>
      <c r="BT19" s="229">
        <v>1.0429999999999999</v>
      </c>
      <c r="BU19" s="230">
        <v>2439873</v>
      </c>
      <c r="BV19" s="230">
        <v>1907809</v>
      </c>
      <c r="BW19" s="230">
        <v>532064</v>
      </c>
      <c r="BX19" s="229">
        <v>0.27889999999999998</v>
      </c>
      <c r="BY19" s="230">
        <v>2789</v>
      </c>
      <c r="BZ19" s="230">
        <v>2755</v>
      </c>
      <c r="CA19" s="228">
        <v>34</v>
      </c>
      <c r="CB19" s="229">
        <v>1.23E-2</v>
      </c>
      <c r="CC19" s="230">
        <v>2739</v>
      </c>
      <c r="CD19" s="230">
        <v>2723</v>
      </c>
      <c r="CE19" s="228">
        <v>16</v>
      </c>
      <c r="CF19" s="229">
        <v>5.8999999999999999E-3</v>
      </c>
      <c r="CG19" s="228">
        <v>47</v>
      </c>
      <c r="CH19" s="228">
        <v>31</v>
      </c>
      <c r="CI19" s="228">
        <v>16</v>
      </c>
      <c r="CJ19" s="229">
        <v>0.5131</v>
      </c>
      <c r="CK19" s="228">
        <v>2</v>
      </c>
      <c r="CL19" s="228">
        <v>1</v>
      </c>
      <c r="CM19" s="228">
        <v>2</v>
      </c>
      <c r="CN19" s="229">
        <v>2.0909</v>
      </c>
      <c r="CO19" s="228">
        <v>667</v>
      </c>
      <c r="CP19" s="228">
        <v>514</v>
      </c>
      <c r="CQ19" s="228">
        <v>153</v>
      </c>
      <c r="CR19" s="229">
        <v>0.29809999999999998</v>
      </c>
      <c r="CS19" s="228">
        <v>361</v>
      </c>
      <c r="CT19" s="228">
        <v>305</v>
      </c>
      <c r="CU19" s="228">
        <v>56</v>
      </c>
      <c r="CV19" s="229">
        <v>0.18390000000000001</v>
      </c>
      <c r="CW19" s="230">
        <v>3817</v>
      </c>
      <c r="CX19" s="230">
        <v>3574</v>
      </c>
      <c r="CY19" s="228">
        <v>243</v>
      </c>
      <c r="CZ19" s="229">
        <v>6.8000000000000005E-2</v>
      </c>
      <c r="DA19" s="228">
        <v>27.33</v>
      </c>
      <c r="DB19" s="228">
        <v>26.4</v>
      </c>
      <c r="DC19" s="228">
        <v>0.93</v>
      </c>
      <c r="DD19" s="228">
        <v>0.93</v>
      </c>
      <c r="DE19" s="228">
        <v>32.409999999999997</v>
      </c>
      <c r="DF19" s="228">
        <v>32.49</v>
      </c>
      <c r="DG19" s="228">
        <v>-5.08</v>
      </c>
      <c r="DH19" s="228">
        <v>-0.08</v>
      </c>
      <c r="DI19" s="228">
        <v>27.41</v>
      </c>
      <c r="DJ19" s="228">
        <v>26.38</v>
      </c>
      <c r="DK19" s="228">
        <v>1.03</v>
      </c>
      <c r="DL19" s="228">
        <v>1.03</v>
      </c>
      <c r="DM19" s="228">
        <v>26.98</v>
      </c>
      <c r="DN19" s="228">
        <v>26.44</v>
      </c>
      <c r="DO19" s="228">
        <v>0.54</v>
      </c>
      <c r="DP19" s="228">
        <v>0.54</v>
      </c>
      <c r="DQ19" s="228">
        <v>0.54</v>
      </c>
      <c r="DR19" s="228">
        <v>0.59</v>
      </c>
      <c r="DS19" s="228">
        <v>-0.05</v>
      </c>
      <c r="DT19" s="229">
        <v>-8.4699999999999998E-2</v>
      </c>
      <c r="DU19" s="231">
        <v>1260</v>
      </c>
      <c r="DV19" s="231">
        <v>1200</v>
      </c>
      <c r="DW19" s="228">
        <v>0.26</v>
      </c>
      <c r="DX19" s="228">
        <v>0.31</v>
      </c>
      <c r="DY19" s="228">
        <v>-0.05</v>
      </c>
      <c r="DZ19" s="229">
        <v>-0.1613</v>
      </c>
      <c r="EA19" s="229">
        <v>1.78E-2</v>
      </c>
      <c r="EB19" s="230">
        <v>257950</v>
      </c>
      <c r="EC19" s="229">
        <v>5.3E-3</v>
      </c>
      <c r="ED19" s="229">
        <v>1.78E-2</v>
      </c>
      <c r="EE19" s="228">
        <v>9.09</v>
      </c>
      <c r="EF19" s="229">
        <v>7.1999999999999998E-3</v>
      </c>
      <c r="EG19" s="230">
        <v>991018</v>
      </c>
      <c r="EH19" s="230">
        <v>1143069</v>
      </c>
      <c r="EI19" s="229">
        <v>-0.13300000000000001</v>
      </c>
      <c r="EJ19" s="229">
        <v>0.40620000000000001</v>
      </c>
      <c r="EK19" s="231">
        <v>2435.77</v>
      </c>
      <c r="EL19" s="228">
        <v>589.66999999999996</v>
      </c>
      <c r="EM19" s="228">
        <v>572.13</v>
      </c>
      <c r="EN19" s="228">
        <v>36.380000000000003</v>
      </c>
      <c r="EO19" s="231">
        <v>3597.58</v>
      </c>
      <c r="EP19" s="231">
        <v>1720.78</v>
      </c>
      <c r="EQ19" s="231">
        <v>1876.8</v>
      </c>
      <c r="ER19" s="229">
        <v>1.0907</v>
      </c>
      <c r="ES19" s="228">
        <v>678.95</v>
      </c>
      <c r="ET19" s="228">
        <v>344.09</v>
      </c>
      <c r="EU19" s="231">
        <v>2789.09</v>
      </c>
      <c r="EV19" s="231">
        <v>41977935</v>
      </c>
      <c r="EW19" s="231">
        <v>3812.14</v>
      </c>
      <c r="EX19" s="231">
        <v>3551.58</v>
      </c>
      <c r="EY19" s="228">
        <v>260.56</v>
      </c>
      <c r="EZ19" s="229">
        <v>7.3400000000000007E-2</v>
      </c>
      <c r="FA19" s="229">
        <v>0.73240000000000005</v>
      </c>
      <c r="FB19" s="227" t="s">
        <v>555</v>
      </c>
      <c r="FC19">
        <f t="shared" si="0"/>
        <v>50</v>
      </c>
    </row>
    <row r="20" spans="1:159" ht="17.25" thickBot="1" x14ac:dyDescent="0.3">
      <c r="A20" s="226">
        <v>46029</v>
      </c>
      <c r="B20" s="227" t="s">
        <v>172</v>
      </c>
      <c r="C20" s="227" t="s">
        <v>173</v>
      </c>
      <c r="D20" s="228">
        <v>625</v>
      </c>
      <c r="E20" s="228">
        <v>20</v>
      </c>
      <c r="F20" s="231">
        <v>1297.8</v>
      </c>
      <c r="G20" s="231">
        <v>1296.8</v>
      </c>
      <c r="H20" s="228">
        <v>1</v>
      </c>
      <c r="I20" s="229">
        <v>8.0000000000000004E-4</v>
      </c>
      <c r="J20" s="231">
        <v>1295.5</v>
      </c>
      <c r="K20" s="231">
        <v>1293.8</v>
      </c>
      <c r="L20" s="228">
        <v>1.7</v>
      </c>
      <c r="M20" s="229">
        <v>1.2999999999999999E-3</v>
      </c>
      <c r="N20" s="231">
        <v>1297.8</v>
      </c>
      <c r="O20" s="231">
        <v>1296.8</v>
      </c>
      <c r="P20" s="228">
        <v>1</v>
      </c>
      <c r="Q20" s="229">
        <v>8.0000000000000004E-4</v>
      </c>
      <c r="R20" s="231">
        <v>1305.5</v>
      </c>
      <c r="S20" s="231">
        <v>1303.8</v>
      </c>
      <c r="T20" s="228">
        <v>1.7</v>
      </c>
      <c r="U20" s="229">
        <v>1.2999999999999999E-3</v>
      </c>
      <c r="V20" s="231">
        <v>1311.9</v>
      </c>
      <c r="W20" s="231">
        <v>1311.9</v>
      </c>
      <c r="X20" s="228">
        <v>0</v>
      </c>
      <c r="Y20" s="229">
        <v>0</v>
      </c>
      <c r="Z20" s="228">
        <v>2.2999999999999998</v>
      </c>
      <c r="AA20" s="228">
        <v>3</v>
      </c>
      <c r="AB20" s="228">
        <v>-0.7</v>
      </c>
      <c r="AC20" s="229">
        <v>1.8E-3</v>
      </c>
      <c r="AD20" s="228">
        <v>2.2999999999999998</v>
      </c>
      <c r="AE20" s="228">
        <v>3</v>
      </c>
      <c r="AF20" s="228">
        <v>-0.7</v>
      </c>
      <c r="AG20" s="229">
        <v>1.8E-3</v>
      </c>
      <c r="AH20" s="228">
        <v>10</v>
      </c>
      <c r="AI20" s="228">
        <v>10</v>
      </c>
      <c r="AJ20" s="228">
        <v>0</v>
      </c>
      <c r="AK20" s="229">
        <v>7.7000000000000002E-3</v>
      </c>
      <c r="AL20" s="228">
        <v>16.399999999999999</v>
      </c>
      <c r="AM20" s="228">
        <v>18.100000000000001</v>
      </c>
      <c r="AN20" s="228">
        <v>-1.7</v>
      </c>
      <c r="AO20" s="229">
        <v>1.2699999999999999E-2</v>
      </c>
      <c r="AP20" s="231">
        <v>1293.1500000000001</v>
      </c>
      <c r="AQ20" s="231">
        <v>1300.21</v>
      </c>
      <c r="AR20" s="228">
        <v>0</v>
      </c>
      <c r="AS20" s="228">
        <v>817</v>
      </c>
      <c r="AT20" s="230">
        <v>1601</v>
      </c>
      <c r="AU20" s="228">
        <v>-784</v>
      </c>
      <c r="AV20" s="229">
        <v>-0.48959999999999998</v>
      </c>
      <c r="AW20" s="228">
        <v>803</v>
      </c>
      <c r="AX20" s="230">
        <v>1569</v>
      </c>
      <c r="AY20" s="228">
        <v>-766</v>
      </c>
      <c r="AZ20" s="229">
        <v>-0.4884</v>
      </c>
      <c r="BA20" s="228">
        <v>13</v>
      </c>
      <c r="BB20" s="228">
        <v>27</v>
      </c>
      <c r="BC20" s="228">
        <v>-14</v>
      </c>
      <c r="BD20" s="229">
        <v>-0.51949999999999996</v>
      </c>
      <c r="BE20" s="228">
        <v>2</v>
      </c>
      <c r="BF20" s="228">
        <v>6</v>
      </c>
      <c r="BG20" s="228">
        <v>-4</v>
      </c>
      <c r="BH20" s="229">
        <v>-0.66669999999999996</v>
      </c>
      <c r="BI20" s="230">
        <v>2927</v>
      </c>
      <c r="BJ20" s="230">
        <v>5712</v>
      </c>
      <c r="BK20" s="230">
        <v>-2785</v>
      </c>
      <c r="BL20" s="229">
        <v>-0.48770000000000002</v>
      </c>
      <c r="BM20" s="230">
        <v>1630</v>
      </c>
      <c r="BN20" s="230">
        <v>2576</v>
      </c>
      <c r="BO20" s="228">
        <v>-946</v>
      </c>
      <c r="BP20" s="229">
        <v>-0.36730000000000002</v>
      </c>
      <c r="BQ20" s="230">
        <v>5374</v>
      </c>
      <c r="BR20" s="230">
        <v>9889</v>
      </c>
      <c r="BS20" s="230">
        <v>-4516</v>
      </c>
      <c r="BT20" s="229">
        <v>-0.45660000000000001</v>
      </c>
      <c r="BU20" s="230">
        <v>5557548</v>
      </c>
      <c r="BV20" s="230">
        <v>6985005</v>
      </c>
      <c r="BW20" s="230">
        <v>-1427457</v>
      </c>
      <c r="BX20" s="229">
        <v>-0.2044</v>
      </c>
      <c r="BY20" s="230">
        <v>9469</v>
      </c>
      <c r="BZ20" s="230">
        <v>9541</v>
      </c>
      <c r="CA20" s="228">
        <v>-71</v>
      </c>
      <c r="CB20" s="229">
        <v>-7.4999999999999997E-3</v>
      </c>
      <c r="CC20" s="230">
        <v>9399</v>
      </c>
      <c r="CD20" s="230">
        <v>9472</v>
      </c>
      <c r="CE20" s="228">
        <v>-74</v>
      </c>
      <c r="CF20" s="229">
        <v>-7.7999999999999996E-3</v>
      </c>
      <c r="CG20" s="228">
        <v>64</v>
      </c>
      <c r="CH20" s="228">
        <v>62</v>
      </c>
      <c r="CI20" s="228">
        <v>2</v>
      </c>
      <c r="CJ20" s="229">
        <v>3.2899999999999999E-2</v>
      </c>
      <c r="CK20" s="228">
        <v>7</v>
      </c>
      <c r="CL20" s="228">
        <v>7</v>
      </c>
      <c r="CM20" s="228">
        <v>0</v>
      </c>
      <c r="CN20" s="229">
        <v>3.61E-2</v>
      </c>
      <c r="CO20" s="230">
        <v>3634</v>
      </c>
      <c r="CP20" s="230">
        <v>3260</v>
      </c>
      <c r="CQ20" s="228">
        <v>374</v>
      </c>
      <c r="CR20" s="229">
        <v>0.1147</v>
      </c>
      <c r="CS20" s="230">
        <v>1992</v>
      </c>
      <c r="CT20" s="230">
        <v>1881</v>
      </c>
      <c r="CU20" s="228">
        <v>111</v>
      </c>
      <c r="CV20" s="229">
        <v>5.9200000000000003E-2</v>
      </c>
      <c r="CW20" s="230">
        <v>15096</v>
      </c>
      <c r="CX20" s="230">
        <v>14682</v>
      </c>
      <c r="CY20" s="228">
        <v>414</v>
      </c>
      <c r="CZ20" s="229">
        <v>2.8199999999999999E-2</v>
      </c>
      <c r="DA20" s="228">
        <v>19.37</v>
      </c>
      <c r="DB20" s="228">
        <v>19.649999999999999</v>
      </c>
      <c r="DC20" s="228">
        <v>-0.28000000000000003</v>
      </c>
      <c r="DD20" s="228">
        <v>-0.28000000000000003</v>
      </c>
      <c r="DE20" s="228">
        <v>25.61</v>
      </c>
      <c r="DF20" s="228">
        <v>25.67</v>
      </c>
      <c r="DG20" s="228">
        <v>-6.24</v>
      </c>
      <c r="DH20" s="228">
        <v>-0.06</v>
      </c>
      <c r="DI20" s="228">
        <v>18.72</v>
      </c>
      <c r="DJ20" s="228">
        <v>19.16</v>
      </c>
      <c r="DK20" s="228">
        <v>-0.44</v>
      </c>
      <c r="DL20" s="228">
        <v>-0.44</v>
      </c>
      <c r="DM20" s="228">
        <v>20.55</v>
      </c>
      <c r="DN20" s="228">
        <v>20.75</v>
      </c>
      <c r="DO20" s="228">
        <v>-0.2</v>
      </c>
      <c r="DP20" s="228">
        <v>-0.2</v>
      </c>
      <c r="DQ20" s="228">
        <v>0.55000000000000004</v>
      </c>
      <c r="DR20" s="228">
        <v>0.57999999999999996</v>
      </c>
      <c r="DS20" s="228">
        <v>-0.03</v>
      </c>
      <c r="DT20" s="229">
        <v>-5.1700000000000003E-2</v>
      </c>
      <c r="DU20" s="231">
        <v>1300</v>
      </c>
      <c r="DV20" s="231">
        <v>1300</v>
      </c>
      <c r="DW20" s="228">
        <v>0.56000000000000005</v>
      </c>
      <c r="DX20" s="228">
        <v>0.45</v>
      </c>
      <c r="DY20" s="228">
        <v>0.11</v>
      </c>
      <c r="DZ20" s="229">
        <v>0.24440000000000001</v>
      </c>
      <c r="EA20" s="229">
        <v>7.4999999999999997E-3</v>
      </c>
      <c r="EB20" s="230">
        <v>526250</v>
      </c>
      <c r="EC20" s="229">
        <v>5.8999999999999999E-3</v>
      </c>
      <c r="ED20" s="229">
        <v>7.4999999999999997E-3</v>
      </c>
      <c r="EE20" s="228">
        <v>7.06</v>
      </c>
      <c r="EF20" s="229">
        <v>5.4999999999999997E-3</v>
      </c>
      <c r="EG20" s="230">
        <v>4065613</v>
      </c>
      <c r="EH20" s="230">
        <v>3881597</v>
      </c>
      <c r="EI20" s="229">
        <v>4.7399999999999998E-2</v>
      </c>
      <c r="EJ20" s="229">
        <v>0.73150000000000004</v>
      </c>
      <c r="EK20" s="231">
        <v>3003.59</v>
      </c>
      <c r="EL20" s="231">
        <v>1608.07</v>
      </c>
      <c r="EM20" s="228">
        <v>814.62</v>
      </c>
      <c r="EN20" s="228">
        <v>142.18</v>
      </c>
      <c r="EO20" s="231">
        <v>5426.27</v>
      </c>
      <c r="EP20" s="231">
        <v>10013.040000000001</v>
      </c>
      <c r="EQ20" s="231">
        <v>-4586.7700000000004</v>
      </c>
      <c r="ER20" s="229">
        <v>-0.45810000000000001</v>
      </c>
      <c r="ES20" s="231">
        <v>3663.52</v>
      </c>
      <c r="ET20" s="231">
        <v>1921.51</v>
      </c>
      <c r="EU20" s="231">
        <v>9469.61</v>
      </c>
      <c r="EV20" s="231">
        <v>296371456</v>
      </c>
      <c r="EW20" s="231">
        <v>15054.63</v>
      </c>
      <c r="EX20" s="231">
        <v>14623.88</v>
      </c>
      <c r="EY20" s="228">
        <v>430.75</v>
      </c>
      <c r="EZ20" s="229">
        <v>2.9499999999999998E-2</v>
      </c>
      <c r="FA20" s="229">
        <v>0.39250000000000002</v>
      </c>
      <c r="FB20" s="227" t="s">
        <v>556</v>
      </c>
      <c r="FC20">
        <f t="shared" si="0"/>
        <v>70</v>
      </c>
    </row>
    <row r="21" spans="1:159" ht="17.25" thickBot="1" x14ac:dyDescent="0.3">
      <c r="A21" s="226">
        <v>46029</v>
      </c>
      <c r="B21" s="227" t="s">
        <v>162</v>
      </c>
      <c r="C21" s="227" t="s">
        <v>174</v>
      </c>
      <c r="D21" s="228">
        <v>75</v>
      </c>
      <c r="E21" s="228">
        <v>20</v>
      </c>
      <c r="F21" s="231">
        <v>9802.5</v>
      </c>
      <c r="G21" s="231">
        <v>9686</v>
      </c>
      <c r="H21" s="228">
        <v>116.5</v>
      </c>
      <c r="I21" s="229">
        <v>1.2E-2</v>
      </c>
      <c r="J21" s="231">
        <v>9789.5</v>
      </c>
      <c r="K21" s="231">
        <v>9661</v>
      </c>
      <c r="L21" s="228">
        <v>128.5</v>
      </c>
      <c r="M21" s="229">
        <v>1.3299999999999999E-2</v>
      </c>
      <c r="N21" s="231">
        <v>9802.5</v>
      </c>
      <c r="O21" s="231">
        <v>9686</v>
      </c>
      <c r="P21" s="228">
        <v>116.5</v>
      </c>
      <c r="Q21" s="229">
        <v>1.2E-2</v>
      </c>
      <c r="R21" s="231">
        <v>9834.5</v>
      </c>
      <c r="S21" s="231">
        <v>9723.5</v>
      </c>
      <c r="T21" s="228">
        <v>111</v>
      </c>
      <c r="U21" s="229">
        <v>1.14E-2</v>
      </c>
      <c r="V21" s="231">
        <v>9882</v>
      </c>
      <c r="W21" s="231">
        <v>9747.5</v>
      </c>
      <c r="X21" s="228">
        <v>134.5</v>
      </c>
      <c r="Y21" s="229">
        <v>1.38E-2</v>
      </c>
      <c r="Z21" s="228">
        <v>13</v>
      </c>
      <c r="AA21" s="228">
        <v>25</v>
      </c>
      <c r="AB21" s="228">
        <v>-12</v>
      </c>
      <c r="AC21" s="229">
        <v>1.2999999999999999E-3</v>
      </c>
      <c r="AD21" s="228">
        <v>13</v>
      </c>
      <c r="AE21" s="228">
        <v>25</v>
      </c>
      <c r="AF21" s="228">
        <v>-12</v>
      </c>
      <c r="AG21" s="229">
        <v>1.2999999999999999E-3</v>
      </c>
      <c r="AH21" s="228">
        <v>45</v>
      </c>
      <c r="AI21" s="228">
        <v>62.5</v>
      </c>
      <c r="AJ21" s="228">
        <v>-17.5</v>
      </c>
      <c r="AK21" s="229">
        <v>4.5999999999999999E-3</v>
      </c>
      <c r="AL21" s="228">
        <v>92.5</v>
      </c>
      <c r="AM21" s="228">
        <v>86.5</v>
      </c>
      <c r="AN21" s="228">
        <v>6</v>
      </c>
      <c r="AO21" s="229">
        <v>9.4000000000000004E-3</v>
      </c>
      <c r="AP21" s="231">
        <v>9741.59</v>
      </c>
      <c r="AQ21" s="231">
        <v>9781.18</v>
      </c>
      <c r="AR21" s="228">
        <v>0</v>
      </c>
      <c r="AS21" s="228">
        <v>513</v>
      </c>
      <c r="AT21" s="228">
        <v>721</v>
      </c>
      <c r="AU21" s="228">
        <v>-208</v>
      </c>
      <c r="AV21" s="229">
        <v>-0.28889999999999999</v>
      </c>
      <c r="AW21" s="228">
        <v>462</v>
      </c>
      <c r="AX21" s="228">
        <v>680</v>
      </c>
      <c r="AY21" s="228">
        <v>-218</v>
      </c>
      <c r="AZ21" s="229">
        <v>-0.32129999999999997</v>
      </c>
      <c r="BA21" s="228">
        <v>47</v>
      </c>
      <c r="BB21" s="228">
        <v>37</v>
      </c>
      <c r="BC21" s="228">
        <v>10</v>
      </c>
      <c r="BD21" s="229">
        <v>0.27800000000000002</v>
      </c>
      <c r="BE21" s="228">
        <v>4</v>
      </c>
      <c r="BF21" s="228">
        <v>4</v>
      </c>
      <c r="BG21" s="228">
        <v>0</v>
      </c>
      <c r="BH21" s="229">
        <v>-1.72E-2</v>
      </c>
      <c r="BI21" s="230">
        <v>3392</v>
      </c>
      <c r="BJ21" s="230">
        <v>6242</v>
      </c>
      <c r="BK21" s="230">
        <v>-2849</v>
      </c>
      <c r="BL21" s="229">
        <v>-0.45650000000000002</v>
      </c>
      <c r="BM21" s="230">
        <v>1916</v>
      </c>
      <c r="BN21" s="230">
        <v>2805</v>
      </c>
      <c r="BO21" s="228">
        <v>-888</v>
      </c>
      <c r="BP21" s="229">
        <v>-0.31669999999999998</v>
      </c>
      <c r="BQ21" s="230">
        <v>5822</v>
      </c>
      <c r="BR21" s="230">
        <v>9767</v>
      </c>
      <c r="BS21" s="230">
        <v>-3946</v>
      </c>
      <c r="BT21" s="229">
        <v>-0.40400000000000003</v>
      </c>
      <c r="BU21" s="230">
        <v>342119</v>
      </c>
      <c r="BV21" s="230">
        <v>525240</v>
      </c>
      <c r="BW21" s="230">
        <v>-183121</v>
      </c>
      <c r="BX21" s="229">
        <v>-0.34860000000000002</v>
      </c>
      <c r="BY21" s="230">
        <v>3563</v>
      </c>
      <c r="BZ21" s="230">
        <v>3470</v>
      </c>
      <c r="CA21" s="228">
        <v>92</v>
      </c>
      <c r="CB21" s="229">
        <v>2.6599999999999999E-2</v>
      </c>
      <c r="CC21" s="230">
        <v>3484</v>
      </c>
      <c r="CD21" s="230">
        <v>3408</v>
      </c>
      <c r="CE21" s="228">
        <v>76</v>
      </c>
      <c r="CF21" s="229">
        <v>2.23E-2</v>
      </c>
      <c r="CG21" s="228">
        <v>70</v>
      </c>
      <c r="CH21" s="228">
        <v>53</v>
      </c>
      <c r="CI21" s="228">
        <v>17</v>
      </c>
      <c r="CJ21" s="229">
        <v>0.31080000000000002</v>
      </c>
      <c r="CK21" s="228">
        <v>9</v>
      </c>
      <c r="CL21" s="228">
        <v>10</v>
      </c>
      <c r="CM21" s="228">
        <v>0</v>
      </c>
      <c r="CN21" s="229">
        <v>-1.54E-2</v>
      </c>
      <c r="CO21" s="230">
        <v>1466</v>
      </c>
      <c r="CP21" s="230">
        <v>1340</v>
      </c>
      <c r="CQ21" s="228">
        <v>126</v>
      </c>
      <c r="CR21" s="229">
        <v>9.4299999999999995E-2</v>
      </c>
      <c r="CS21" s="230">
        <v>1200</v>
      </c>
      <c r="CT21" s="230">
        <v>1046</v>
      </c>
      <c r="CU21" s="228">
        <v>154</v>
      </c>
      <c r="CV21" s="229">
        <v>0.14749999999999999</v>
      </c>
      <c r="CW21" s="230">
        <v>6229</v>
      </c>
      <c r="CX21" s="230">
        <v>5856</v>
      </c>
      <c r="CY21" s="228">
        <v>373</v>
      </c>
      <c r="CZ21" s="229">
        <v>6.3700000000000007E-2</v>
      </c>
      <c r="DA21" s="228">
        <v>22.24</v>
      </c>
      <c r="DB21" s="228">
        <v>22.01</v>
      </c>
      <c r="DC21" s="228">
        <v>0.23</v>
      </c>
      <c r="DD21" s="228">
        <v>0.23</v>
      </c>
      <c r="DE21" s="228">
        <v>28.08</v>
      </c>
      <c r="DF21" s="228">
        <v>28.09</v>
      </c>
      <c r="DG21" s="228">
        <v>-5.84</v>
      </c>
      <c r="DH21" s="228">
        <v>-0.01</v>
      </c>
      <c r="DI21" s="228">
        <v>21.71</v>
      </c>
      <c r="DJ21" s="228">
        <v>21.71</v>
      </c>
      <c r="DK21" s="228">
        <v>0</v>
      </c>
      <c r="DL21" s="228">
        <v>0</v>
      </c>
      <c r="DM21" s="228">
        <v>23.16</v>
      </c>
      <c r="DN21" s="228">
        <v>22.67</v>
      </c>
      <c r="DO21" s="228">
        <v>0.49</v>
      </c>
      <c r="DP21" s="228">
        <v>0.49</v>
      </c>
      <c r="DQ21" s="228">
        <v>0.82</v>
      </c>
      <c r="DR21" s="228">
        <v>0.78</v>
      </c>
      <c r="DS21" s="228">
        <v>0.04</v>
      </c>
      <c r="DT21" s="229">
        <v>5.1299999999999998E-2</v>
      </c>
      <c r="DU21" s="231">
        <v>10000</v>
      </c>
      <c r="DV21" s="231">
        <v>9500</v>
      </c>
      <c r="DW21" s="228">
        <v>0.56000000000000005</v>
      </c>
      <c r="DX21" s="228">
        <v>0.45</v>
      </c>
      <c r="DY21" s="228">
        <v>0.11</v>
      </c>
      <c r="DZ21" s="229">
        <v>0.24440000000000001</v>
      </c>
      <c r="EA21" s="229">
        <v>2.2200000000000001E-2</v>
      </c>
      <c r="EB21" s="230">
        <v>64050</v>
      </c>
      <c r="EC21" s="229">
        <v>3.3E-3</v>
      </c>
      <c r="ED21" s="229">
        <v>2.2200000000000001E-2</v>
      </c>
      <c r="EE21" s="228">
        <v>39.590000000000003</v>
      </c>
      <c r="EF21" s="229">
        <v>4.1000000000000003E-3</v>
      </c>
      <c r="EG21" s="230">
        <v>189461</v>
      </c>
      <c r="EH21" s="230">
        <v>247829</v>
      </c>
      <c r="EI21" s="229">
        <v>-0.23549999999999999</v>
      </c>
      <c r="EJ21" s="229">
        <v>0.55379999999999996</v>
      </c>
      <c r="EK21" s="231">
        <v>3500.4</v>
      </c>
      <c r="EL21" s="231">
        <v>1865.05</v>
      </c>
      <c r="EM21" s="228">
        <v>509.82</v>
      </c>
      <c r="EN21" s="228">
        <v>104.27</v>
      </c>
      <c r="EO21" s="231">
        <v>5875.28</v>
      </c>
      <c r="EP21" s="231">
        <v>9861.1299999999992</v>
      </c>
      <c r="EQ21" s="231">
        <v>-3985.85</v>
      </c>
      <c r="ER21" s="229">
        <v>-0.4042</v>
      </c>
      <c r="ES21" s="231">
        <v>1490.78</v>
      </c>
      <c r="ET21" s="231">
        <v>1121.8599999999999</v>
      </c>
      <c r="EU21" s="231">
        <v>3563.02</v>
      </c>
      <c r="EV21" s="231">
        <v>15906526</v>
      </c>
      <c r="EW21" s="231">
        <v>6175.67</v>
      </c>
      <c r="EX21" s="231">
        <v>5757.48</v>
      </c>
      <c r="EY21" s="228">
        <v>418.19</v>
      </c>
      <c r="EZ21" s="229">
        <v>7.2599999999999998E-2</v>
      </c>
      <c r="FA21" s="229">
        <v>0.39950000000000002</v>
      </c>
      <c r="FB21" s="227" t="s">
        <v>555</v>
      </c>
      <c r="FC21">
        <f t="shared" si="0"/>
        <v>79</v>
      </c>
    </row>
    <row r="22" spans="1:159" ht="17.25" thickBot="1" x14ac:dyDescent="0.3">
      <c r="A22" s="226">
        <v>46029</v>
      </c>
      <c r="B22" s="227" t="s">
        <v>175</v>
      </c>
      <c r="C22" s="227" t="s">
        <v>176</v>
      </c>
      <c r="D22" s="228">
        <v>250</v>
      </c>
      <c r="E22" s="228">
        <v>20</v>
      </c>
      <c r="F22" s="231">
        <v>2036.2</v>
      </c>
      <c r="G22" s="231">
        <v>2055.1999999999998</v>
      </c>
      <c r="H22" s="228">
        <v>-19</v>
      </c>
      <c r="I22" s="229">
        <v>-9.1999999999999998E-3</v>
      </c>
      <c r="J22" s="231">
        <v>2031.9</v>
      </c>
      <c r="K22" s="231">
        <v>2044.6</v>
      </c>
      <c r="L22" s="228">
        <v>-12.7</v>
      </c>
      <c r="M22" s="229">
        <v>-6.1999999999999998E-3</v>
      </c>
      <c r="N22" s="231">
        <v>2036.2</v>
      </c>
      <c r="O22" s="231">
        <v>2055.1999999999998</v>
      </c>
      <c r="P22" s="228">
        <v>-19</v>
      </c>
      <c r="Q22" s="229">
        <v>-9.1999999999999998E-3</v>
      </c>
      <c r="R22" s="231">
        <v>2046.9</v>
      </c>
      <c r="S22" s="231">
        <v>2065.6</v>
      </c>
      <c r="T22" s="228">
        <v>-18.7</v>
      </c>
      <c r="U22" s="229">
        <v>-9.1000000000000004E-3</v>
      </c>
      <c r="V22" s="231">
        <v>2059.3000000000002</v>
      </c>
      <c r="W22" s="231">
        <v>2080</v>
      </c>
      <c r="X22" s="228">
        <v>-20.7</v>
      </c>
      <c r="Y22" s="229">
        <v>-0.01</v>
      </c>
      <c r="Z22" s="228">
        <v>4.3</v>
      </c>
      <c r="AA22" s="228">
        <v>10.6</v>
      </c>
      <c r="AB22" s="228">
        <v>-6.3</v>
      </c>
      <c r="AC22" s="229">
        <v>2.0999999999999999E-3</v>
      </c>
      <c r="AD22" s="228">
        <v>4.3</v>
      </c>
      <c r="AE22" s="228">
        <v>10.6</v>
      </c>
      <c r="AF22" s="228">
        <v>-6.3</v>
      </c>
      <c r="AG22" s="229">
        <v>2.0999999999999999E-3</v>
      </c>
      <c r="AH22" s="228">
        <v>15</v>
      </c>
      <c r="AI22" s="228">
        <v>21</v>
      </c>
      <c r="AJ22" s="228">
        <v>-6</v>
      </c>
      <c r="AK22" s="229">
        <v>7.4000000000000003E-3</v>
      </c>
      <c r="AL22" s="228">
        <v>27.4</v>
      </c>
      <c r="AM22" s="228">
        <v>35.4</v>
      </c>
      <c r="AN22" s="228">
        <v>-8</v>
      </c>
      <c r="AO22" s="229">
        <v>1.35E-2</v>
      </c>
      <c r="AP22" s="231">
        <v>2035.53</v>
      </c>
      <c r="AQ22" s="231">
        <v>2047.38</v>
      </c>
      <c r="AR22" s="228">
        <v>0</v>
      </c>
      <c r="AS22" s="228">
        <v>193</v>
      </c>
      <c r="AT22" s="228">
        <v>438</v>
      </c>
      <c r="AU22" s="228">
        <v>-245</v>
      </c>
      <c r="AV22" s="229">
        <v>-0.55979999999999996</v>
      </c>
      <c r="AW22" s="228">
        <v>179</v>
      </c>
      <c r="AX22" s="228">
        <v>407</v>
      </c>
      <c r="AY22" s="228">
        <v>-229</v>
      </c>
      <c r="AZ22" s="229">
        <v>-0.56140000000000001</v>
      </c>
      <c r="BA22" s="228">
        <v>13</v>
      </c>
      <c r="BB22" s="228">
        <v>26</v>
      </c>
      <c r="BC22" s="228">
        <v>-14</v>
      </c>
      <c r="BD22" s="229">
        <v>-0.5222</v>
      </c>
      <c r="BE22" s="228">
        <v>2</v>
      </c>
      <c r="BF22" s="228">
        <v>4</v>
      </c>
      <c r="BG22" s="228">
        <v>-3</v>
      </c>
      <c r="BH22" s="229">
        <v>-0.64290000000000003</v>
      </c>
      <c r="BI22" s="228">
        <v>804</v>
      </c>
      <c r="BJ22" s="230">
        <v>2270</v>
      </c>
      <c r="BK22" s="230">
        <v>-1466</v>
      </c>
      <c r="BL22" s="229">
        <v>-0.64590000000000003</v>
      </c>
      <c r="BM22" s="228">
        <v>419</v>
      </c>
      <c r="BN22" s="228">
        <v>705</v>
      </c>
      <c r="BO22" s="228">
        <v>-286</v>
      </c>
      <c r="BP22" s="229">
        <v>-0.40579999999999999</v>
      </c>
      <c r="BQ22" s="230">
        <v>1415</v>
      </c>
      <c r="BR22" s="230">
        <v>3413</v>
      </c>
      <c r="BS22" s="230">
        <v>-1997</v>
      </c>
      <c r="BT22" s="229">
        <v>-0.58530000000000004</v>
      </c>
      <c r="BU22" s="230">
        <v>669047</v>
      </c>
      <c r="BV22" s="230">
        <v>1277934</v>
      </c>
      <c r="BW22" s="230">
        <v>-608887</v>
      </c>
      <c r="BX22" s="229">
        <v>-0.47649999999999998</v>
      </c>
      <c r="BY22" s="230">
        <v>3632</v>
      </c>
      <c r="BZ22" s="230">
        <v>3644</v>
      </c>
      <c r="CA22" s="228">
        <v>-13</v>
      </c>
      <c r="CB22" s="229">
        <v>-3.5000000000000001E-3</v>
      </c>
      <c r="CC22" s="230">
        <v>3576</v>
      </c>
      <c r="CD22" s="230">
        <v>3590</v>
      </c>
      <c r="CE22" s="228">
        <v>-14</v>
      </c>
      <c r="CF22" s="229">
        <v>-4.0000000000000001E-3</v>
      </c>
      <c r="CG22" s="228">
        <v>50</v>
      </c>
      <c r="CH22" s="228">
        <v>49</v>
      </c>
      <c r="CI22" s="228">
        <v>1</v>
      </c>
      <c r="CJ22" s="229">
        <v>1.66E-2</v>
      </c>
      <c r="CK22" s="228">
        <v>6</v>
      </c>
      <c r="CL22" s="228">
        <v>5</v>
      </c>
      <c r="CM22" s="228">
        <v>1</v>
      </c>
      <c r="CN22" s="229">
        <v>0.1429</v>
      </c>
      <c r="CO22" s="228">
        <v>900</v>
      </c>
      <c r="CP22" s="228">
        <v>833</v>
      </c>
      <c r="CQ22" s="228">
        <v>67</v>
      </c>
      <c r="CR22" s="229">
        <v>8.0500000000000002E-2</v>
      </c>
      <c r="CS22" s="228">
        <v>620</v>
      </c>
      <c r="CT22" s="228">
        <v>595</v>
      </c>
      <c r="CU22" s="228">
        <v>25</v>
      </c>
      <c r="CV22" s="229">
        <v>4.2500000000000003E-2</v>
      </c>
      <c r="CW22" s="230">
        <v>5152</v>
      </c>
      <c r="CX22" s="230">
        <v>5072</v>
      </c>
      <c r="CY22" s="228">
        <v>79</v>
      </c>
      <c r="CZ22" s="229">
        <v>1.5699999999999999E-2</v>
      </c>
      <c r="DA22" s="228">
        <v>20.99</v>
      </c>
      <c r="DB22" s="228">
        <v>20.37</v>
      </c>
      <c r="DC22" s="228">
        <v>0.62</v>
      </c>
      <c r="DD22" s="228">
        <v>0.62</v>
      </c>
      <c r="DE22" s="228">
        <v>27.88</v>
      </c>
      <c r="DF22" s="228">
        <v>27.93</v>
      </c>
      <c r="DG22" s="228">
        <v>-6.89</v>
      </c>
      <c r="DH22" s="228">
        <v>-0.05</v>
      </c>
      <c r="DI22" s="228">
        <v>20.89</v>
      </c>
      <c r="DJ22" s="228">
        <v>20.170000000000002</v>
      </c>
      <c r="DK22" s="228">
        <v>0.72</v>
      </c>
      <c r="DL22" s="228">
        <v>0.72</v>
      </c>
      <c r="DM22" s="228">
        <v>21.19</v>
      </c>
      <c r="DN22" s="228">
        <v>21.02</v>
      </c>
      <c r="DO22" s="228">
        <v>0.17</v>
      </c>
      <c r="DP22" s="228">
        <v>0.17</v>
      </c>
      <c r="DQ22" s="228">
        <v>0.69</v>
      </c>
      <c r="DR22" s="228">
        <v>0.71</v>
      </c>
      <c r="DS22" s="228">
        <v>-0.02</v>
      </c>
      <c r="DT22" s="229">
        <v>-2.8199999999999999E-2</v>
      </c>
      <c r="DU22" s="231">
        <v>2080</v>
      </c>
      <c r="DV22" s="231">
        <v>1900</v>
      </c>
      <c r="DW22" s="228">
        <v>0.52</v>
      </c>
      <c r="DX22" s="228">
        <v>0.31</v>
      </c>
      <c r="DY22" s="228">
        <v>0.21</v>
      </c>
      <c r="DZ22" s="229">
        <v>0.6774</v>
      </c>
      <c r="EA22" s="229">
        <v>1.5299999999999999E-2</v>
      </c>
      <c r="EB22" s="230">
        <v>265500</v>
      </c>
      <c r="EC22" s="229">
        <v>5.3E-3</v>
      </c>
      <c r="ED22" s="229">
        <v>1.5299999999999999E-2</v>
      </c>
      <c r="EE22" s="228">
        <v>11.85</v>
      </c>
      <c r="EF22" s="229">
        <v>5.7999999999999996E-3</v>
      </c>
      <c r="EG22" s="230">
        <v>375640</v>
      </c>
      <c r="EH22" s="230">
        <v>783458</v>
      </c>
      <c r="EI22" s="229">
        <v>-0.52049999999999996</v>
      </c>
      <c r="EJ22" s="229">
        <v>0.5615</v>
      </c>
      <c r="EK22" s="228">
        <v>830.54</v>
      </c>
      <c r="EL22" s="228">
        <v>416.41</v>
      </c>
      <c r="EM22" s="228">
        <v>192.75</v>
      </c>
      <c r="EN22" s="228">
        <v>49.3</v>
      </c>
      <c r="EO22" s="231">
        <v>1439.7</v>
      </c>
      <c r="EP22" s="231">
        <v>3533.39</v>
      </c>
      <c r="EQ22" s="231">
        <v>-2093.69</v>
      </c>
      <c r="ER22" s="229">
        <v>-0.59250000000000003</v>
      </c>
      <c r="ES22" s="228">
        <v>928.7</v>
      </c>
      <c r="ET22" s="228">
        <v>602.80999999999995</v>
      </c>
      <c r="EU22" s="231">
        <v>3631.84</v>
      </c>
      <c r="EV22" s="231">
        <v>65701623</v>
      </c>
      <c r="EW22" s="231">
        <v>5163.3500000000004</v>
      </c>
      <c r="EX22" s="231">
        <v>5120.45</v>
      </c>
      <c r="EY22" s="228">
        <v>42.9</v>
      </c>
      <c r="EZ22" s="229">
        <v>8.3999999999999995E-3</v>
      </c>
      <c r="FA22" s="229">
        <v>0.3851</v>
      </c>
      <c r="FB22" s="227" t="s">
        <v>568</v>
      </c>
      <c r="FC22">
        <f t="shared" si="0"/>
        <v>56</v>
      </c>
    </row>
    <row r="23" spans="1:159" ht="17.25" thickBot="1" x14ac:dyDescent="0.3">
      <c r="A23" s="226">
        <v>46029</v>
      </c>
      <c r="B23" s="227" t="s">
        <v>175</v>
      </c>
      <c r="C23" s="227" t="s">
        <v>691</v>
      </c>
      <c r="D23" s="228">
        <v>50</v>
      </c>
      <c r="E23" s="228">
        <v>20</v>
      </c>
      <c r="F23" s="231">
        <v>11256</v>
      </c>
      <c r="G23" s="231">
        <v>11253</v>
      </c>
      <c r="H23" s="228">
        <v>3</v>
      </c>
      <c r="I23" s="229">
        <v>2.9999999999999997E-4</v>
      </c>
      <c r="J23" s="231">
        <v>11198</v>
      </c>
      <c r="K23" s="231">
        <v>11202</v>
      </c>
      <c r="L23" s="228">
        <v>-4</v>
      </c>
      <c r="M23" s="229">
        <v>-4.0000000000000002E-4</v>
      </c>
      <c r="N23" s="231">
        <v>11256</v>
      </c>
      <c r="O23" s="231">
        <v>11253</v>
      </c>
      <c r="P23" s="228">
        <v>3</v>
      </c>
      <c r="Q23" s="229">
        <v>2.9999999999999997E-4</v>
      </c>
      <c r="R23" s="231">
        <v>11318</v>
      </c>
      <c r="S23" s="231">
        <v>11304</v>
      </c>
      <c r="T23" s="228">
        <v>14</v>
      </c>
      <c r="U23" s="229">
        <v>1.1999999999999999E-3</v>
      </c>
      <c r="V23" s="231">
        <v>11488</v>
      </c>
      <c r="W23" s="231">
        <v>11488</v>
      </c>
      <c r="X23" s="228">
        <v>0</v>
      </c>
      <c r="Y23" s="229">
        <v>0</v>
      </c>
      <c r="Z23" s="228">
        <v>58</v>
      </c>
      <c r="AA23" s="228">
        <v>51</v>
      </c>
      <c r="AB23" s="228">
        <v>7</v>
      </c>
      <c r="AC23" s="229">
        <v>5.1999999999999998E-3</v>
      </c>
      <c r="AD23" s="228">
        <v>58</v>
      </c>
      <c r="AE23" s="228">
        <v>51</v>
      </c>
      <c r="AF23" s="228">
        <v>7</v>
      </c>
      <c r="AG23" s="229">
        <v>5.1999999999999998E-3</v>
      </c>
      <c r="AH23" s="228">
        <v>120</v>
      </c>
      <c r="AI23" s="228">
        <v>102</v>
      </c>
      <c r="AJ23" s="228">
        <v>18</v>
      </c>
      <c r="AK23" s="229">
        <v>1.0699999999999999E-2</v>
      </c>
      <c r="AL23" s="228">
        <v>290</v>
      </c>
      <c r="AM23" s="228">
        <v>286</v>
      </c>
      <c r="AN23" s="228">
        <v>4</v>
      </c>
      <c r="AO23" s="229">
        <v>2.5899999999999999E-2</v>
      </c>
      <c r="AP23" s="231">
        <v>11187.65</v>
      </c>
      <c r="AQ23" s="231">
        <v>11229.57</v>
      </c>
      <c r="AR23" s="228">
        <v>0</v>
      </c>
      <c r="AS23" s="228">
        <v>25</v>
      </c>
      <c r="AT23" s="228">
        <v>37</v>
      </c>
      <c r="AU23" s="228">
        <v>-13</v>
      </c>
      <c r="AV23" s="229">
        <v>-0.3453</v>
      </c>
      <c r="AW23" s="228">
        <v>23</v>
      </c>
      <c r="AX23" s="228">
        <v>34</v>
      </c>
      <c r="AY23" s="228">
        <v>-11</v>
      </c>
      <c r="AZ23" s="229">
        <v>-0.32519999999999999</v>
      </c>
      <c r="BA23" s="228">
        <v>1</v>
      </c>
      <c r="BB23" s="228">
        <v>3</v>
      </c>
      <c r="BC23" s="228">
        <v>-2</v>
      </c>
      <c r="BD23" s="229">
        <v>-0.55769999999999997</v>
      </c>
      <c r="BE23" s="228">
        <v>0</v>
      </c>
      <c r="BF23" s="228">
        <v>0</v>
      </c>
      <c r="BG23" s="228">
        <v>0</v>
      </c>
      <c r="BH23" s="229">
        <v>-1</v>
      </c>
      <c r="BI23" s="228">
        <v>109</v>
      </c>
      <c r="BJ23" s="228">
        <v>110</v>
      </c>
      <c r="BK23" s="228">
        <v>0</v>
      </c>
      <c r="BL23" s="229">
        <v>-2.5999999999999999E-3</v>
      </c>
      <c r="BM23" s="228">
        <v>14</v>
      </c>
      <c r="BN23" s="228">
        <v>32</v>
      </c>
      <c r="BO23" s="228">
        <v>-18</v>
      </c>
      <c r="BP23" s="229">
        <v>-0.56789999999999996</v>
      </c>
      <c r="BQ23" s="228">
        <v>148</v>
      </c>
      <c r="BR23" s="228">
        <v>179</v>
      </c>
      <c r="BS23" s="228">
        <v>-31</v>
      </c>
      <c r="BT23" s="229">
        <v>-0.17510000000000001</v>
      </c>
      <c r="BU23" s="230">
        <v>49010</v>
      </c>
      <c r="BV23" s="230">
        <v>56078</v>
      </c>
      <c r="BW23" s="230">
        <v>-7068</v>
      </c>
      <c r="BX23" s="229">
        <v>-0.126</v>
      </c>
      <c r="BY23" s="228">
        <v>112</v>
      </c>
      <c r="BZ23" s="228">
        <v>109</v>
      </c>
      <c r="CA23" s="228">
        <v>3</v>
      </c>
      <c r="CB23" s="229">
        <v>2.64E-2</v>
      </c>
      <c r="CC23" s="228">
        <v>106</v>
      </c>
      <c r="CD23" s="228">
        <v>104</v>
      </c>
      <c r="CE23" s="228">
        <v>3</v>
      </c>
      <c r="CF23" s="229">
        <v>2.4400000000000002E-2</v>
      </c>
      <c r="CG23" s="228">
        <v>5</v>
      </c>
      <c r="CH23" s="228">
        <v>5</v>
      </c>
      <c r="CI23" s="228">
        <v>0</v>
      </c>
      <c r="CJ23" s="229">
        <v>7.0599999999999996E-2</v>
      </c>
      <c r="CK23" s="228">
        <v>0</v>
      </c>
      <c r="CL23" s="228">
        <v>0</v>
      </c>
      <c r="CM23" s="228">
        <v>0</v>
      </c>
      <c r="CN23" s="229">
        <v>0</v>
      </c>
      <c r="CO23" s="228">
        <v>71</v>
      </c>
      <c r="CP23" s="228">
        <v>70</v>
      </c>
      <c r="CQ23" s="228">
        <v>0</v>
      </c>
      <c r="CR23" s="229">
        <v>4.0000000000000001E-3</v>
      </c>
      <c r="CS23" s="228">
        <v>31</v>
      </c>
      <c r="CT23" s="228">
        <v>34</v>
      </c>
      <c r="CU23" s="228">
        <v>-3</v>
      </c>
      <c r="CV23" s="229">
        <v>-8.5199999999999998E-2</v>
      </c>
      <c r="CW23" s="228">
        <v>214</v>
      </c>
      <c r="CX23" s="228">
        <v>213</v>
      </c>
      <c r="CY23" s="228">
        <v>0</v>
      </c>
      <c r="CZ23" s="229">
        <v>1.1000000000000001E-3</v>
      </c>
      <c r="DA23" s="228">
        <v>31.14</v>
      </c>
      <c r="DB23" s="228">
        <v>31.62</v>
      </c>
      <c r="DC23" s="228">
        <v>-0.48</v>
      </c>
      <c r="DD23" s="228">
        <v>-0.48</v>
      </c>
      <c r="DE23" s="228">
        <v>39.130000000000003</v>
      </c>
      <c r="DF23" s="228">
        <v>39.229999999999997</v>
      </c>
      <c r="DG23" s="228">
        <v>-7.99</v>
      </c>
      <c r="DH23" s="228">
        <v>-0.1</v>
      </c>
      <c r="DI23" s="228">
        <v>31.01</v>
      </c>
      <c r="DJ23" s="228">
        <v>31.13</v>
      </c>
      <c r="DK23" s="228">
        <v>-0.12</v>
      </c>
      <c r="DL23" s="228">
        <v>-0.12</v>
      </c>
      <c r="DM23" s="228">
        <v>32.18</v>
      </c>
      <c r="DN23" s="228">
        <v>33.299999999999997</v>
      </c>
      <c r="DO23" s="228">
        <v>-1.1200000000000001</v>
      </c>
      <c r="DP23" s="228">
        <v>-1.1200000000000001</v>
      </c>
      <c r="DQ23" s="228">
        <v>0.44</v>
      </c>
      <c r="DR23" s="228">
        <v>0.49</v>
      </c>
      <c r="DS23" s="228">
        <v>-0.05</v>
      </c>
      <c r="DT23" s="229">
        <v>-0.10199999999999999</v>
      </c>
      <c r="DU23" s="231">
        <v>11500</v>
      </c>
      <c r="DV23" s="231">
        <v>10500</v>
      </c>
      <c r="DW23" s="228">
        <v>0.13</v>
      </c>
      <c r="DX23" s="228">
        <v>0.28999999999999998</v>
      </c>
      <c r="DY23" s="228">
        <v>-0.16</v>
      </c>
      <c r="DZ23" s="229">
        <v>-0.55169999999999997</v>
      </c>
      <c r="EA23" s="229">
        <v>4.7899999999999998E-2</v>
      </c>
      <c r="EB23" s="230">
        <v>4450</v>
      </c>
      <c r="EC23" s="229">
        <v>5.4999999999999997E-3</v>
      </c>
      <c r="ED23" s="229">
        <v>4.7899999999999998E-2</v>
      </c>
      <c r="EE23" s="228">
        <v>41.92</v>
      </c>
      <c r="EF23" s="229">
        <v>3.7000000000000002E-3</v>
      </c>
      <c r="EG23" s="230">
        <v>22241</v>
      </c>
      <c r="EH23" s="230">
        <v>25848</v>
      </c>
      <c r="EI23" s="229">
        <v>-0.13950000000000001</v>
      </c>
      <c r="EJ23" s="229">
        <v>0.45379999999999998</v>
      </c>
      <c r="EK23" s="228">
        <v>120.98</v>
      </c>
      <c r="EL23" s="228">
        <v>13.33</v>
      </c>
      <c r="EM23" s="228">
        <v>24.39</v>
      </c>
      <c r="EN23" s="228">
        <v>8.84</v>
      </c>
      <c r="EO23" s="228">
        <v>158.71</v>
      </c>
      <c r="EP23" s="228">
        <v>187.86</v>
      </c>
      <c r="EQ23" s="228">
        <v>-29.16</v>
      </c>
      <c r="ER23" s="229">
        <v>-0.1552</v>
      </c>
      <c r="ES23" s="228">
        <v>72.95</v>
      </c>
      <c r="ET23" s="228">
        <v>30.17</v>
      </c>
      <c r="EU23" s="228">
        <v>111.69</v>
      </c>
      <c r="EV23" s="231">
        <v>5401993</v>
      </c>
      <c r="EW23" s="228">
        <v>214.81</v>
      </c>
      <c r="EX23" s="228">
        <v>214.48</v>
      </c>
      <c r="EY23" s="228">
        <v>0.33</v>
      </c>
      <c r="EZ23" s="229">
        <v>1.5E-3</v>
      </c>
      <c r="FA23" s="229">
        <v>3.5099999999999999E-2</v>
      </c>
      <c r="FB23" s="227" t="s">
        <v>555</v>
      </c>
      <c r="FC23">
        <f t="shared" si="0"/>
        <v>6</v>
      </c>
    </row>
    <row r="24" spans="1:159" ht="17.25" thickBot="1" x14ac:dyDescent="0.3">
      <c r="A24" s="226">
        <v>46029</v>
      </c>
      <c r="B24" s="227" t="s">
        <v>175</v>
      </c>
      <c r="C24" s="227" t="s">
        <v>177</v>
      </c>
      <c r="D24" s="228">
        <v>750</v>
      </c>
      <c r="E24" s="228">
        <v>20</v>
      </c>
      <c r="F24" s="228">
        <v>973.4</v>
      </c>
      <c r="G24" s="228">
        <v>981.65</v>
      </c>
      <c r="H24" s="228">
        <v>-8.25</v>
      </c>
      <c r="I24" s="229">
        <v>-8.3999999999999995E-3</v>
      </c>
      <c r="J24" s="228">
        <v>968.8</v>
      </c>
      <c r="K24" s="228">
        <v>977.35</v>
      </c>
      <c r="L24" s="228">
        <v>-8.5500000000000007</v>
      </c>
      <c r="M24" s="229">
        <v>-8.6999999999999994E-3</v>
      </c>
      <c r="N24" s="228">
        <v>973.4</v>
      </c>
      <c r="O24" s="228">
        <v>981.65</v>
      </c>
      <c r="P24" s="228">
        <v>-8.25</v>
      </c>
      <c r="Q24" s="229">
        <v>-8.3999999999999995E-3</v>
      </c>
      <c r="R24" s="228">
        <v>979</v>
      </c>
      <c r="S24" s="228">
        <v>987.1</v>
      </c>
      <c r="T24" s="228">
        <v>-8.1</v>
      </c>
      <c r="U24" s="229">
        <v>-8.2000000000000007E-3</v>
      </c>
      <c r="V24" s="228">
        <v>985.25</v>
      </c>
      <c r="W24" s="228">
        <v>994.45</v>
      </c>
      <c r="X24" s="228">
        <v>-9.1999999999999993</v>
      </c>
      <c r="Y24" s="229">
        <v>-9.2999999999999992E-3</v>
      </c>
      <c r="Z24" s="228">
        <v>4.5999999999999996</v>
      </c>
      <c r="AA24" s="228">
        <v>4.3</v>
      </c>
      <c r="AB24" s="228">
        <v>0.3</v>
      </c>
      <c r="AC24" s="229">
        <v>4.7000000000000002E-3</v>
      </c>
      <c r="AD24" s="228">
        <v>4.5999999999999996</v>
      </c>
      <c r="AE24" s="228">
        <v>4.3</v>
      </c>
      <c r="AF24" s="228">
        <v>0.3</v>
      </c>
      <c r="AG24" s="229">
        <v>4.7000000000000002E-3</v>
      </c>
      <c r="AH24" s="228">
        <v>10.199999999999999</v>
      </c>
      <c r="AI24" s="228">
        <v>9.75</v>
      </c>
      <c r="AJ24" s="228">
        <v>0.45</v>
      </c>
      <c r="AK24" s="229">
        <v>1.0500000000000001E-2</v>
      </c>
      <c r="AL24" s="228">
        <v>16.45</v>
      </c>
      <c r="AM24" s="228">
        <v>17.100000000000001</v>
      </c>
      <c r="AN24" s="228">
        <v>-0.65</v>
      </c>
      <c r="AO24" s="229">
        <v>1.7000000000000001E-2</v>
      </c>
      <c r="AP24" s="228">
        <v>973.01</v>
      </c>
      <c r="AQ24" s="228">
        <v>978.71</v>
      </c>
      <c r="AR24" s="228">
        <v>0</v>
      </c>
      <c r="AS24" s="228">
        <v>562</v>
      </c>
      <c r="AT24" s="228">
        <v>580</v>
      </c>
      <c r="AU24" s="228">
        <v>-19</v>
      </c>
      <c r="AV24" s="229">
        <v>-3.2000000000000001E-2</v>
      </c>
      <c r="AW24" s="228">
        <v>490</v>
      </c>
      <c r="AX24" s="228">
        <v>537</v>
      </c>
      <c r="AY24" s="228">
        <v>-47</v>
      </c>
      <c r="AZ24" s="229">
        <v>-8.8099999999999998E-2</v>
      </c>
      <c r="BA24" s="228">
        <v>55</v>
      </c>
      <c r="BB24" s="228">
        <v>37</v>
      </c>
      <c r="BC24" s="228">
        <v>18</v>
      </c>
      <c r="BD24" s="229">
        <v>0.48420000000000002</v>
      </c>
      <c r="BE24" s="228">
        <v>17</v>
      </c>
      <c r="BF24" s="228">
        <v>6</v>
      </c>
      <c r="BG24" s="228">
        <v>11</v>
      </c>
      <c r="BH24" s="229">
        <v>1.7125999999999999</v>
      </c>
      <c r="BI24" s="230">
        <v>1934</v>
      </c>
      <c r="BJ24" s="230">
        <v>2017</v>
      </c>
      <c r="BK24" s="228">
        <v>-84</v>
      </c>
      <c r="BL24" s="229">
        <v>-4.1399999999999999E-2</v>
      </c>
      <c r="BM24" s="228">
        <v>822</v>
      </c>
      <c r="BN24" s="228">
        <v>690</v>
      </c>
      <c r="BO24" s="228">
        <v>132</v>
      </c>
      <c r="BP24" s="229">
        <v>0.1918</v>
      </c>
      <c r="BQ24" s="230">
        <v>3318</v>
      </c>
      <c r="BR24" s="230">
        <v>3288</v>
      </c>
      <c r="BS24" s="228">
        <v>30</v>
      </c>
      <c r="BT24" s="229">
        <v>9.1999999999999998E-3</v>
      </c>
      <c r="BU24" s="230">
        <v>7251779</v>
      </c>
      <c r="BV24" s="230">
        <v>8816663</v>
      </c>
      <c r="BW24" s="230">
        <v>-1564884</v>
      </c>
      <c r="BX24" s="229">
        <v>-0.17749999999999999</v>
      </c>
      <c r="BY24" s="230">
        <v>9580</v>
      </c>
      <c r="BZ24" s="230">
        <v>9463</v>
      </c>
      <c r="CA24" s="228">
        <v>117</v>
      </c>
      <c r="CB24" s="229">
        <v>1.24E-2</v>
      </c>
      <c r="CC24" s="230">
        <v>9358</v>
      </c>
      <c r="CD24" s="230">
        <v>9279</v>
      </c>
      <c r="CE24" s="228">
        <v>80</v>
      </c>
      <c r="CF24" s="229">
        <v>8.6E-3</v>
      </c>
      <c r="CG24" s="228">
        <v>192</v>
      </c>
      <c r="CH24" s="228">
        <v>166</v>
      </c>
      <c r="CI24" s="228">
        <v>27</v>
      </c>
      <c r="CJ24" s="229">
        <v>0.1613</v>
      </c>
      <c r="CK24" s="228">
        <v>30</v>
      </c>
      <c r="CL24" s="228">
        <v>19</v>
      </c>
      <c r="CM24" s="228">
        <v>11</v>
      </c>
      <c r="CN24" s="229">
        <v>0.56759999999999999</v>
      </c>
      <c r="CO24" s="230">
        <v>2881</v>
      </c>
      <c r="CP24" s="230">
        <v>2713</v>
      </c>
      <c r="CQ24" s="228">
        <v>168</v>
      </c>
      <c r="CR24" s="229">
        <v>6.2100000000000002E-2</v>
      </c>
      <c r="CS24" s="230">
        <v>1942</v>
      </c>
      <c r="CT24" s="230">
        <v>1857</v>
      </c>
      <c r="CU24" s="228">
        <v>85</v>
      </c>
      <c r="CV24" s="229">
        <v>4.5999999999999999E-2</v>
      </c>
      <c r="CW24" s="230">
        <v>14404</v>
      </c>
      <c r="CX24" s="230">
        <v>14033</v>
      </c>
      <c r="CY24" s="228">
        <v>371</v>
      </c>
      <c r="CZ24" s="229">
        <v>2.64E-2</v>
      </c>
      <c r="DA24" s="228">
        <v>25.86</v>
      </c>
      <c r="DB24" s="228">
        <v>24.89</v>
      </c>
      <c r="DC24" s="228">
        <v>0.97</v>
      </c>
      <c r="DD24" s="228">
        <v>0.97</v>
      </c>
      <c r="DE24" s="228">
        <v>30.81</v>
      </c>
      <c r="DF24" s="228">
        <v>30.87</v>
      </c>
      <c r="DG24" s="228">
        <v>-4.95</v>
      </c>
      <c r="DH24" s="228">
        <v>-0.06</v>
      </c>
      <c r="DI24" s="228">
        <v>26.18</v>
      </c>
      <c r="DJ24" s="228">
        <v>24.93</v>
      </c>
      <c r="DK24" s="228">
        <v>1.25</v>
      </c>
      <c r="DL24" s="228">
        <v>1.25</v>
      </c>
      <c r="DM24" s="228">
        <v>25.09</v>
      </c>
      <c r="DN24" s="228">
        <v>24.76</v>
      </c>
      <c r="DO24" s="228">
        <v>0.33</v>
      </c>
      <c r="DP24" s="228">
        <v>0.33</v>
      </c>
      <c r="DQ24" s="228">
        <v>0.67</v>
      </c>
      <c r="DR24" s="228">
        <v>0.68</v>
      </c>
      <c r="DS24" s="228">
        <v>-0.01</v>
      </c>
      <c r="DT24" s="229">
        <v>-1.47E-2</v>
      </c>
      <c r="DU24" s="231">
        <v>1000</v>
      </c>
      <c r="DV24" s="231">
        <v>1000</v>
      </c>
      <c r="DW24" s="228">
        <v>0.43</v>
      </c>
      <c r="DX24" s="228">
        <v>0.34</v>
      </c>
      <c r="DY24" s="228">
        <v>0.09</v>
      </c>
      <c r="DZ24" s="229">
        <v>0.26469999999999999</v>
      </c>
      <c r="EA24" s="229">
        <v>2.3199999999999998E-2</v>
      </c>
      <c r="EB24" s="230">
        <v>1896000</v>
      </c>
      <c r="EC24" s="229">
        <v>5.7999999999999996E-3</v>
      </c>
      <c r="ED24" s="229">
        <v>2.3199999999999998E-2</v>
      </c>
      <c r="EE24" s="228">
        <v>5.7</v>
      </c>
      <c r="EF24" s="229">
        <v>5.8999999999999999E-3</v>
      </c>
      <c r="EG24" s="230">
        <v>5235774</v>
      </c>
      <c r="EH24" s="230">
        <v>6096024</v>
      </c>
      <c r="EI24" s="229">
        <v>-0.1411</v>
      </c>
      <c r="EJ24" s="229">
        <v>0.72199999999999998</v>
      </c>
      <c r="EK24" s="231">
        <v>2042.28</v>
      </c>
      <c r="EL24" s="228">
        <v>814.33</v>
      </c>
      <c r="EM24" s="228">
        <v>562.08000000000004</v>
      </c>
      <c r="EN24" s="228">
        <v>129.88</v>
      </c>
      <c r="EO24" s="231">
        <v>3418.7</v>
      </c>
      <c r="EP24" s="231">
        <v>3405.17</v>
      </c>
      <c r="EQ24" s="228">
        <v>13.53</v>
      </c>
      <c r="ER24" s="229">
        <v>4.0000000000000001E-3</v>
      </c>
      <c r="ES24" s="231">
        <v>3046.6</v>
      </c>
      <c r="ET24" s="231">
        <v>1950.56</v>
      </c>
      <c r="EU24" s="231">
        <v>9581.77</v>
      </c>
      <c r="EV24" s="231">
        <v>317526833</v>
      </c>
      <c r="EW24" s="231">
        <v>14578.93</v>
      </c>
      <c r="EX24" s="231">
        <v>14291.12</v>
      </c>
      <c r="EY24" s="228">
        <v>287.81</v>
      </c>
      <c r="EZ24" s="229">
        <v>2.01E-2</v>
      </c>
      <c r="FA24" s="229">
        <v>0.46600000000000003</v>
      </c>
      <c r="FB24" s="227" t="s">
        <v>567</v>
      </c>
      <c r="FC24">
        <f t="shared" si="0"/>
        <v>222</v>
      </c>
    </row>
    <row r="25" spans="1:159" ht="17.25" thickBot="1" x14ac:dyDescent="0.3">
      <c r="A25" s="226">
        <v>46029</v>
      </c>
      <c r="B25" s="227" t="s">
        <v>172</v>
      </c>
      <c r="C25" s="227" t="s">
        <v>179</v>
      </c>
      <c r="D25" s="228">
        <v>3600</v>
      </c>
      <c r="E25" s="228">
        <v>20</v>
      </c>
      <c r="F25" s="228">
        <v>148.37</v>
      </c>
      <c r="G25" s="228">
        <v>148.37</v>
      </c>
      <c r="H25" s="228">
        <v>0</v>
      </c>
      <c r="I25" s="229">
        <v>0</v>
      </c>
      <c r="J25" s="228">
        <v>147.63999999999999</v>
      </c>
      <c r="K25" s="228">
        <v>147.66999999999999</v>
      </c>
      <c r="L25" s="228">
        <v>-0.03</v>
      </c>
      <c r="M25" s="229">
        <v>-2.0000000000000001E-4</v>
      </c>
      <c r="N25" s="228">
        <v>148.37</v>
      </c>
      <c r="O25" s="228">
        <v>148.37</v>
      </c>
      <c r="P25" s="228">
        <v>0</v>
      </c>
      <c r="Q25" s="229">
        <v>0</v>
      </c>
      <c r="R25" s="228">
        <v>149.25</v>
      </c>
      <c r="S25" s="228">
        <v>149.22</v>
      </c>
      <c r="T25" s="228">
        <v>0.03</v>
      </c>
      <c r="U25" s="229">
        <v>2.0000000000000001E-4</v>
      </c>
      <c r="V25" s="228">
        <v>150.29</v>
      </c>
      <c r="W25" s="228">
        <v>150.32</v>
      </c>
      <c r="X25" s="228">
        <v>-0.03</v>
      </c>
      <c r="Y25" s="229">
        <v>-2.0000000000000001E-4</v>
      </c>
      <c r="Z25" s="228">
        <v>0.73</v>
      </c>
      <c r="AA25" s="228">
        <v>0.7</v>
      </c>
      <c r="AB25" s="228">
        <v>0.03</v>
      </c>
      <c r="AC25" s="229">
        <v>4.8999999999999998E-3</v>
      </c>
      <c r="AD25" s="228">
        <v>0.73</v>
      </c>
      <c r="AE25" s="228">
        <v>0.7</v>
      </c>
      <c r="AF25" s="228">
        <v>0.03</v>
      </c>
      <c r="AG25" s="229">
        <v>4.8999999999999998E-3</v>
      </c>
      <c r="AH25" s="228">
        <v>1.61</v>
      </c>
      <c r="AI25" s="228">
        <v>1.55</v>
      </c>
      <c r="AJ25" s="228">
        <v>0.06</v>
      </c>
      <c r="AK25" s="229">
        <v>1.09E-2</v>
      </c>
      <c r="AL25" s="228">
        <v>2.65</v>
      </c>
      <c r="AM25" s="228">
        <v>2.65</v>
      </c>
      <c r="AN25" s="228">
        <v>0</v>
      </c>
      <c r="AO25" s="229">
        <v>1.7899999999999999E-2</v>
      </c>
      <c r="AP25" s="228">
        <v>148.01</v>
      </c>
      <c r="AQ25" s="228">
        <v>148.81</v>
      </c>
      <c r="AR25" s="228">
        <v>0</v>
      </c>
      <c r="AS25" s="228">
        <v>141</v>
      </c>
      <c r="AT25" s="228">
        <v>191</v>
      </c>
      <c r="AU25" s="228">
        <v>-50</v>
      </c>
      <c r="AV25" s="229">
        <v>-0.25979999999999998</v>
      </c>
      <c r="AW25" s="228">
        <v>129</v>
      </c>
      <c r="AX25" s="228">
        <v>179</v>
      </c>
      <c r="AY25" s="228">
        <v>-50</v>
      </c>
      <c r="AZ25" s="229">
        <v>-0.27779999999999999</v>
      </c>
      <c r="BA25" s="228">
        <v>10</v>
      </c>
      <c r="BB25" s="228">
        <v>10</v>
      </c>
      <c r="BC25" s="228">
        <v>0</v>
      </c>
      <c r="BD25" s="229">
        <v>3.2300000000000002E-2</v>
      </c>
      <c r="BE25" s="228">
        <v>2</v>
      </c>
      <c r="BF25" s="228">
        <v>2</v>
      </c>
      <c r="BG25" s="228">
        <v>0</v>
      </c>
      <c r="BH25" s="229">
        <v>-8.5699999999999998E-2</v>
      </c>
      <c r="BI25" s="228">
        <v>245</v>
      </c>
      <c r="BJ25" s="228">
        <v>391</v>
      </c>
      <c r="BK25" s="228">
        <v>-147</v>
      </c>
      <c r="BL25" s="229">
        <v>-0.37459999999999999</v>
      </c>
      <c r="BM25" s="228">
        <v>98</v>
      </c>
      <c r="BN25" s="228">
        <v>124</v>
      </c>
      <c r="BO25" s="228">
        <v>-26</v>
      </c>
      <c r="BP25" s="229">
        <v>-0.2092</v>
      </c>
      <c r="BQ25" s="228">
        <v>484</v>
      </c>
      <c r="BR25" s="228">
        <v>706</v>
      </c>
      <c r="BS25" s="228">
        <v>-222</v>
      </c>
      <c r="BT25" s="229">
        <v>-0.31459999999999999</v>
      </c>
      <c r="BU25" s="230">
        <v>4631666</v>
      </c>
      <c r="BV25" s="230">
        <v>4278712</v>
      </c>
      <c r="BW25" s="230">
        <v>352954</v>
      </c>
      <c r="BX25" s="229">
        <v>8.2500000000000004E-2</v>
      </c>
      <c r="BY25" s="230">
        <v>1953</v>
      </c>
      <c r="BZ25" s="230">
        <v>1931</v>
      </c>
      <c r="CA25" s="228">
        <v>22</v>
      </c>
      <c r="CB25" s="229">
        <v>1.15E-2</v>
      </c>
      <c r="CC25" s="230">
        <v>1845</v>
      </c>
      <c r="CD25" s="230">
        <v>1827</v>
      </c>
      <c r="CE25" s="228">
        <v>18</v>
      </c>
      <c r="CF25" s="229">
        <v>9.7999999999999997E-3</v>
      </c>
      <c r="CG25" s="228">
        <v>101</v>
      </c>
      <c r="CH25" s="228">
        <v>97</v>
      </c>
      <c r="CI25" s="228">
        <v>4</v>
      </c>
      <c r="CJ25" s="229">
        <v>4.07E-2</v>
      </c>
      <c r="CK25" s="228">
        <v>7</v>
      </c>
      <c r="CL25" s="228">
        <v>6</v>
      </c>
      <c r="CM25" s="228">
        <v>0</v>
      </c>
      <c r="CN25" s="229">
        <v>7.8299999999999995E-2</v>
      </c>
      <c r="CO25" s="228">
        <v>502</v>
      </c>
      <c r="CP25" s="228">
        <v>494</v>
      </c>
      <c r="CQ25" s="228">
        <v>8</v>
      </c>
      <c r="CR25" s="229">
        <v>1.6899999999999998E-2</v>
      </c>
      <c r="CS25" s="228">
        <v>463</v>
      </c>
      <c r="CT25" s="228">
        <v>444</v>
      </c>
      <c r="CU25" s="228">
        <v>19</v>
      </c>
      <c r="CV25" s="229">
        <v>4.2799999999999998E-2</v>
      </c>
      <c r="CW25" s="230">
        <v>2918</v>
      </c>
      <c r="CX25" s="230">
        <v>2868</v>
      </c>
      <c r="CY25" s="228">
        <v>50</v>
      </c>
      <c r="CZ25" s="229">
        <v>1.7299999999999999E-2</v>
      </c>
      <c r="DA25" s="228">
        <v>32.4</v>
      </c>
      <c r="DB25" s="228">
        <v>31.64</v>
      </c>
      <c r="DC25" s="228">
        <v>0.76</v>
      </c>
      <c r="DD25" s="228">
        <v>0.76</v>
      </c>
      <c r="DE25" s="228">
        <v>41.18</v>
      </c>
      <c r="DF25" s="228">
        <v>41.28</v>
      </c>
      <c r="DG25" s="228">
        <v>-8.7799999999999994</v>
      </c>
      <c r="DH25" s="228">
        <v>-0.1</v>
      </c>
      <c r="DI25" s="228">
        <v>32.4</v>
      </c>
      <c r="DJ25" s="228">
        <v>31.6</v>
      </c>
      <c r="DK25" s="228">
        <v>0.8</v>
      </c>
      <c r="DL25" s="228">
        <v>0.8</v>
      </c>
      <c r="DM25" s="228">
        <v>32.39</v>
      </c>
      <c r="DN25" s="228">
        <v>31.75</v>
      </c>
      <c r="DO25" s="228">
        <v>0.64</v>
      </c>
      <c r="DP25" s="228">
        <v>0.64</v>
      </c>
      <c r="DQ25" s="228">
        <v>0.92</v>
      </c>
      <c r="DR25" s="228">
        <v>0.9</v>
      </c>
      <c r="DS25" s="228">
        <v>0.02</v>
      </c>
      <c r="DT25" s="229">
        <v>2.2200000000000001E-2</v>
      </c>
      <c r="DU25" s="228">
        <v>150</v>
      </c>
      <c r="DV25" s="228">
        <v>150</v>
      </c>
      <c r="DW25" s="228">
        <v>0.4</v>
      </c>
      <c r="DX25" s="228">
        <v>0.32</v>
      </c>
      <c r="DY25" s="228">
        <v>0.08</v>
      </c>
      <c r="DZ25" s="229">
        <v>0.25</v>
      </c>
      <c r="EA25" s="229">
        <v>5.5199999999999999E-2</v>
      </c>
      <c r="EB25" s="230">
        <v>6962400</v>
      </c>
      <c r="EC25" s="229">
        <v>5.8999999999999999E-3</v>
      </c>
      <c r="ED25" s="229">
        <v>5.5199999999999999E-2</v>
      </c>
      <c r="EE25" s="228">
        <v>0.8</v>
      </c>
      <c r="EF25" s="229">
        <v>5.4000000000000003E-3</v>
      </c>
      <c r="EG25" s="230">
        <v>1881526</v>
      </c>
      <c r="EH25" s="230">
        <v>1236992</v>
      </c>
      <c r="EI25" s="229">
        <v>0.52100000000000002</v>
      </c>
      <c r="EJ25" s="229">
        <v>0.40620000000000001</v>
      </c>
      <c r="EK25" s="228">
        <v>257.27999999999997</v>
      </c>
      <c r="EL25" s="228">
        <v>96</v>
      </c>
      <c r="EM25" s="228">
        <v>141.12</v>
      </c>
      <c r="EN25" s="228">
        <v>45.45</v>
      </c>
      <c r="EO25" s="228">
        <v>494.4</v>
      </c>
      <c r="EP25" s="228">
        <v>725.47</v>
      </c>
      <c r="EQ25" s="228">
        <v>-231.07</v>
      </c>
      <c r="ER25" s="229">
        <v>-0.31850000000000001</v>
      </c>
      <c r="ES25" s="228">
        <v>521.29999999999995</v>
      </c>
      <c r="ET25" s="228">
        <v>459.83</v>
      </c>
      <c r="EU25" s="231">
        <v>1953.63</v>
      </c>
      <c r="EV25" s="231">
        <v>144289555</v>
      </c>
      <c r="EW25" s="231">
        <v>2934.76</v>
      </c>
      <c r="EX25" s="231">
        <v>2885.53</v>
      </c>
      <c r="EY25" s="228">
        <v>49.23</v>
      </c>
      <c r="EZ25" s="229">
        <v>1.7100000000000001E-2</v>
      </c>
      <c r="FA25" s="229">
        <v>1.3631</v>
      </c>
      <c r="FB25" s="227" t="s">
        <v>237</v>
      </c>
      <c r="FC25">
        <f t="shared" si="0"/>
        <v>108</v>
      </c>
    </row>
    <row r="26" spans="1:159" ht="17.25" thickBot="1" x14ac:dyDescent="0.3">
      <c r="A26" s="226">
        <v>46029</v>
      </c>
      <c r="B26" s="227" t="s">
        <v>172</v>
      </c>
      <c r="C26" s="227" t="s">
        <v>180</v>
      </c>
      <c r="D26" s="228">
        <v>2925</v>
      </c>
      <c r="E26" s="228">
        <v>20</v>
      </c>
      <c r="F26" s="228">
        <v>308.85000000000002</v>
      </c>
      <c r="G26" s="228">
        <v>306.2</v>
      </c>
      <c r="H26" s="228">
        <v>2.65</v>
      </c>
      <c r="I26" s="229">
        <v>8.6999999999999994E-3</v>
      </c>
      <c r="J26" s="228">
        <v>308.25</v>
      </c>
      <c r="K26" s="228">
        <v>305.05</v>
      </c>
      <c r="L26" s="228">
        <v>3.2</v>
      </c>
      <c r="M26" s="229">
        <v>1.0500000000000001E-2</v>
      </c>
      <c r="N26" s="228">
        <v>308.85000000000002</v>
      </c>
      <c r="O26" s="228">
        <v>306.2</v>
      </c>
      <c r="P26" s="228">
        <v>2.65</v>
      </c>
      <c r="Q26" s="229">
        <v>8.6999999999999994E-3</v>
      </c>
      <c r="R26" s="228">
        <v>310.60000000000002</v>
      </c>
      <c r="S26" s="228">
        <v>308</v>
      </c>
      <c r="T26" s="228">
        <v>2.6</v>
      </c>
      <c r="U26" s="229">
        <v>8.3999999999999995E-3</v>
      </c>
      <c r="V26" s="228">
        <v>312.60000000000002</v>
      </c>
      <c r="W26" s="228">
        <v>309.75</v>
      </c>
      <c r="X26" s="228">
        <v>2.85</v>
      </c>
      <c r="Y26" s="229">
        <v>9.1999999999999998E-3</v>
      </c>
      <c r="Z26" s="228">
        <v>0.6</v>
      </c>
      <c r="AA26" s="228">
        <v>1.1499999999999999</v>
      </c>
      <c r="AB26" s="228">
        <v>-0.55000000000000004</v>
      </c>
      <c r="AC26" s="229">
        <v>1.9E-3</v>
      </c>
      <c r="AD26" s="228">
        <v>0.6</v>
      </c>
      <c r="AE26" s="228">
        <v>1.1499999999999999</v>
      </c>
      <c r="AF26" s="228">
        <v>-0.55000000000000004</v>
      </c>
      <c r="AG26" s="229">
        <v>1.9E-3</v>
      </c>
      <c r="AH26" s="228">
        <v>2.35</v>
      </c>
      <c r="AI26" s="228">
        <v>2.95</v>
      </c>
      <c r="AJ26" s="228">
        <v>-0.6</v>
      </c>
      <c r="AK26" s="229">
        <v>7.6E-3</v>
      </c>
      <c r="AL26" s="228">
        <v>4.3499999999999996</v>
      </c>
      <c r="AM26" s="228">
        <v>4.7</v>
      </c>
      <c r="AN26" s="228">
        <v>-0.35</v>
      </c>
      <c r="AO26" s="229">
        <v>1.41E-2</v>
      </c>
      <c r="AP26" s="228">
        <v>308.43</v>
      </c>
      <c r="AQ26" s="228">
        <v>310.12</v>
      </c>
      <c r="AR26" s="228">
        <v>0</v>
      </c>
      <c r="AS26" s="228">
        <v>491</v>
      </c>
      <c r="AT26" s="228">
        <v>694</v>
      </c>
      <c r="AU26" s="228">
        <v>-203</v>
      </c>
      <c r="AV26" s="229">
        <v>-0.29320000000000002</v>
      </c>
      <c r="AW26" s="228">
        <v>460</v>
      </c>
      <c r="AX26" s="228">
        <v>661</v>
      </c>
      <c r="AY26" s="228">
        <v>-201</v>
      </c>
      <c r="AZ26" s="229">
        <v>-0.30420000000000003</v>
      </c>
      <c r="BA26" s="228">
        <v>26</v>
      </c>
      <c r="BB26" s="228">
        <v>28</v>
      </c>
      <c r="BC26" s="228">
        <v>-2</v>
      </c>
      <c r="BD26" s="229">
        <v>-6.2300000000000001E-2</v>
      </c>
      <c r="BE26" s="228">
        <v>5</v>
      </c>
      <c r="BF26" s="228">
        <v>5</v>
      </c>
      <c r="BG26" s="228">
        <v>-1</v>
      </c>
      <c r="BH26" s="229">
        <v>-0.1167</v>
      </c>
      <c r="BI26" s="230">
        <v>3141</v>
      </c>
      <c r="BJ26" s="230">
        <v>1957</v>
      </c>
      <c r="BK26" s="230">
        <v>1184</v>
      </c>
      <c r="BL26" s="229">
        <v>0.60499999999999998</v>
      </c>
      <c r="BM26" s="228">
        <v>855</v>
      </c>
      <c r="BN26" s="230">
        <v>1030</v>
      </c>
      <c r="BO26" s="228">
        <v>-175</v>
      </c>
      <c r="BP26" s="229">
        <v>-0.16950000000000001</v>
      </c>
      <c r="BQ26" s="230">
        <v>4487</v>
      </c>
      <c r="BR26" s="230">
        <v>3681</v>
      </c>
      <c r="BS26" s="228">
        <v>806</v>
      </c>
      <c r="BT26" s="229">
        <v>0.219</v>
      </c>
      <c r="BU26" s="230">
        <v>7773983</v>
      </c>
      <c r="BV26" s="230">
        <v>9515404</v>
      </c>
      <c r="BW26" s="230">
        <v>-1741421</v>
      </c>
      <c r="BX26" s="229">
        <v>-0.183</v>
      </c>
      <c r="BY26" s="230">
        <v>2510</v>
      </c>
      <c r="BZ26" s="230">
        <v>2574</v>
      </c>
      <c r="CA26" s="228">
        <v>-64</v>
      </c>
      <c r="CB26" s="229">
        <v>-2.4799999999999999E-2</v>
      </c>
      <c r="CC26" s="230">
        <v>2441</v>
      </c>
      <c r="CD26" s="230">
        <v>2507</v>
      </c>
      <c r="CE26" s="228">
        <v>-65</v>
      </c>
      <c r="CF26" s="229">
        <v>-2.6100000000000002E-2</v>
      </c>
      <c r="CG26" s="228">
        <v>57</v>
      </c>
      <c r="CH26" s="228">
        <v>55</v>
      </c>
      <c r="CI26" s="228">
        <v>2</v>
      </c>
      <c r="CJ26" s="229">
        <v>4.1099999999999998E-2</v>
      </c>
      <c r="CK26" s="228">
        <v>11</v>
      </c>
      <c r="CL26" s="228">
        <v>12</v>
      </c>
      <c r="CM26" s="228">
        <v>-1</v>
      </c>
      <c r="CN26" s="229">
        <v>-5.3400000000000003E-2</v>
      </c>
      <c r="CO26" s="230">
        <v>1571</v>
      </c>
      <c r="CP26" s="230">
        <v>1158</v>
      </c>
      <c r="CQ26" s="228">
        <v>413</v>
      </c>
      <c r="CR26" s="229">
        <v>0.35639999999999999</v>
      </c>
      <c r="CS26" s="228">
        <v>988</v>
      </c>
      <c r="CT26" s="228">
        <v>929</v>
      </c>
      <c r="CU26" s="228">
        <v>59</v>
      </c>
      <c r="CV26" s="229">
        <v>6.4000000000000001E-2</v>
      </c>
      <c r="CW26" s="230">
        <v>5069</v>
      </c>
      <c r="CX26" s="230">
        <v>4660</v>
      </c>
      <c r="CY26" s="228">
        <v>408</v>
      </c>
      <c r="CZ26" s="229">
        <v>8.7599999999999997E-2</v>
      </c>
      <c r="DA26" s="228">
        <v>25.79</v>
      </c>
      <c r="DB26" s="228">
        <v>23.97</v>
      </c>
      <c r="DC26" s="228">
        <v>1.82</v>
      </c>
      <c r="DD26" s="228">
        <v>1.82</v>
      </c>
      <c r="DE26" s="228">
        <v>33.22</v>
      </c>
      <c r="DF26" s="228">
        <v>33.28</v>
      </c>
      <c r="DG26" s="228">
        <v>-7.43</v>
      </c>
      <c r="DH26" s="228">
        <v>-0.06</v>
      </c>
      <c r="DI26" s="228">
        <v>26.05</v>
      </c>
      <c r="DJ26" s="228">
        <v>24.09</v>
      </c>
      <c r="DK26" s="228">
        <v>1.96</v>
      </c>
      <c r="DL26" s="228">
        <v>1.96</v>
      </c>
      <c r="DM26" s="228">
        <v>24.84</v>
      </c>
      <c r="DN26" s="228">
        <v>23.76</v>
      </c>
      <c r="DO26" s="228">
        <v>1.08</v>
      </c>
      <c r="DP26" s="228">
        <v>1.08</v>
      </c>
      <c r="DQ26" s="228">
        <v>0.63</v>
      </c>
      <c r="DR26" s="228">
        <v>0.8</v>
      </c>
      <c r="DS26" s="228">
        <v>-0.17</v>
      </c>
      <c r="DT26" s="229">
        <v>-0.21249999999999999</v>
      </c>
      <c r="DU26" s="228">
        <v>320</v>
      </c>
      <c r="DV26" s="228">
        <v>300</v>
      </c>
      <c r="DW26" s="228">
        <v>0.27</v>
      </c>
      <c r="DX26" s="228">
        <v>0.53</v>
      </c>
      <c r="DY26" s="228">
        <v>-0.26</v>
      </c>
      <c r="DZ26" s="229">
        <v>-0.49059999999999998</v>
      </c>
      <c r="EA26" s="229">
        <v>2.7300000000000001E-2</v>
      </c>
      <c r="EB26" s="230">
        <v>2164500</v>
      </c>
      <c r="EC26" s="229">
        <v>5.7000000000000002E-3</v>
      </c>
      <c r="ED26" s="229">
        <v>2.7300000000000001E-2</v>
      </c>
      <c r="EE26" s="228">
        <v>1.69</v>
      </c>
      <c r="EF26" s="229">
        <v>5.4999999999999997E-3</v>
      </c>
      <c r="EG26" s="230">
        <v>4281851</v>
      </c>
      <c r="EH26" s="230">
        <v>4961483</v>
      </c>
      <c r="EI26" s="229">
        <v>-0.13700000000000001</v>
      </c>
      <c r="EJ26" s="229">
        <v>0.55079999999999996</v>
      </c>
      <c r="EK26" s="231">
        <v>3271.11</v>
      </c>
      <c r="EL26" s="228">
        <v>845.06</v>
      </c>
      <c r="EM26" s="228">
        <v>490.08</v>
      </c>
      <c r="EN26" s="228">
        <v>79.53</v>
      </c>
      <c r="EO26" s="231">
        <v>4606.25</v>
      </c>
      <c r="EP26" s="231">
        <v>3718.4</v>
      </c>
      <c r="EQ26" s="228">
        <v>887.85</v>
      </c>
      <c r="ER26" s="229">
        <v>0.23880000000000001</v>
      </c>
      <c r="ES26" s="231">
        <v>1590.72</v>
      </c>
      <c r="ET26" s="228">
        <v>939.37</v>
      </c>
      <c r="EU26" s="231">
        <v>2510.34</v>
      </c>
      <c r="EV26" s="231">
        <v>279476623</v>
      </c>
      <c r="EW26" s="231">
        <v>5040.42</v>
      </c>
      <c r="EX26" s="231">
        <v>4589.2299999999996</v>
      </c>
      <c r="EY26" s="228">
        <v>451.19</v>
      </c>
      <c r="EZ26" s="229">
        <v>9.8299999999999998E-2</v>
      </c>
      <c r="FA26" s="229">
        <v>0.58720000000000006</v>
      </c>
      <c r="FB26" s="227" t="s">
        <v>556</v>
      </c>
      <c r="FC26">
        <f t="shared" si="0"/>
        <v>69</v>
      </c>
    </row>
    <row r="27" spans="1:159" ht="17.25" thickBot="1" x14ac:dyDescent="0.3">
      <c r="A27" s="226">
        <v>46029</v>
      </c>
      <c r="B27" s="227" t="s">
        <v>172</v>
      </c>
      <c r="C27" s="227" t="s">
        <v>602</v>
      </c>
      <c r="D27" s="228">
        <v>5200</v>
      </c>
      <c r="E27" s="228">
        <v>20</v>
      </c>
      <c r="F27" s="228">
        <v>152.04</v>
      </c>
      <c r="G27" s="228">
        <v>151.41999999999999</v>
      </c>
      <c r="H27" s="228">
        <v>0.62</v>
      </c>
      <c r="I27" s="229">
        <v>4.1000000000000003E-3</v>
      </c>
      <c r="J27" s="228">
        <v>151.49</v>
      </c>
      <c r="K27" s="228">
        <v>150.66</v>
      </c>
      <c r="L27" s="228">
        <v>0.83</v>
      </c>
      <c r="M27" s="229">
        <v>5.4999999999999997E-3</v>
      </c>
      <c r="N27" s="228">
        <v>152.04</v>
      </c>
      <c r="O27" s="228">
        <v>151.41999999999999</v>
      </c>
      <c r="P27" s="228">
        <v>0.62</v>
      </c>
      <c r="Q27" s="229">
        <v>4.1000000000000003E-3</v>
      </c>
      <c r="R27" s="228">
        <v>152.85</v>
      </c>
      <c r="S27" s="228">
        <v>152.36000000000001</v>
      </c>
      <c r="T27" s="228">
        <v>0.49</v>
      </c>
      <c r="U27" s="229">
        <v>3.2000000000000002E-3</v>
      </c>
      <c r="V27" s="228">
        <v>154.08000000000001</v>
      </c>
      <c r="W27" s="228">
        <v>153.12</v>
      </c>
      <c r="X27" s="228">
        <v>0.96</v>
      </c>
      <c r="Y27" s="229">
        <v>6.3E-3</v>
      </c>
      <c r="Z27" s="228">
        <v>0.55000000000000004</v>
      </c>
      <c r="AA27" s="228">
        <v>0.76</v>
      </c>
      <c r="AB27" s="228">
        <v>-0.21</v>
      </c>
      <c r="AC27" s="229">
        <v>3.5999999999999999E-3</v>
      </c>
      <c r="AD27" s="228">
        <v>0.55000000000000004</v>
      </c>
      <c r="AE27" s="228">
        <v>0.76</v>
      </c>
      <c r="AF27" s="228">
        <v>-0.21</v>
      </c>
      <c r="AG27" s="229">
        <v>3.5999999999999999E-3</v>
      </c>
      <c r="AH27" s="228">
        <v>1.36</v>
      </c>
      <c r="AI27" s="228">
        <v>1.7</v>
      </c>
      <c r="AJ27" s="228">
        <v>-0.34</v>
      </c>
      <c r="AK27" s="229">
        <v>8.9999999999999993E-3</v>
      </c>
      <c r="AL27" s="228">
        <v>2.59</v>
      </c>
      <c r="AM27" s="228">
        <v>2.46</v>
      </c>
      <c r="AN27" s="228">
        <v>0.13</v>
      </c>
      <c r="AO27" s="229">
        <v>1.7100000000000001E-2</v>
      </c>
      <c r="AP27" s="228">
        <v>151.65</v>
      </c>
      <c r="AQ27" s="228">
        <v>152.38999999999999</v>
      </c>
      <c r="AR27" s="228">
        <v>0</v>
      </c>
      <c r="AS27" s="228">
        <v>177</v>
      </c>
      <c r="AT27" s="228">
        <v>231</v>
      </c>
      <c r="AU27" s="228">
        <v>-54</v>
      </c>
      <c r="AV27" s="229">
        <v>-0.23469999999999999</v>
      </c>
      <c r="AW27" s="228">
        <v>162</v>
      </c>
      <c r="AX27" s="228">
        <v>210</v>
      </c>
      <c r="AY27" s="228">
        <v>-48</v>
      </c>
      <c r="AZ27" s="229">
        <v>-0.22919999999999999</v>
      </c>
      <c r="BA27" s="228">
        <v>13</v>
      </c>
      <c r="BB27" s="228">
        <v>19</v>
      </c>
      <c r="BC27" s="228">
        <v>-5</v>
      </c>
      <c r="BD27" s="229">
        <v>-0.28939999999999999</v>
      </c>
      <c r="BE27" s="228">
        <v>1</v>
      </c>
      <c r="BF27" s="228">
        <v>2</v>
      </c>
      <c r="BG27" s="228">
        <v>-1</v>
      </c>
      <c r="BH27" s="229">
        <v>-0.30769999999999997</v>
      </c>
      <c r="BI27" s="228">
        <v>159</v>
      </c>
      <c r="BJ27" s="228">
        <v>452</v>
      </c>
      <c r="BK27" s="228">
        <v>-293</v>
      </c>
      <c r="BL27" s="229">
        <v>-0.64900000000000002</v>
      </c>
      <c r="BM27" s="228">
        <v>71</v>
      </c>
      <c r="BN27" s="228">
        <v>147</v>
      </c>
      <c r="BO27" s="228">
        <v>-76</v>
      </c>
      <c r="BP27" s="229">
        <v>-0.5151</v>
      </c>
      <c r="BQ27" s="228">
        <v>406</v>
      </c>
      <c r="BR27" s="228">
        <v>829</v>
      </c>
      <c r="BS27" s="228">
        <v>-423</v>
      </c>
      <c r="BT27" s="229">
        <v>-0.51</v>
      </c>
      <c r="BU27" s="230">
        <v>5240575</v>
      </c>
      <c r="BV27" s="230">
        <v>12587021</v>
      </c>
      <c r="BW27" s="230">
        <v>-7346446</v>
      </c>
      <c r="BX27" s="229">
        <v>-0.5837</v>
      </c>
      <c r="BY27" s="228">
        <v>796</v>
      </c>
      <c r="BZ27" s="228">
        <v>785</v>
      </c>
      <c r="CA27" s="228">
        <v>11</v>
      </c>
      <c r="CB27" s="229">
        <v>1.37E-2</v>
      </c>
      <c r="CC27" s="228">
        <v>773</v>
      </c>
      <c r="CD27" s="228">
        <v>764</v>
      </c>
      <c r="CE27" s="228">
        <v>9</v>
      </c>
      <c r="CF27" s="229">
        <v>1.1599999999999999E-2</v>
      </c>
      <c r="CG27" s="228">
        <v>20</v>
      </c>
      <c r="CH27" s="228">
        <v>19</v>
      </c>
      <c r="CI27" s="228">
        <v>1</v>
      </c>
      <c r="CJ27" s="229">
        <v>6.2E-2</v>
      </c>
      <c r="CK27" s="228">
        <v>3</v>
      </c>
      <c r="CL27" s="228">
        <v>3</v>
      </c>
      <c r="CM27" s="228">
        <v>1</v>
      </c>
      <c r="CN27" s="229">
        <v>0.26469999999999999</v>
      </c>
      <c r="CO27" s="228">
        <v>279</v>
      </c>
      <c r="CP27" s="228">
        <v>262</v>
      </c>
      <c r="CQ27" s="228">
        <v>17</v>
      </c>
      <c r="CR27" s="229">
        <v>6.4799999999999996E-2</v>
      </c>
      <c r="CS27" s="228">
        <v>236</v>
      </c>
      <c r="CT27" s="228">
        <v>230</v>
      </c>
      <c r="CU27" s="228">
        <v>6</v>
      </c>
      <c r="CV27" s="229">
        <v>2.8199999999999999E-2</v>
      </c>
      <c r="CW27" s="230">
        <v>1312</v>
      </c>
      <c r="CX27" s="230">
        <v>1277</v>
      </c>
      <c r="CY27" s="228">
        <v>34</v>
      </c>
      <c r="CZ27" s="229">
        <v>2.6800000000000001E-2</v>
      </c>
      <c r="DA27" s="228">
        <v>30.1</v>
      </c>
      <c r="DB27" s="228">
        <v>29.74</v>
      </c>
      <c r="DC27" s="228">
        <v>0.36</v>
      </c>
      <c r="DD27" s="228">
        <v>0.36</v>
      </c>
      <c r="DE27" s="228">
        <v>37.659999999999997</v>
      </c>
      <c r="DF27" s="228">
        <v>37.75</v>
      </c>
      <c r="DG27" s="228">
        <v>-7.56</v>
      </c>
      <c r="DH27" s="228">
        <v>-0.09</v>
      </c>
      <c r="DI27" s="228">
        <v>30.12</v>
      </c>
      <c r="DJ27" s="228">
        <v>29.66</v>
      </c>
      <c r="DK27" s="228">
        <v>0.46</v>
      </c>
      <c r="DL27" s="228">
        <v>0.46</v>
      </c>
      <c r="DM27" s="228">
        <v>30.06</v>
      </c>
      <c r="DN27" s="228">
        <v>29.99</v>
      </c>
      <c r="DO27" s="228">
        <v>7.0000000000000007E-2</v>
      </c>
      <c r="DP27" s="228">
        <v>7.0000000000000007E-2</v>
      </c>
      <c r="DQ27" s="228">
        <v>0.85</v>
      </c>
      <c r="DR27" s="228">
        <v>0.88</v>
      </c>
      <c r="DS27" s="228">
        <v>-0.03</v>
      </c>
      <c r="DT27" s="229">
        <v>-3.4099999999999998E-2</v>
      </c>
      <c r="DU27" s="228">
        <v>155</v>
      </c>
      <c r="DV27" s="228">
        <v>140</v>
      </c>
      <c r="DW27" s="228">
        <v>0.45</v>
      </c>
      <c r="DX27" s="228">
        <v>0.32</v>
      </c>
      <c r="DY27" s="228">
        <v>0.13</v>
      </c>
      <c r="DZ27" s="229">
        <v>0.40629999999999999</v>
      </c>
      <c r="EA27" s="229">
        <v>2.98E-2</v>
      </c>
      <c r="EB27" s="230">
        <v>1435200</v>
      </c>
      <c r="EC27" s="229">
        <v>5.3E-3</v>
      </c>
      <c r="ED27" s="229">
        <v>2.98E-2</v>
      </c>
      <c r="EE27" s="228">
        <v>0.74</v>
      </c>
      <c r="EF27" s="229">
        <v>4.8999999999999998E-3</v>
      </c>
      <c r="EG27" s="230">
        <v>2387266</v>
      </c>
      <c r="EH27" s="230">
        <v>4878720</v>
      </c>
      <c r="EI27" s="229">
        <v>-0.51070000000000004</v>
      </c>
      <c r="EJ27" s="229">
        <v>0.45550000000000002</v>
      </c>
      <c r="EK27" s="228">
        <v>165.34</v>
      </c>
      <c r="EL27" s="228">
        <v>69.5</v>
      </c>
      <c r="EM27" s="228">
        <v>176.17</v>
      </c>
      <c r="EN27" s="228">
        <v>29.69</v>
      </c>
      <c r="EO27" s="228">
        <v>411.01</v>
      </c>
      <c r="EP27" s="228">
        <v>843.69</v>
      </c>
      <c r="EQ27" s="228">
        <v>-432.68</v>
      </c>
      <c r="ER27" s="229">
        <v>-0.51280000000000003</v>
      </c>
      <c r="ES27" s="228">
        <v>281.58</v>
      </c>
      <c r="ET27" s="228">
        <v>219.47</v>
      </c>
      <c r="EU27" s="228">
        <v>796.38</v>
      </c>
      <c r="EV27" s="231">
        <v>181770921</v>
      </c>
      <c r="EW27" s="231">
        <v>1297.43</v>
      </c>
      <c r="EX27" s="231">
        <v>1259.28</v>
      </c>
      <c r="EY27" s="228">
        <v>38.15</v>
      </c>
      <c r="EZ27" s="229">
        <v>3.0300000000000001E-2</v>
      </c>
      <c r="FA27" s="229">
        <v>0.47460000000000002</v>
      </c>
      <c r="FB27" s="227" t="s">
        <v>555</v>
      </c>
      <c r="FC27">
        <f t="shared" si="0"/>
        <v>23</v>
      </c>
    </row>
    <row r="28" spans="1:159" ht="17.25" thickBot="1" x14ac:dyDescent="0.3">
      <c r="A28" s="226">
        <v>46029</v>
      </c>
      <c r="B28" s="227" t="s">
        <v>181</v>
      </c>
      <c r="C28" s="227" t="s">
        <v>182</v>
      </c>
      <c r="D28" s="228">
        <v>30</v>
      </c>
      <c r="E28" s="228">
        <v>20</v>
      </c>
      <c r="F28" s="231">
        <v>60171.199999999997</v>
      </c>
      <c r="G28" s="231">
        <v>60312.800000000003</v>
      </c>
      <c r="H28" s="228">
        <v>-141.6</v>
      </c>
      <c r="I28" s="229">
        <v>-2.3E-3</v>
      </c>
      <c r="J28" s="231">
        <v>59990.85</v>
      </c>
      <c r="K28" s="231">
        <v>60118.400000000001</v>
      </c>
      <c r="L28" s="228">
        <v>-127.55</v>
      </c>
      <c r="M28" s="229">
        <v>-2.0999999999999999E-3</v>
      </c>
      <c r="N28" s="231">
        <v>60171.199999999997</v>
      </c>
      <c r="O28" s="231">
        <v>60312.800000000003</v>
      </c>
      <c r="P28" s="228">
        <v>-141.6</v>
      </c>
      <c r="Q28" s="229">
        <v>-2.3E-3</v>
      </c>
      <c r="R28" s="231">
        <v>60514.6</v>
      </c>
      <c r="S28" s="231">
        <v>60636.6</v>
      </c>
      <c r="T28" s="228">
        <v>-122</v>
      </c>
      <c r="U28" s="229">
        <v>-2E-3</v>
      </c>
      <c r="V28" s="231">
        <v>60901</v>
      </c>
      <c r="W28" s="231">
        <v>61024.800000000003</v>
      </c>
      <c r="X28" s="228">
        <v>-123.8</v>
      </c>
      <c r="Y28" s="229">
        <v>-2E-3</v>
      </c>
      <c r="Z28" s="228">
        <v>180.35</v>
      </c>
      <c r="AA28" s="228">
        <v>194.4</v>
      </c>
      <c r="AB28" s="228">
        <v>-14.05</v>
      </c>
      <c r="AC28" s="229">
        <v>3.0000000000000001E-3</v>
      </c>
      <c r="AD28" s="228">
        <v>180.35</v>
      </c>
      <c r="AE28" s="228">
        <v>194.4</v>
      </c>
      <c r="AF28" s="228">
        <v>-14.05</v>
      </c>
      <c r="AG28" s="229">
        <v>3.0000000000000001E-3</v>
      </c>
      <c r="AH28" s="228">
        <v>523.75</v>
      </c>
      <c r="AI28" s="228">
        <v>518.20000000000005</v>
      </c>
      <c r="AJ28" s="228">
        <v>5.55</v>
      </c>
      <c r="AK28" s="229">
        <v>8.6999999999999994E-3</v>
      </c>
      <c r="AL28" s="228">
        <v>910.15</v>
      </c>
      <c r="AM28" s="228">
        <v>906.4</v>
      </c>
      <c r="AN28" s="228">
        <v>3.75</v>
      </c>
      <c r="AO28" s="229">
        <v>1.52E-2</v>
      </c>
      <c r="AP28" s="231">
        <v>60120.94</v>
      </c>
      <c r="AQ28" s="231">
        <v>60465.58</v>
      </c>
      <c r="AR28" s="228">
        <v>0</v>
      </c>
      <c r="AS28" s="230">
        <v>4567</v>
      </c>
      <c r="AT28" s="230">
        <v>3433</v>
      </c>
      <c r="AU28" s="230">
        <v>1134</v>
      </c>
      <c r="AV28" s="229">
        <v>0.33019999999999999</v>
      </c>
      <c r="AW28" s="230">
        <v>4243</v>
      </c>
      <c r="AX28" s="230">
        <v>3176</v>
      </c>
      <c r="AY28" s="230">
        <v>1067</v>
      </c>
      <c r="AZ28" s="229">
        <v>0.33589999999999998</v>
      </c>
      <c r="BA28" s="228">
        <v>250</v>
      </c>
      <c r="BB28" s="228">
        <v>210</v>
      </c>
      <c r="BC28" s="228">
        <v>40</v>
      </c>
      <c r="BD28" s="229">
        <v>0.188</v>
      </c>
      <c r="BE28" s="228">
        <v>75</v>
      </c>
      <c r="BF28" s="228">
        <v>47</v>
      </c>
      <c r="BG28" s="228">
        <v>27</v>
      </c>
      <c r="BH28" s="229">
        <v>0.57630000000000003</v>
      </c>
      <c r="BI28" s="230">
        <v>176097</v>
      </c>
      <c r="BJ28" s="230">
        <v>172428</v>
      </c>
      <c r="BK28" s="230">
        <v>3669</v>
      </c>
      <c r="BL28" s="229">
        <v>2.1299999999999999E-2</v>
      </c>
      <c r="BM28" s="230">
        <v>180416</v>
      </c>
      <c r="BN28" s="230">
        <v>169146</v>
      </c>
      <c r="BO28" s="230">
        <v>11270</v>
      </c>
      <c r="BP28" s="229">
        <v>6.6600000000000006E-2</v>
      </c>
      <c r="BQ28" s="230">
        <v>361080</v>
      </c>
      <c r="BR28" s="230">
        <v>345007</v>
      </c>
      <c r="BS28" s="230">
        <v>16073</v>
      </c>
      <c r="BT28" s="229">
        <v>4.6600000000000003E-2</v>
      </c>
      <c r="BU28" s="228">
        <v>0</v>
      </c>
      <c r="BV28" s="228">
        <v>0</v>
      </c>
      <c r="BW28" s="228">
        <v>0</v>
      </c>
      <c r="BX28" s="229">
        <v>0</v>
      </c>
      <c r="BY28" s="230">
        <v>8461</v>
      </c>
      <c r="BZ28" s="230">
        <v>9430</v>
      </c>
      <c r="CA28" s="228">
        <v>-969</v>
      </c>
      <c r="CB28" s="229">
        <v>-0.1028</v>
      </c>
      <c r="CC28" s="230">
        <v>7696</v>
      </c>
      <c r="CD28" s="230">
        <v>8646</v>
      </c>
      <c r="CE28" s="228">
        <v>-951</v>
      </c>
      <c r="CF28" s="229">
        <v>-0.1099</v>
      </c>
      <c r="CG28" s="228">
        <v>625</v>
      </c>
      <c r="CH28" s="228">
        <v>651</v>
      </c>
      <c r="CI28" s="228">
        <v>-26</v>
      </c>
      <c r="CJ28" s="229">
        <v>-3.9399999999999998E-2</v>
      </c>
      <c r="CK28" s="228">
        <v>140</v>
      </c>
      <c r="CL28" s="228">
        <v>133</v>
      </c>
      <c r="CM28" s="228">
        <v>7</v>
      </c>
      <c r="CN28" s="229">
        <v>5.3100000000000001E-2</v>
      </c>
      <c r="CO28" s="230">
        <v>78035</v>
      </c>
      <c r="CP28" s="230">
        <v>74786</v>
      </c>
      <c r="CQ28" s="230">
        <v>3249</v>
      </c>
      <c r="CR28" s="229">
        <v>4.3400000000000001E-2</v>
      </c>
      <c r="CS28" s="230">
        <v>85403</v>
      </c>
      <c r="CT28" s="230">
        <v>86028</v>
      </c>
      <c r="CU28" s="228">
        <v>-626</v>
      </c>
      <c r="CV28" s="229">
        <v>-7.3000000000000001E-3</v>
      </c>
      <c r="CW28" s="230">
        <v>171899</v>
      </c>
      <c r="CX28" s="230">
        <v>170245</v>
      </c>
      <c r="CY28" s="230">
        <v>1654</v>
      </c>
      <c r="CZ28" s="229">
        <v>9.7000000000000003E-3</v>
      </c>
      <c r="DA28" s="228">
        <v>10.18</v>
      </c>
      <c r="DB28" s="228">
        <v>10.55</v>
      </c>
      <c r="DC28" s="228">
        <v>-0.37</v>
      </c>
      <c r="DD28" s="228">
        <v>-0.37</v>
      </c>
      <c r="DE28" s="228">
        <v>15.56</v>
      </c>
      <c r="DF28" s="228">
        <v>15.6</v>
      </c>
      <c r="DG28" s="228">
        <v>-5.38</v>
      </c>
      <c r="DH28" s="228">
        <v>-0.04</v>
      </c>
      <c r="DI28" s="228">
        <v>9.8699999999999992</v>
      </c>
      <c r="DJ28" s="228">
        <v>10.16</v>
      </c>
      <c r="DK28" s="228">
        <v>-0.28999999999999998</v>
      </c>
      <c r="DL28" s="228">
        <v>-0.28999999999999998</v>
      </c>
      <c r="DM28" s="228">
        <v>10.48</v>
      </c>
      <c r="DN28" s="228">
        <v>10.96</v>
      </c>
      <c r="DO28" s="228">
        <v>-0.48</v>
      </c>
      <c r="DP28" s="228">
        <v>-0.48</v>
      </c>
      <c r="DQ28" s="228">
        <v>1.0900000000000001</v>
      </c>
      <c r="DR28" s="228">
        <v>1.1499999999999999</v>
      </c>
      <c r="DS28" s="228">
        <v>-0.06</v>
      </c>
      <c r="DT28" s="229">
        <v>-5.2200000000000003E-2</v>
      </c>
      <c r="DU28" s="231">
        <v>59500</v>
      </c>
      <c r="DV28" s="231">
        <v>59500</v>
      </c>
      <c r="DW28" s="228">
        <v>1.02</v>
      </c>
      <c r="DX28" s="228">
        <v>0.98</v>
      </c>
      <c r="DY28" s="228">
        <v>0.04</v>
      </c>
      <c r="DZ28" s="229">
        <v>4.0800000000000003E-2</v>
      </c>
      <c r="EA28" s="229">
        <v>9.0399999999999994E-2</v>
      </c>
      <c r="EB28" s="230">
        <v>130260</v>
      </c>
      <c r="EC28" s="229">
        <v>5.7000000000000002E-3</v>
      </c>
      <c r="ED28" s="229">
        <v>9.0399999999999994E-2</v>
      </c>
      <c r="EE28" s="228">
        <v>344.64</v>
      </c>
      <c r="EF28" s="229">
        <v>5.7000000000000002E-3</v>
      </c>
      <c r="EG28" s="228">
        <v>0</v>
      </c>
      <c r="EH28" s="228">
        <v>0</v>
      </c>
      <c r="EI28" s="229">
        <v>0</v>
      </c>
      <c r="EJ28" s="229">
        <v>0</v>
      </c>
      <c r="EK28" s="231">
        <v>179299.86</v>
      </c>
      <c r="EL28" s="231">
        <v>178763.12</v>
      </c>
      <c r="EM28" s="231">
        <v>4565.5</v>
      </c>
      <c r="EN28" s="228">
        <v>0</v>
      </c>
      <c r="EO28" s="231">
        <v>362628.48</v>
      </c>
      <c r="EP28" s="231">
        <v>347644.32</v>
      </c>
      <c r="EQ28" s="231">
        <v>14984.17</v>
      </c>
      <c r="ER28" s="229">
        <v>4.3099999999999999E-2</v>
      </c>
      <c r="ES28" s="231">
        <v>79047.19</v>
      </c>
      <c r="ET28" s="231">
        <v>82974.55</v>
      </c>
      <c r="EU28" s="231">
        <v>8466.1200000000008</v>
      </c>
      <c r="EV28" s="228">
        <v>0</v>
      </c>
      <c r="EW28" s="231">
        <v>170487.85</v>
      </c>
      <c r="EX28" s="231">
        <v>168876.16</v>
      </c>
      <c r="EY28" s="231">
        <v>1611.69</v>
      </c>
      <c r="EZ28" s="229">
        <v>9.4999999999999998E-3</v>
      </c>
      <c r="FA28" s="229">
        <v>0</v>
      </c>
      <c r="FB28" s="227" t="s">
        <v>568</v>
      </c>
      <c r="FC28">
        <f t="shared" si="0"/>
        <v>765</v>
      </c>
    </row>
    <row r="29" spans="1:159" s="195" customFormat="1" ht="17.25" thickBot="1" x14ac:dyDescent="0.3">
      <c r="A29" s="226">
        <v>46029</v>
      </c>
      <c r="B29" s="227" t="s">
        <v>184</v>
      </c>
      <c r="C29" s="227" t="s">
        <v>671</v>
      </c>
      <c r="D29" s="228">
        <v>350</v>
      </c>
      <c r="E29" s="228">
        <v>20</v>
      </c>
      <c r="F29" s="231">
        <v>1542.6</v>
      </c>
      <c r="G29" s="231">
        <v>1549.8</v>
      </c>
      <c r="H29" s="228">
        <v>-7.2</v>
      </c>
      <c r="I29" s="229">
        <v>-4.5999999999999999E-3</v>
      </c>
      <c r="J29" s="231">
        <v>1539.5</v>
      </c>
      <c r="K29" s="231">
        <v>1542.5</v>
      </c>
      <c r="L29" s="228">
        <v>-3</v>
      </c>
      <c r="M29" s="229">
        <v>-1.9E-3</v>
      </c>
      <c r="N29" s="231">
        <v>1542.6</v>
      </c>
      <c r="O29" s="231">
        <v>1549.8</v>
      </c>
      <c r="P29" s="228">
        <v>-7.2</v>
      </c>
      <c r="Q29" s="229">
        <v>-4.5999999999999999E-3</v>
      </c>
      <c r="R29" s="231">
        <v>1547.2</v>
      </c>
      <c r="S29" s="231">
        <v>1553.7</v>
      </c>
      <c r="T29" s="228">
        <v>-6.5</v>
      </c>
      <c r="U29" s="229">
        <v>-4.1999999999999997E-3</v>
      </c>
      <c r="V29" s="231">
        <v>1554.6</v>
      </c>
      <c r="W29" s="231">
        <v>1562.6</v>
      </c>
      <c r="X29" s="228">
        <v>-8</v>
      </c>
      <c r="Y29" s="229">
        <v>-5.1000000000000004E-3</v>
      </c>
      <c r="Z29" s="228">
        <v>3.1</v>
      </c>
      <c r="AA29" s="228">
        <v>7.3</v>
      </c>
      <c r="AB29" s="228">
        <v>-4.2</v>
      </c>
      <c r="AC29" s="229">
        <v>2E-3</v>
      </c>
      <c r="AD29" s="228">
        <v>3.1</v>
      </c>
      <c r="AE29" s="228">
        <v>7.3</v>
      </c>
      <c r="AF29" s="228">
        <v>-4.2</v>
      </c>
      <c r="AG29" s="229">
        <v>2E-3</v>
      </c>
      <c r="AH29" s="228">
        <v>7.7</v>
      </c>
      <c r="AI29" s="228">
        <v>11.2</v>
      </c>
      <c r="AJ29" s="228">
        <v>-3.5</v>
      </c>
      <c r="AK29" s="229">
        <v>5.0000000000000001E-3</v>
      </c>
      <c r="AL29" s="228">
        <v>15.1</v>
      </c>
      <c r="AM29" s="228">
        <v>20.100000000000001</v>
      </c>
      <c r="AN29" s="228">
        <v>-5</v>
      </c>
      <c r="AO29" s="229">
        <v>9.7999999999999997E-3</v>
      </c>
      <c r="AP29" s="231">
        <v>1546.04</v>
      </c>
      <c r="AQ29" s="231">
        <v>1552.36</v>
      </c>
      <c r="AR29" s="228">
        <v>0</v>
      </c>
      <c r="AS29" s="228">
        <v>507</v>
      </c>
      <c r="AT29" s="230">
        <v>1584</v>
      </c>
      <c r="AU29" s="230">
        <v>-1077</v>
      </c>
      <c r="AV29" s="229">
        <v>-0.67969999999999997</v>
      </c>
      <c r="AW29" s="228">
        <v>395</v>
      </c>
      <c r="AX29" s="230">
        <v>1243</v>
      </c>
      <c r="AY29" s="228">
        <v>-848</v>
      </c>
      <c r="AZ29" s="229">
        <v>-0.68200000000000005</v>
      </c>
      <c r="BA29" s="228">
        <v>109</v>
      </c>
      <c r="BB29" s="228">
        <v>333</v>
      </c>
      <c r="BC29" s="228">
        <v>-224</v>
      </c>
      <c r="BD29" s="229">
        <v>-0.67179999999999995</v>
      </c>
      <c r="BE29" s="228">
        <v>3</v>
      </c>
      <c r="BF29" s="228">
        <v>8</v>
      </c>
      <c r="BG29" s="228">
        <v>-5</v>
      </c>
      <c r="BH29" s="229">
        <v>-0.65280000000000005</v>
      </c>
      <c r="BI29" s="230">
        <v>1484</v>
      </c>
      <c r="BJ29" s="230">
        <v>4554</v>
      </c>
      <c r="BK29" s="230">
        <v>-3070</v>
      </c>
      <c r="BL29" s="229">
        <v>-0.67400000000000004</v>
      </c>
      <c r="BM29" s="228">
        <v>721</v>
      </c>
      <c r="BN29" s="230">
        <v>2460</v>
      </c>
      <c r="BO29" s="230">
        <v>-1739</v>
      </c>
      <c r="BP29" s="229">
        <v>-0.70679999999999998</v>
      </c>
      <c r="BQ29" s="230">
        <v>2713</v>
      </c>
      <c r="BR29" s="230">
        <v>8598</v>
      </c>
      <c r="BS29" s="230">
        <v>-5885</v>
      </c>
      <c r="BT29" s="229">
        <v>-0.6845</v>
      </c>
      <c r="BU29" s="230">
        <v>2108731</v>
      </c>
      <c r="BV29" s="230">
        <v>4919208</v>
      </c>
      <c r="BW29" s="230">
        <v>-2810477</v>
      </c>
      <c r="BX29" s="229">
        <v>-0.57130000000000003</v>
      </c>
      <c r="BY29" s="228">
        <v>785</v>
      </c>
      <c r="BZ29" s="228">
        <v>811</v>
      </c>
      <c r="CA29" s="228">
        <v>-26</v>
      </c>
      <c r="CB29" s="229">
        <v>-3.2399999999999998E-2</v>
      </c>
      <c r="CC29" s="228">
        <v>700</v>
      </c>
      <c r="CD29" s="228">
        <v>729</v>
      </c>
      <c r="CE29" s="228">
        <v>-29</v>
      </c>
      <c r="CF29" s="229">
        <v>-3.9100000000000003E-2</v>
      </c>
      <c r="CG29" s="228">
        <v>76</v>
      </c>
      <c r="CH29" s="228">
        <v>75</v>
      </c>
      <c r="CI29" s="228">
        <v>1</v>
      </c>
      <c r="CJ29" s="229">
        <v>1.5900000000000001E-2</v>
      </c>
      <c r="CK29" s="228">
        <v>9</v>
      </c>
      <c r="CL29" s="228">
        <v>8</v>
      </c>
      <c r="CM29" s="228">
        <v>1</v>
      </c>
      <c r="CN29" s="229">
        <v>0.13289999999999999</v>
      </c>
      <c r="CO29" s="228">
        <v>565</v>
      </c>
      <c r="CP29" s="228">
        <v>528</v>
      </c>
      <c r="CQ29" s="228">
        <v>38</v>
      </c>
      <c r="CR29" s="229">
        <v>7.1199999999999999E-2</v>
      </c>
      <c r="CS29" s="228">
        <v>427</v>
      </c>
      <c r="CT29" s="228">
        <v>437</v>
      </c>
      <c r="CU29" s="228">
        <v>-10</v>
      </c>
      <c r="CV29" s="229">
        <v>-2.2599999999999999E-2</v>
      </c>
      <c r="CW29" s="230">
        <v>1777</v>
      </c>
      <c r="CX29" s="230">
        <v>1776</v>
      </c>
      <c r="CY29" s="228">
        <v>1</v>
      </c>
      <c r="CZ29" s="229">
        <v>8.0000000000000004E-4</v>
      </c>
      <c r="DA29" s="228">
        <v>33.9</v>
      </c>
      <c r="DB29" s="228">
        <v>33.01</v>
      </c>
      <c r="DC29" s="228">
        <v>0.89</v>
      </c>
      <c r="DD29" s="228">
        <v>0.89</v>
      </c>
      <c r="DE29" s="228">
        <v>50.43</v>
      </c>
      <c r="DF29" s="228">
        <v>50.55</v>
      </c>
      <c r="DG29" s="228">
        <v>-16.53</v>
      </c>
      <c r="DH29" s="228">
        <v>-0.12</v>
      </c>
      <c r="DI29" s="228">
        <v>34.04</v>
      </c>
      <c r="DJ29" s="228">
        <v>33.19</v>
      </c>
      <c r="DK29" s="228">
        <v>0.85</v>
      </c>
      <c r="DL29" s="228">
        <v>0.85</v>
      </c>
      <c r="DM29" s="228">
        <v>33.6</v>
      </c>
      <c r="DN29" s="228">
        <v>32.68</v>
      </c>
      <c r="DO29" s="228">
        <v>0.92</v>
      </c>
      <c r="DP29" s="228">
        <v>0.92</v>
      </c>
      <c r="DQ29" s="228">
        <v>0.76</v>
      </c>
      <c r="DR29" s="228">
        <v>0.83</v>
      </c>
      <c r="DS29" s="228">
        <v>-7.0000000000000007E-2</v>
      </c>
      <c r="DT29" s="229">
        <v>-8.43E-2</v>
      </c>
      <c r="DU29" s="231">
        <v>1600</v>
      </c>
      <c r="DV29" s="231">
        <v>1400</v>
      </c>
      <c r="DW29" s="228">
        <v>0.49</v>
      </c>
      <c r="DX29" s="228">
        <v>0.54</v>
      </c>
      <c r="DY29" s="228">
        <v>-0.05</v>
      </c>
      <c r="DZ29" s="229">
        <v>-9.2600000000000002E-2</v>
      </c>
      <c r="EA29" s="229">
        <v>0.1077</v>
      </c>
      <c r="EB29" s="230">
        <v>533750</v>
      </c>
      <c r="EC29" s="229">
        <v>3.0000000000000001E-3</v>
      </c>
      <c r="ED29" s="229">
        <v>0.1077</v>
      </c>
      <c r="EE29" s="228">
        <v>6.32</v>
      </c>
      <c r="EF29" s="229">
        <v>4.1000000000000003E-3</v>
      </c>
      <c r="EG29" s="230">
        <v>338259</v>
      </c>
      <c r="EH29" s="230">
        <v>488443</v>
      </c>
      <c r="EI29" s="229">
        <v>-0.3075</v>
      </c>
      <c r="EJ29" s="229">
        <v>0.16039999999999999</v>
      </c>
      <c r="EK29" s="231">
        <v>1551.58</v>
      </c>
      <c r="EL29" s="228">
        <v>723.53</v>
      </c>
      <c r="EM29" s="228">
        <v>509</v>
      </c>
      <c r="EN29" s="228">
        <v>96.7</v>
      </c>
      <c r="EO29" s="231">
        <v>2784.11</v>
      </c>
      <c r="EP29" s="231">
        <v>8887.68</v>
      </c>
      <c r="EQ29" s="231">
        <v>-6103.57</v>
      </c>
      <c r="ER29" s="229">
        <v>-0.68669999999999998</v>
      </c>
      <c r="ES29" s="228">
        <v>579.53</v>
      </c>
      <c r="ET29" s="228">
        <v>399.45</v>
      </c>
      <c r="EU29" s="228">
        <v>785.16</v>
      </c>
      <c r="EV29" s="231">
        <v>13786716</v>
      </c>
      <c r="EW29" s="231">
        <v>1764.14</v>
      </c>
      <c r="EX29" s="231">
        <v>1763.69</v>
      </c>
      <c r="EY29" s="228">
        <v>0.45</v>
      </c>
      <c r="EZ29" s="229">
        <v>2.9999999999999997E-4</v>
      </c>
      <c r="FA29" s="229">
        <v>0.8357</v>
      </c>
      <c r="FB29" s="227" t="s">
        <v>568</v>
      </c>
      <c r="FC29" s="195">
        <f t="shared" si="0"/>
        <v>85</v>
      </c>
    </row>
    <row r="30" spans="1:159" ht="17.25" thickBot="1" x14ac:dyDescent="0.3">
      <c r="A30" s="226">
        <v>46029</v>
      </c>
      <c r="B30" s="227" t="s">
        <v>184</v>
      </c>
      <c r="C30" s="227" t="s">
        <v>185</v>
      </c>
      <c r="D30" s="228">
        <v>1425</v>
      </c>
      <c r="E30" s="228">
        <v>20</v>
      </c>
      <c r="F30" s="228">
        <v>417.7</v>
      </c>
      <c r="G30" s="228">
        <v>414.45</v>
      </c>
      <c r="H30" s="228">
        <v>3.25</v>
      </c>
      <c r="I30" s="229">
        <v>7.7999999999999996E-3</v>
      </c>
      <c r="J30" s="228">
        <v>415.65</v>
      </c>
      <c r="K30" s="228">
        <v>413.1</v>
      </c>
      <c r="L30" s="228">
        <v>2.5499999999999998</v>
      </c>
      <c r="M30" s="229">
        <v>6.1999999999999998E-3</v>
      </c>
      <c r="N30" s="228">
        <v>417.7</v>
      </c>
      <c r="O30" s="228">
        <v>414.45</v>
      </c>
      <c r="P30" s="228">
        <v>3.25</v>
      </c>
      <c r="Q30" s="229">
        <v>7.7999999999999996E-3</v>
      </c>
      <c r="R30" s="228">
        <v>419.6</v>
      </c>
      <c r="S30" s="228">
        <v>416.4</v>
      </c>
      <c r="T30" s="228">
        <v>3.2</v>
      </c>
      <c r="U30" s="229">
        <v>7.7000000000000002E-3</v>
      </c>
      <c r="V30" s="228">
        <v>421.2</v>
      </c>
      <c r="W30" s="228">
        <v>418.05</v>
      </c>
      <c r="X30" s="228">
        <v>3.15</v>
      </c>
      <c r="Y30" s="229">
        <v>7.4999999999999997E-3</v>
      </c>
      <c r="Z30" s="228">
        <v>2.0499999999999998</v>
      </c>
      <c r="AA30" s="228">
        <v>1.35</v>
      </c>
      <c r="AB30" s="228">
        <v>0.7</v>
      </c>
      <c r="AC30" s="229">
        <v>4.8999999999999998E-3</v>
      </c>
      <c r="AD30" s="228">
        <v>2.0499999999999998</v>
      </c>
      <c r="AE30" s="228">
        <v>1.35</v>
      </c>
      <c r="AF30" s="228">
        <v>0.7</v>
      </c>
      <c r="AG30" s="229">
        <v>4.8999999999999998E-3</v>
      </c>
      <c r="AH30" s="228">
        <v>3.95</v>
      </c>
      <c r="AI30" s="228">
        <v>3.3</v>
      </c>
      <c r="AJ30" s="228">
        <v>0.65</v>
      </c>
      <c r="AK30" s="229">
        <v>9.4999999999999998E-3</v>
      </c>
      <c r="AL30" s="228">
        <v>5.55</v>
      </c>
      <c r="AM30" s="228">
        <v>4.95</v>
      </c>
      <c r="AN30" s="228">
        <v>0.6</v>
      </c>
      <c r="AO30" s="229">
        <v>1.34E-2</v>
      </c>
      <c r="AP30" s="228">
        <v>415.52</v>
      </c>
      <c r="AQ30" s="228">
        <v>417.48</v>
      </c>
      <c r="AR30" s="228">
        <v>0</v>
      </c>
      <c r="AS30" s="228">
        <v>444</v>
      </c>
      <c r="AT30" s="228">
        <v>455</v>
      </c>
      <c r="AU30" s="228">
        <v>-11</v>
      </c>
      <c r="AV30" s="229">
        <v>-2.3699999999999999E-2</v>
      </c>
      <c r="AW30" s="228">
        <v>391</v>
      </c>
      <c r="AX30" s="228">
        <v>385</v>
      </c>
      <c r="AY30" s="228">
        <v>6</v>
      </c>
      <c r="AZ30" s="229">
        <v>1.4800000000000001E-2</v>
      </c>
      <c r="BA30" s="228">
        <v>44</v>
      </c>
      <c r="BB30" s="228">
        <v>60</v>
      </c>
      <c r="BC30" s="228">
        <v>-16</v>
      </c>
      <c r="BD30" s="229">
        <v>-0.26119999999999999</v>
      </c>
      <c r="BE30" s="228">
        <v>9</v>
      </c>
      <c r="BF30" s="228">
        <v>10</v>
      </c>
      <c r="BG30" s="228">
        <v>-1</v>
      </c>
      <c r="BH30" s="229">
        <v>-8.2799999999999999E-2</v>
      </c>
      <c r="BI30" s="230">
        <v>2271</v>
      </c>
      <c r="BJ30" s="230">
        <v>2084</v>
      </c>
      <c r="BK30" s="228">
        <v>187</v>
      </c>
      <c r="BL30" s="229">
        <v>8.9700000000000002E-2</v>
      </c>
      <c r="BM30" s="230">
        <v>1168</v>
      </c>
      <c r="BN30" s="230">
        <v>1255</v>
      </c>
      <c r="BO30" s="228">
        <v>-88</v>
      </c>
      <c r="BP30" s="229">
        <v>-6.9800000000000001E-2</v>
      </c>
      <c r="BQ30" s="230">
        <v>3883</v>
      </c>
      <c r="BR30" s="230">
        <v>3794</v>
      </c>
      <c r="BS30" s="228">
        <v>88</v>
      </c>
      <c r="BT30" s="229">
        <v>2.3300000000000001E-2</v>
      </c>
      <c r="BU30" s="230">
        <v>8614939</v>
      </c>
      <c r="BV30" s="230">
        <v>10675471</v>
      </c>
      <c r="BW30" s="230">
        <v>-2060532</v>
      </c>
      <c r="BX30" s="229">
        <v>-0.193</v>
      </c>
      <c r="BY30" s="230">
        <v>5029</v>
      </c>
      <c r="BZ30" s="230">
        <v>5022</v>
      </c>
      <c r="CA30" s="228">
        <v>8</v>
      </c>
      <c r="CB30" s="229">
        <v>1.5E-3</v>
      </c>
      <c r="CC30" s="230">
        <v>4782</v>
      </c>
      <c r="CD30" s="230">
        <v>4777</v>
      </c>
      <c r="CE30" s="228">
        <v>4</v>
      </c>
      <c r="CF30" s="229">
        <v>8.9999999999999998E-4</v>
      </c>
      <c r="CG30" s="228">
        <v>217</v>
      </c>
      <c r="CH30" s="228">
        <v>214</v>
      </c>
      <c r="CI30" s="228">
        <v>3</v>
      </c>
      <c r="CJ30" s="229">
        <v>1.2500000000000001E-2</v>
      </c>
      <c r="CK30" s="228">
        <v>31</v>
      </c>
      <c r="CL30" s="228">
        <v>30</v>
      </c>
      <c r="CM30" s="228">
        <v>1</v>
      </c>
      <c r="CN30" s="229">
        <v>2.1600000000000001E-2</v>
      </c>
      <c r="CO30" s="230">
        <v>2048</v>
      </c>
      <c r="CP30" s="230">
        <v>2004</v>
      </c>
      <c r="CQ30" s="228">
        <v>45</v>
      </c>
      <c r="CR30" s="229">
        <v>2.2200000000000001E-2</v>
      </c>
      <c r="CS30" s="230">
        <v>1366</v>
      </c>
      <c r="CT30" s="230">
        <v>1351</v>
      </c>
      <c r="CU30" s="228">
        <v>14</v>
      </c>
      <c r="CV30" s="229">
        <v>1.0699999999999999E-2</v>
      </c>
      <c r="CW30" s="230">
        <v>8443</v>
      </c>
      <c r="CX30" s="230">
        <v>8377</v>
      </c>
      <c r="CY30" s="228">
        <v>67</v>
      </c>
      <c r="CZ30" s="229">
        <v>8.0000000000000002E-3</v>
      </c>
      <c r="DA30" s="228">
        <v>23.23</v>
      </c>
      <c r="DB30" s="228">
        <v>23.88</v>
      </c>
      <c r="DC30" s="228">
        <v>-0.65</v>
      </c>
      <c r="DD30" s="228">
        <v>-0.65</v>
      </c>
      <c r="DE30" s="228">
        <v>35.479999999999997</v>
      </c>
      <c r="DF30" s="228">
        <v>35.56</v>
      </c>
      <c r="DG30" s="228">
        <v>-12.25</v>
      </c>
      <c r="DH30" s="228">
        <v>-0.08</v>
      </c>
      <c r="DI30" s="228">
        <v>23.13</v>
      </c>
      <c r="DJ30" s="228">
        <v>23.79</v>
      </c>
      <c r="DK30" s="228">
        <v>-0.66</v>
      </c>
      <c r="DL30" s="228">
        <v>-0.66</v>
      </c>
      <c r="DM30" s="228">
        <v>23.42</v>
      </c>
      <c r="DN30" s="228">
        <v>24.04</v>
      </c>
      <c r="DO30" s="228">
        <v>-0.62</v>
      </c>
      <c r="DP30" s="228">
        <v>-0.62</v>
      </c>
      <c r="DQ30" s="228">
        <v>0.67</v>
      </c>
      <c r="DR30" s="228">
        <v>0.67</v>
      </c>
      <c r="DS30" s="228">
        <v>0</v>
      </c>
      <c r="DT30" s="229">
        <v>0</v>
      </c>
      <c r="DU30" s="228">
        <v>420</v>
      </c>
      <c r="DV30" s="228">
        <v>400</v>
      </c>
      <c r="DW30" s="228">
        <v>0.51</v>
      </c>
      <c r="DX30" s="228">
        <v>0.6</v>
      </c>
      <c r="DY30" s="228">
        <v>-0.09</v>
      </c>
      <c r="DZ30" s="229">
        <v>-0.15</v>
      </c>
      <c r="EA30" s="229">
        <v>4.9200000000000001E-2</v>
      </c>
      <c r="EB30" s="230">
        <v>5848200</v>
      </c>
      <c r="EC30" s="229">
        <v>4.4999999999999997E-3</v>
      </c>
      <c r="ED30" s="229">
        <v>4.9200000000000001E-2</v>
      </c>
      <c r="EE30" s="228">
        <v>1.96</v>
      </c>
      <c r="EF30" s="229">
        <v>4.7000000000000002E-3</v>
      </c>
      <c r="EG30" s="230">
        <v>4378588</v>
      </c>
      <c r="EH30" s="230">
        <v>5551189</v>
      </c>
      <c r="EI30" s="229">
        <v>-0.2112</v>
      </c>
      <c r="EJ30" s="229">
        <v>0.50829999999999997</v>
      </c>
      <c r="EK30" s="231">
        <v>2342.33</v>
      </c>
      <c r="EL30" s="231">
        <v>1142.3699999999999</v>
      </c>
      <c r="EM30" s="228">
        <v>442.05</v>
      </c>
      <c r="EN30" s="228">
        <v>118.08</v>
      </c>
      <c r="EO30" s="231">
        <v>3926.76</v>
      </c>
      <c r="EP30" s="231">
        <v>3832.88</v>
      </c>
      <c r="EQ30" s="228">
        <v>93.88</v>
      </c>
      <c r="ER30" s="229">
        <v>2.4500000000000001E-2</v>
      </c>
      <c r="ES30" s="231">
        <v>2063.67</v>
      </c>
      <c r="ET30" s="231">
        <v>1296.49</v>
      </c>
      <c r="EU30" s="231">
        <v>5030.58</v>
      </c>
      <c r="EV30" s="231">
        <v>535778534</v>
      </c>
      <c r="EW30" s="231">
        <v>8390.74</v>
      </c>
      <c r="EX30" s="231">
        <v>8282.83</v>
      </c>
      <c r="EY30" s="228">
        <v>107.91</v>
      </c>
      <c r="EZ30" s="229">
        <v>1.2999999999999999E-2</v>
      </c>
      <c r="FA30" s="229">
        <v>0.37730000000000002</v>
      </c>
      <c r="FB30" s="227" t="s">
        <v>555</v>
      </c>
      <c r="FC30">
        <f t="shared" si="0"/>
        <v>247</v>
      </c>
    </row>
    <row r="31" spans="1:159" ht="17.25" thickBot="1" x14ac:dyDescent="0.3">
      <c r="A31" s="226">
        <v>46029</v>
      </c>
      <c r="B31" s="227" t="s">
        <v>162</v>
      </c>
      <c r="C31" s="227" t="s">
        <v>187</v>
      </c>
      <c r="D31" s="228">
        <v>500</v>
      </c>
      <c r="E31" s="228">
        <v>20</v>
      </c>
      <c r="F31" s="231">
        <v>1488.5</v>
      </c>
      <c r="G31" s="231">
        <v>1479.4</v>
      </c>
      <c r="H31" s="228">
        <v>9.1</v>
      </c>
      <c r="I31" s="229">
        <v>6.1999999999999998E-3</v>
      </c>
      <c r="J31" s="231">
        <v>1483.4</v>
      </c>
      <c r="K31" s="231">
        <v>1474.7</v>
      </c>
      <c r="L31" s="228">
        <v>8.6999999999999993</v>
      </c>
      <c r="M31" s="229">
        <v>5.8999999999999999E-3</v>
      </c>
      <c r="N31" s="231">
        <v>1488.5</v>
      </c>
      <c r="O31" s="231">
        <v>1479.4</v>
      </c>
      <c r="P31" s="228">
        <v>9.1</v>
      </c>
      <c r="Q31" s="229">
        <v>6.1999999999999998E-3</v>
      </c>
      <c r="R31" s="231">
        <v>1492.4</v>
      </c>
      <c r="S31" s="231">
        <v>1484.3</v>
      </c>
      <c r="T31" s="228">
        <v>8.1</v>
      </c>
      <c r="U31" s="229">
        <v>5.4999999999999997E-3</v>
      </c>
      <c r="V31" s="231">
        <v>1503.4</v>
      </c>
      <c r="W31" s="231">
        <v>1489.5</v>
      </c>
      <c r="X31" s="228">
        <v>13.9</v>
      </c>
      <c r="Y31" s="229">
        <v>9.2999999999999992E-3</v>
      </c>
      <c r="Z31" s="228">
        <v>5.0999999999999996</v>
      </c>
      <c r="AA31" s="228">
        <v>4.7</v>
      </c>
      <c r="AB31" s="228">
        <v>0.4</v>
      </c>
      <c r="AC31" s="229">
        <v>3.3999999999999998E-3</v>
      </c>
      <c r="AD31" s="228">
        <v>5.0999999999999996</v>
      </c>
      <c r="AE31" s="228">
        <v>4.7</v>
      </c>
      <c r="AF31" s="228">
        <v>0.4</v>
      </c>
      <c r="AG31" s="229">
        <v>3.3999999999999998E-3</v>
      </c>
      <c r="AH31" s="228">
        <v>9</v>
      </c>
      <c r="AI31" s="228">
        <v>9.6</v>
      </c>
      <c r="AJ31" s="228">
        <v>-0.6</v>
      </c>
      <c r="AK31" s="229">
        <v>6.1000000000000004E-3</v>
      </c>
      <c r="AL31" s="228">
        <v>20</v>
      </c>
      <c r="AM31" s="228">
        <v>14.8</v>
      </c>
      <c r="AN31" s="228">
        <v>5.2</v>
      </c>
      <c r="AO31" s="229">
        <v>1.35E-2</v>
      </c>
      <c r="AP31" s="231">
        <v>1485.82</v>
      </c>
      <c r="AQ31" s="231">
        <v>1491.4</v>
      </c>
      <c r="AR31" s="228">
        <v>0</v>
      </c>
      <c r="AS31" s="228">
        <v>246</v>
      </c>
      <c r="AT31" s="228">
        <v>350</v>
      </c>
      <c r="AU31" s="228">
        <v>-104</v>
      </c>
      <c r="AV31" s="229">
        <v>-0.29720000000000002</v>
      </c>
      <c r="AW31" s="228">
        <v>240</v>
      </c>
      <c r="AX31" s="228">
        <v>340</v>
      </c>
      <c r="AY31" s="228">
        <v>-99</v>
      </c>
      <c r="AZ31" s="229">
        <v>-0.29260000000000003</v>
      </c>
      <c r="BA31" s="228">
        <v>5</v>
      </c>
      <c r="BB31" s="228">
        <v>9</v>
      </c>
      <c r="BC31" s="228">
        <v>-4</v>
      </c>
      <c r="BD31" s="229">
        <v>-0.42620000000000002</v>
      </c>
      <c r="BE31" s="228">
        <v>0</v>
      </c>
      <c r="BF31" s="228">
        <v>1</v>
      </c>
      <c r="BG31" s="228">
        <v>-1</v>
      </c>
      <c r="BH31" s="229">
        <v>-0.66669999999999996</v>
      </c>
      <c r="BI31" s="228">
        <v>552</v>
      </c>
      <c r="BJ31" s="230">
        <v>1183</v>
      </c>
      <c r="BK31" s="228">
        <v>-631</v>
      </c>
      <c r="BL31" s="229">
        <v>-0.53320000000000001</v>
      </c>
      <c r="BM31" s="228">
        <v>233</v>
      </c>
      <c r="BN31" s="228">
        <v>421</v>
      </c>
      <c r="BO31" s="228">
        <v>-188</v>
      </c>
      <c r="BP31" s="229">
        <v>-0.44640000000000002</v>
      </c>
      <c r="BQ31" s="230">
        <v>1031</v>
      </c>
      <c r="BR31" s="230">
        <v>1954</v>
      </c>
      <c r="BS31" s="228">
        <v>-923</v>
      </c>
      <c r="BT31" s="229">
        <v>-0.4723</v>
      </c>
      <c r="BU31" s="230">
        <v>492433</v>
      </c>
      <c r="BV31" s="230">
        <v>858482</v>
      </c>
      <c r="BW31" s="230">
        <v>-366049</v>
      </c>
      <c r="BX31" s="229">
        <v>-0.4264</v>
      </c>
      <c r="BY31" s="230">
        <v>1131</v>
      </c>
      <c r="BZ31" s="230">
        <v>1191</v>
      </c>
      <c r="CA31" s="228">
        <v>-60</v>
      </c>
      <c r="CB31" s="229">
        <v>-5.0200000000000002E-2</v>
      </c>
      <c r="CC31" s="230">
        <v>1108</v>
      </c>
      <c r="CD31" s="230">
        <v>1168</v>
      </c>
      <c r="CE31" s="228">
        <v>-61</v>
      </c>
      <c r="CF31" s="229">
        <v>-5.1900000000000002E-2</v>
      </c>
      <c r="CG31" s="228">
        <v>19</v>
      </c>
      <c r="CH31" s="228">
        <v>19</v>
      </c>
      <c r="CI31" s="228">
        <v>1</v>
      </c>
      <c r="CJ31" s="229">
        <v>3.9699999999999999E-2</v>
      </c>
      <c r="CK31" s="228">
        <v>4</v>
      </c>
      <c r="CL31" s="228">
        <v>3</v>
      </c>
      <c r="CM31" s="228">
        <v>0</v>
      </c>
      <c r="CN31" s="229">
        <v>2.1299999999999999E-2</v>
      </c>
      <c r="CO31" s="228">
        <v>443</v>
      </c>
      <c r="CP31" s="228">
        <v>438</v>
      </c>
      <c r="CQ31" s="228">
        <v>5</v>
      </c>
      <c r="CR31" s="229">
        <v>1.1900000000000001E-2</v>
      </c>
      <c r="CS31" s="228">
        <v>286</v>
      </c>
      <c r="CT31" s="228">
        <v>297</v>
      </c>
      <c r="CU31" s="228">
        <v>-11</v>
      </c>
      <c r="CV31" s="229">
        <v>-3.6299999999999999E-2</v>
      </c>
      <c r="CW31" s="230">
        <v>1860</v>
      </c>
      <c r="CX31" s="230">
        <v>1925</v>
      </c>
      <c r="CY31" s="228">
        <v>-65</v>
      </c>
      <c r="CZ31" s="229">
        <v>-3.39E-2</v>
      </c>
      <c r="DA31" s="228">
        <v>25.36</v>
      </c>
      <c r="DB31" s="228">
        <v>25.86</v>
      </c>
      <c r="DC31" s="228">
        <v>-0.5</v>
      </c>
      <c r="DD31" s="228">
        <v>-0.5</v>
      </c>
      <c r="DE31" s="228">
        <v>36.1</v>
      </c>
      <c r="DF31" s="228">
        <v>36.18</v>
      </c>
      <c r="DG31" s="228">
        <v>-10.74</v>
      </c>
      <c r="DH31" s="228">
        <v>-0.08</v>
      </c>
      <c r="DI31" s="228">
        <v>25.64</v>
      </c>
      <c r="DJ31" s="228">
        <v>25.88</v>
      </c>
      <c r="DK31" s="228">
        <v>-0.24</v>
      </c>
      <c r="DL31" s="228">
        <v>-0.24</v>
      </c>
      <c r="DM31" s="228">
        <v>24.7</v>
      </c>
      <c r="DN31" s="228">
        <v>25.82</v>
      </c>
      <c r="DO31" s="228">
        <v>-1.1200000000000001</v>
      </c>
      <c r="DP31" s="228">
        <v>-1.1200000000000001</v>
      </c>
      <c r="DQ31" s="228">
        <v>0.65</v>
      </c>
      <c r="DR31" s="228">
        <v>0.68</v>
      </c>
      <c r="DS31" s="228">
        <v>-0.03</v>
      </c>
      <c r="DT31" s="229">
        <v>-4.41E-2</v>
      </c>
      <c r="DU31" s="231">
        <v>1500</v>
      </c>
      <c r="DV31" s="231">
        <v>1460</v>
      </c>
      <c r="DW31" s="228">
        <v>0.42</v>
      </c>
      <c r="DX31" s="228">
        <v>0.36</v>
      </c>
      <c r="DY31" s="228">
        <v>0.06</v>
      </c>
      <c r="DZ31" s="229">
        <v>0.16669999999999999</v>
      </c>
      <c r="EA31" s="229">
        <v>2.0400000000000001E-2</v>
      </c>
      <c r="EB31" s="230">
        <v>149500</v>
      </c>
      <c r="EC31" s="229">
        <v>2.5999999999999999E-3</v>
      </c>
      <c r="ED31" s="229">
        <v>2.0400000000000001E-2</v>
      </c>
      <c r="EE31" s="228">
        <v>5.58</v>
      </c>
      <c r="EF31" s="229">
        <v>3.8E-3</v>
      </c>
      <c r="EG31" s="230">
        <v>176818</v>
      </c>
      <c r="EH31" s="230">
        <v>328302</v>
      </c>
      <c r="EI31" s="229">
        <v>-0.46139999999999998</v>
      </c>
      <c r="EJ31" s="229">
        <v>0.35909999999999997</v>
      </c>
      <c r="EK31" s="228">
        <v>573.57000000000005</v>
      </c>
      <c r="EL31" s="228">
        <v>232.03</v>
      </c>
      <c r="EM31" s="228">
        <v>245.4</v>
      </c>
      <c r="EN31" s="228">
        <v>41.53</v>
      </c>
      <c r="EO31" s="231">
        <v>1051</v>
      </c>
      <c r="EP31" s="231">
        <v>2005.99</v>
      </c>
      <c r="EQ31" s="228">
        <v>-954.99</v>
      </c>
      <c r="ER31" s="229">
        <v>-0.47610000000000002</v>
      </c>
      <c r="ES31" s="228">
        <v>453</v>
      </c>
      <c r="ET31" s="228">
        <v>275.20999999999998</v>
      </c>
      <c r="EU31" s="231">
        <v>1130.97</v>
      </c>
      <c r="EV31" s="231">
        <v>40107751</v>
      </c>
      <c r="EW31" s="231">
        <v>1859.18</v>
      </c>
      <c r="EX31" s="231">
        <v>1916.59</v>
      </c>
      <c r="EY31" s="228">
        <v>-57.41</v>
      </c>
      <c r="EZ31" s="229">
        <v>-0.03</v>
      </c>
      <c r="FA31" s="229">
        <v>0.3115</v>
      </c>
      <c r="FB31" s="227" t="s">
        <v>556</v>
      </c>
      <c r="FC31">
        <f t="shared" si="0"/>
        <v>23</v>
      </c>
    </row>
    <row r="32" spans="1:159" ht="17.25" thickBot="1" x14ac:dyDescent="0.3">
      <c r="A32" s="226">
        <v>46029</v>
      </c>
      <c r="B32" s="227" t="s">
        <v>188</v>
      </c>
      <c r="C32" s="227" t="s">
        <v>189</v>
      </c>
      <c r="D32" s="228">
        <v>475</v>
      </c>
      <c r="E32" s="228">
        <v>20</v>
      </c>
      <c r="F32" s="231">
        <v>2091.5</v>
      </c>
      <c r="G32" s="231">
        <v>2113.6999999999998</v>
      </c>
      <c r="H32" s="228">
        <v>-22.2</v>
      </c>
      <c r="I32" s="229">
        <v>-1.0500000000000001E-2</v>
      </c>
      <c r="J32" s="231">
        <v>2084.1999999999998</v>
      </c>
      <c r="K32" s="231">
        <v>2105.3000000000002</v>
      </c>
      <c r="L32" s="228">
        <v>-21.1</v>
      </c>
      <c r="M32" s="229">
        <v>-0.01</v>
      </c>
      <c r="N32" s="231">
        <v>2091.5</v>
      </c>
      <c r="O32" s="231">
        <v>2113.6999999999998</v>
      </c>
      <c r="P32" s="228">
        <v>-22.2</v>
      </c>
      <c r="Q32" s="229">
        <v>-1.0500000000000001E-2</v>
      </c>
      <c r="R32" s="231">
        <v>2100.9</v>
      </c>
      <c r="S32" s="231">
        <v>2121.5</v>
      </c>
      <c r="T32" s="228">
        <v>-20.6</v>
      </c>
      <c r="U32" s="229">
        <v>-9.7000000000000003E-3</v>
      </c>
      <c r="V32" s="231">
        <v>2110.1</v>
      </c>
      <c r="W32" s="231">
        <v>2131.5</v>
      </c>
      <c r="X32" s="228">
        <v>-21.4</v>
      </c>
      <c r="Y32" s="229">
        <v>-0.01</v>
      </c>
      <c r="Z32" s="228">
        <v>7.3</v>
      </c>
      <c r="AA32" s="228">
        <v>8.4</v>
      </c>
      <c r="AB32" s="228">
        <v>-1.1000000000000001</v>
      </c>
      <c r="AC32" s="229">
        <v>3.5000000000000001E-3</v>
      </c>
      <c r="AD32" s="228">
        <v>7.3</v>
      </c>
      <c r="AE32" s="228">
        <v>8.4</v>
      </c>
      <c r="AF32" s="228">
        <v>-1.1000000000000001</v>
      </c>
      <c r="AG32" s="229">
        <v>3.5000000000000001E-3</v>
      </c>
      <c r="AH32" s="228">
        <v>16.7</v>
      </c>
      <c r="AI32" s="228">
        <v>16.2</v>
      </c>
      <c r="AJ32" s="228">
        <v>0.5</v>
      </c>
      <c r="AK32" s="229">
        <v>8.0000000000000002E-3</v>
      </c>
      <c r="AL32" s="228">
        <v>25.9</v>
      </c>
      <c r="AM32" s="228">
        <v>26.2</v>
      </c>
      <c r="AN32" s="228">
        <v>-0.3</v>
      </c>
      <c r="AO32" s="229">
        <v>1.24E-2</v>
      </c>
      <c r="AP32" s="231">
        <v>2092.17</v>
      </c>
      <c r="AQ32" s="231">
        <v>2101.9899999999998</v>
      </c>
      <c r="AR32" s="228">
        <v>0</v>
      </c>
      <c r="AS32" s="228">
        <v>711</v>
      </c>
      <c r="AT32" s="228">
        <v>914</v>
      </c>
      <c r="AU32" s="228">
        <v>-203</v>
      </c>
      <c r="AV32" s="229">
        <v>-0.2223</v>
      </c>
      <c r="AW32" s="228">
        <v>663</v>
      </c>
      <c r="AX32" s="228">
        <v>829</v>
      </c>
      <c r="AY32" s="228">
        <v>-165</v>
      </c>
      <c r="AZ32" s="229">
        <v>-0.19950000000000001</v>
      </c>
      <c r="BA32" s="228">
        <v>43</v>
      </c>
      <c r="BB32" s="228">
        <v>82</v>
      </c>
      <c r="BC32" s="228">
        <v>-39</v>
      </c>
      <c r="BD32" s="229">
        <v>-0.47689999999999999</v>
      </c>
      <c r="BE32" s="228">
        <v>5</v>
      </c>
      <c r="BF32" s="228">
        <v>3</v>
      </c>
      <c r="BG32" s="228">
        <v>1</v>
      </c>
      <c r="BH32" s="229">
        <v>0.34289999999999998</v>
      </c>
      <c r="BI32" s="230">
        <v>2744</v>
      </c>
      <c r="BJ32" s="230">
        <v>3393</v>
      </c>
      <c r="BK32" s="228">
        <v>-649</v>
      </c>
      <c r="BL32" s="229">
        <v>-0.1913</v>
      </c>
      <c r="BM32" s="230">
        <v>1611</v>
      </c>
      <c r="BN32" s="230">
        <v>2062</v>
      </c>
      <c r="BO32" s="228">
        <v>-451</v>
      </c>
      <c r="BP32" s="229">
        <v>-0.21859999999999999</v>
      </c>
      <c r="BQ32" s="230">
        <v>5066</v>
      </c>
      <c r="BR32" s="230">
        <v>6368</v>
      </c>
      <c r="BS32" s="230">
        <v>-1303</v>
      </c>
      <c r="BT32" s="229">
        <v>-0.2046</v>
      </c>
      <c r="BU32" s="230">
        <v>4240423</v>
      </c>
      <c r="BV32" s="230">
        <v>9140003</v>
      </c>
      <c r="BW32" s="230">
        <v>-4899580</v>
      </c>
      <c r="BX32" s="229">
        <v>-0.53610000000000002</v>
      </c>
      <c r="BY32" s="230">
        <v>10345</v>
      </c>
      <c r="BZ32" s="230">
        <v>10306</v>
      </c>
      <c r="CA32" s="228">
        <v>38</v>
      </c>
      <c r="CB32" s="229">
        <v>3.7000000000000002E-3</v>
      </c>
      <c r="CC32" s="230">
        <v>9848</v>
      </c>
      <c r="CD32" s="230">
        <v>9826</v>
      </c>
      <c r="CE32" s="228">
        <v>23</v>
      </c>
      <c r="CF32" s="229">
        <v>2.3E-3</v>
      </c>
      <c r="CG32" s="228">
        <v>484</v>
      </c>
      <c r="CH32" s="228">
        <v>470</v>
      </c>
      <c r="CI32" s="228">
        <v>14</v>
      </c>
      <c r="CJ32" s="229">
        <v>2.9399999999999999E-2</v>
      </c>
      <c r="CK32" s="228">
        <v>12</v>
      </c>
      <c r="CL32" s="228">
        <v>10</v>
      </c>
      <c r="CM32" s="228">
        <v>2</v>
      </c>
      <c r="CN32" s="229">
        <v>0.1845</v>
      </c>
      <c r="CO32" s="230">
        <v>1942</v>
      </c>
      <c r="CP32" s="230">
        <v>1713</v>
      </c>
      <c r="CQ32" s="228">
        <v>229</v>
      </c>
      <c r="CR32" s="229">
        <v>0.1338</v>
      </c>
      <c r="CS32" s="230">
        <v>1136</v>
      </c>
      <c r="CT32" s="230">
        <v>1089</v>
      </c>
      <c r="CU32" s="228">
        <v>46</v>
      </c>
      <c r="CV32" s="229">
        <v>4.2500000000000003E-2</v>
      </c>
      <c r="CW32" s="230">
        <v>13422</v>
      </c>
      <c r="CX32" s="230">
        <v>13108</v>
      </c>
      <c r="CY32" s="228">
        <v>314</v>
      </c>
      <c r="CZ32" s="229">
        <v>2.3900000000000001E-2</v>
      </c>
      <c r="DA32" s="228">
        <v>16.53</v>
      </c>
      <c r="DB32" s="228">
        <v>15.48</v>
      </c>
      <c r="DC32" s="228">
        <v>1.05</v>
      </c>
      <c r="DD32" s="228">
        <v>1.05</v>
      </c>
      <c r="DE32" s="228">
        <v>24.16</v>
      </c>
      <c r="DF32" s="228">
        <v>24.18</v>
      </c>
      <c r="DG32" s="228">
        <v>-7.63</v>
      </c>
      <c r="DH32" s="228">
        <v>-0.02</v>
      </c>
      <c r="DI32" s="228">
        <v>16.77</v>
      </c>
      <c r="DJ32" s="228">
        <v>15.35</v>
      </c>
      <c r="DK32" s="228">
        <v>1.42</v>
      </c>
      <c r="DL32" s="228">
        <v>1.42</v>
      </c>
      <c r="DM32" s="228">
        <v>16.13</v>
      </c>
      <c r="DN32" s="228">
        <v>15.71</v>
      </c>
      <c r="DO32" s="228">
        <v>0.42</v>
      </c>
      <c r="DP32" s="228">
        <v>0.42</v>
      </c>
      <c r="DQ32" s="228">
        <v>0.57999999999999996</v>
      </c>
      <c r="DR32" s="228">
        <v>0.64</v>
      </c>
      <c r="DS32" s="228">
        <v>-0.06</v>
      </c>
      <c r="DT32" s="229">
        <v>-9.3799999999999994E-2</v>
      </c>
      <c r="DU32" s="231">
        <v>2200</v>
      </c>
      <c r="DV32" s="231">
        <v>2100</v>
      </c>
      <c r="DW32" s="228">
        <v>0.59</v>
      </c>
      <c r="DX32" s="228">
        <v>0.61</v>
      </c>
      <c r="DY32" s="228">
        <v>-0.02</v>
      </c>
      <c r="DZ32" s="229">
        <v>-3.2800000000000003E-2</v>
      </c>
      <c r="EA32" s="229">
        <v>4.8000000000000001E-2</v>
      </c>
      <c r="EB32" s="230">
        <v>2296625</v>
      </c>
      <c r="EC32" s="229">
        <v>4.4999999999999997E-3</v>
      </c>
      <c r="ED32" s="229">
        <v>4.8000000000000001E-2</v>
      </c>
      <c r="EE32" s="228">
        <v>9.82</v>
      </c>
      <c r="EF32" s="229">
        <v>4.7000000000000002E-3</v>
      </c>
      <c r="EG32" s="230">
        <v>3307687</v>
      </c>
      <c r="EH32" s="230">
        <v>7317943</v>
      </c>
      <c r="EI32" s="229">
        <v>-0.54800000000000004</v>
      </c>
      <c r="EJ32" s="229">
        <v>0.78</v>
      </c>
      <c r="EK32" s="231">
        <v>2844.69</v>
      </c>
      <c r="EL32" s="231">
        <v>1597.59</v>
      </c>
      <c r="EM32" s="228">
        <v>711.39</v>
      </c>
      <c r="EN32" s="228">
        <v>68.239999999999995</v>
      </c>
      <c r="EO32" s="231">
        <v>5153.67</v>
      </c>
      <c r="EP32" s="231">
        <v>6513.01</v>
      </c>
      <c r="EQ32" s="231">
        <v>-1359.34</v>
      </c>
      <c r="ER32" s="229">
        <v>-0.2087</v>
      </c>
      <c r="ES32" s="231">
        <v>2005.06</v>
      </c>
      <c r="ET32" s="231">
        <v>1117.77</v>
      </c>
      <c r="EU32" s="231">
        <v>10346.81</v>
      </c>
      <c r="EV32" s="231">
        <v>367085962</v>
      </c>
      <c r="EW32" s="231">
        <v>13469.64</v>
      </c>
      <c r="EX32" s="231">
        <v>13262.91</v>
      </c>
      <c r="EY32" s="228">
        <v>206.73</v>
      </c>
      <c r="EZ32" s="229">
        <v>1.5599999999999999E-2</v>
      </c>
      <c r="FA32" s="229">
        <v>0.17480000000000001</v>
      </c>
      <c r="FB32" s="227" t="s">
        <v>567</v>
      </c>
      <c r="FC32">
        <f t="shared" si="0"/>
        <v>497</v>
      </c>
    </row>
    <row r="33" spans="1:159" ht="17.25" thickBot="1" x14ac:dyDescent="0.3">
      <c r="A33" s="226">
        <v>46029</v>
      </c>
      <c r="B33" s="227" t="s">
        <v>184</v>
      </c>
      <c r="C33" s="227" t="s">
        <v>190</v>
      </c>
      <c r="D33" s="228">
        <v>2625</v>
      </c>
      <c r="E33" s="228">
        <v>20</v>
      </c>
      <c r="F33" s="228">
        <v>304.75</v>
      </c>
      <c r="G33" s="228">
        <v>298.5</v>
      </c>
      <c r="H33" s="228">
        <v>6.25</v>
      </c>
      <c r="I33" s="229">
        <v>2.0899999999999998E-2</v>
      </c>
      <c r="J33" s="228">
        <v>303.55</v>
      </c>
      <c r="K33" s="228">
        <v>296.95</v>
      </c>
      <c r="L33" s="228">
        <v>6.6</v>
      </c>
      <c r="M33" s="229">
        <v>2.2200000000000001E-2</v>
      </c>
      <c r="N33" s="228">
        <v>304.75</v>
      </c>
      <c r="O33" s="228">
        <v>298.5</v>
      </c>
      <c r="P33" s="228">
        <v>6.25</v>
      </c>
      <c r="Q33" s="229">
        <v>2.0899999999999998E-2</v>
      </c>
      <c r="R33" s="228">
        <v>306.64999999999998</v>
      </c>
      <c r="S33" s="228">
        <v>300.3</v>
      </c>
      <c r="T33" s="228">
        <v>6.35</v>
      </c>
      <c r="U33" s="229">
        <v>2.1100000000000001E-2</v>
      </c>
      <c r="V33" s="228">
        <v>308.5</v>
      </c>
      <c r="W33" s="228">
        <v>302</v>
      </c>
      <c r="X33" s="228">
        <v>6.5</v>
      </c>
      <c r="Y33" s="229">
        <v>2.1499999999999998E-2</v>
      </c>
      <c r="Z33" s="228">
        <v>1.2</v>
      </c>
      <c r="AA33" s="228">
        <v>1.55</v>
      </c>
      <c r="AB33" s="228">
        <v>-0.35</v>
      </c>
      <c r="AC33" s="229">
        <v>4.0000000000000001E-3</v>
      </c>
      <c r="AD33" s="228">
        <v>1.2</v>
      </c>
      <c r="AE33" s="228">
        <v>1.55</v>
      </c>
      <c r="AF33" s="228">
        <v>-0.35</v>
      </c>
      <c r="AG33" s="229">
        <v>4.0000000000000001E-3</v>
      </c>
      <c r="AH33" s="228">
        <v>3.1</v>
      </c>
      <c r="AI33" s="228">
        <v>3.35</v>
      </c>
      <c r="AJ33" s="228">
        <v>-0.25</v>
      </c>
      <c r="AK33" s="229">
        <v>1.0200000000000001E-2</v>
      </c>
      <c r="AL33" s="228">
        <v>4.95</v>
      </c>
      <c r="AM33" s="228">
        <v>5.05</v>
      </c>
      <c r="AN33" s="228">
        <v>-0.1</v>
      </c>
      <c r="AO33" s="229">
        <v>1.6299999999999999E-2</v>
      </c>
      <c r="AP33" s="228">
        <v>303.81</v>
      </c>
      <c r="AQ33" s="228">
        <v>305.38</v>
      </c>
      <c r="AR33" s="228">
        <v>0</v>
      </c>
      <c r="AS33" s="228">
        <v>867</v>
      </c>
      <c r="AT33" s="228">
        <v>673</v>
      </c>
      <c r="AU33" s="228">
        <v>194</v>
      </c>
      <c r="AV33" s="229">
        <v>0.28860000000000002</v>
      </c>
      <c r="AW33" s="228">
        <v>798</v>
      </c>
      <c r="AX33" s="228">
        <v>624</v>
      </c>
      <c r="AY33" s="228">
        <v>174</v>
      </c>
      <c r="AZ33" s="229">
        <v>0.27829999999999999</v>
      </c>
      <c r="BA33" s="228">
        <v>59</v>
      </c>
      <c r="BB33" s="228">
        <v>42</v>
      </c>
      <c r="BC33" s="228">
        <v>17</v>
      </c>
      <c r="BD33" s="229">
        <v>0.41760000000000003</v>
      </c>
      <c r="BE33" s="228">
        <v>10</v>
      </c>
      <c r="BF33" s="228">
        <v>7</v>
      </c>
      <c r="BG33" s="228">
        <v>3</v>
      </c>
      <c r="BH33" s="229">
        <v>0.43680000000000002</v>
      </c>
      <c r="BI33" s="230">
        <v>4086</v>
      </c>
      <c r="BJ33" s="230">
        <v>1996</v>
      </c>
      <c r="BK33" s="230">
        <v>2090</v>
      </c>
      <c r="BL33" s="229">
        <v>1.0467</v>
      </c>
      <c r="BM33" s="230">
        <v>1123</v>
      </c>
      <c r="BN33" s="228">
        <v>969</v>
      </c>
      <c r="BO33" s="228">
        <v>154</v>
      </c>
      <c r="BP33" s="229">
        <v>0.15920000000000001</v>
      </c>
      <c r="BQ33" s="230">
        <v>6076</v>
      </c>
      <c r="BR33" s="230">
        <v>3638</v>
      </c>
      <c r="BS33" s="230">
        <v>2438</v>
      </c>
      <c r="BT33" s="229">
        <v>0.67010000000000003</v>
      </c>
      <c r="BU33" s="230">
        <v>13778263</v>
      </c>
      <c r="BV33" s="230">
        <v>7652087</v>
      </c>
      <c r="BW33" s="230">
        <v>6126176</v>
      </c>
      <c r="BX33" s="229">
        <v>0.80059999999999998</v>
      </c>
      <c r="BY33" s="230">
        <v>2308</v>
      </c>
      <c r="BZ33" s="230">
        <v>2307</v>
      </c>
      <c r="CA33" s="228">
        <v>1</v>
      </c>
      <c r="CB33" s="229">
        <v>4.0000000000000002E-4</v>
      </c>
      <c r="CC33" s="230">
        <v>2236</v>
      </c>
      <c r="CD33" s="230">
        <v>2239</v>
      </c>
      <c r="CE33" s="228">
        <v>-2</v>
      </c>
      <c r="CF33" s="229">
        <v>-1E-3</v>
      </c>
      <c r="CG33" s="228">
        <v>59</v>
      </c>
      <c r="CH33" s="228">
        <v>56</v>
      </c>
      <c r="CI33" s="228">
        <v>3</v>
      </c>
      <c r="CJ33" s="229">
        <v>4.5499999999999999E-2</v>
      </c>
      <c r="CK33" s="228">
        <v>13</v>
      </c>
      <c r="CL33" s="228">
        <v>12</v>
      </c>
      <c r="CM33" s="228">
        <v>1</v>
      </c>
      <c r="CN33" s="229">
        <v>5.1900000000000002E-2</v>
      </c>
      <c r="CO33" s="230">
        <v>1141</v>
      </c>
      <c r="CP33" s="230">
        <v>1091</v>
      </c>
      <c r="CQ33" s="228">
        <v>50</v>
      </c>
      <c r="CR33" s="229">
        <v>4.5499999999999999E-2</v>
      </c>
      <c r="CS33" s="228">
        <v>793</v>
      </c>
      <c r="CT33" s="228">
        <v>741</v>
      </c>
      <c r="CU33" s="228">
        <v>52</v>
      </c>
      <c r="CV33" s="229">
        <v>7.0199999999999999E-2</v>
      </c>
      <c r="CW33" s="230">
        <v>4241</v>
      </c>
      <c r="CX33" s="230">
        <v>4139</v>
      </c>
      <c r="CY33" s="228">
        <v>102</v>
      </c>
      <c r="CZ33" s="229">
        <v>2.4799999999999999E-2</v>
      </c>
      <c r="DA33" s="228">
        <v>34.57</v>
      </c>
      <c r="DB33" s="228">
        <v>32.46</v>
      </c>
      <c r="DC33" s="228">
        <v>2.11</v>
      </c>
      <c r="DD33" s="228">
        <v>2.11</v>
      </c>
      <c r="DE33" s="228">
        <v>43.39</v>
      </c>
      <c r="DF33" s="228">
        <v>43.41</v>
      </c>
      <c r="DG33" s="228">
        <v>-8.82</v>
      </c>
      <c r="DH33" s="228">
        <v>-0.02</v>
      </c>
      <c r="DI33" s="228">
        <v>34.53</v>
      </c>
      <c r="DJ33" s="228">
        <v>32.28</v>
      </c>
      <c r="DK33" s="228">
        <v>2.25</v>
      </c>
      <c r="DL33" s="228">
        <v>2.25</v>
      </c>
      <c r="DM33" s="228">
        <v>34.72</v>
      </c>
      <c r="DN33" s="228">
        <v>32.840000000000003</v>
      </c>
      <c r="DO33" s="228">
        <v>1.88</v>
      </c>
      <c r="DP33" s="228">
        <v>1.88</v>
      </c>
      <c r="DQ33" s="228">
        <v>0.69</v>
      </c>
      <c r="DR33" s="228">
        <v>0.68</v>
      </c>
      <c r="DS33" s="228">
        <v>0.01</v>
      </c>
      <c r="DT33" s="229">
        <v>1.47E-2</v>
      </c>
      <c r="DU33" s="228">
        <v>300</v>
      </c>
      <c r="DV33" s="228">
        <v>280</v>
      </c>
      <c r="DW33" s="228">
        <v>0.27</v>
      </c>
      <c r="DX33" s="228">
        <v>0.49</v>
      </c>
      <c r="DY33" s="228">
        <v>-0.22</v>
      </c>
      <c r="DZ33" s="229">
        <v>-0.44900000000000001</v>
      </c>
      <c r="EA33" s="229">
        <v>3.1099999999999999E-2</v>
      </c>
      <c r="EB33" s="230">
        <v>2249625</v>
      </c>
      <c r="EC33" s="229">
        <v>6.1999999999999998E-3</v>
      </c>
      <c r="ED33" s="229">
        <v>3.1099999999999999E-2</v>
      </c>
      <c r="EE33" s="228">
        <v>1.57</v>
      </c>
      <c r="EF33" s="229">
        <v>5.1999999999999998E-3</v>
      </c>
      <c r="EG33" s="230">
        <v>4975021</v>
      </c>
      <c r="EH33" s="230">
        <v>2992221</v>
      </c>
      <c r="EI33" s="229">
        <v>0.66269999999999996</v>
      </c>
      <c r="EJ33" s="229">
        <v>0.36109999999999998</v>
      </c>
      <c r="EK33" s="231">
        <v>4267.08</v>
      </c>
      <c r="EL33" s="231">
        <v>1093.96</v>
      </c>
      <c r="EM33" s="228">
        <v>864.59</v>
      </c>
      <c r="EN33" s="228">
        <v>94.61</v>
      </c>
      <c r="EO33" s="231">
        <v>6225.62</v>
      </c>
      <c r="EP33" s="231">
        <v>3663.26</v>
      </c>
      <c r="EQ33" s="231">
        <v>2562.35</v>
      </c>
      <c r="ER33" s="229">
        <v>0.69950000000000001</v>
      </c>
      <c r="ES33" s="231">
        <v>1146.48</v>
      </c>
      <c r="ET33" s="228">
        <v>734.32</v>
      </c>
      <c r="EU33" s="231">
        <v>2308.6</v>
      </c>
      <c r="EV33" s="231">
        <v>192361942</v>
      </c>
      <c r="EW33" s="231">
        <v>4189.3900000000003</v>
      </c>
      <c r="EX33" s="231">
        <v>4031.62</v>
      </c>
      <c r="EY33" s="228">
        <v>157.77000000000001</v>
      </c>
      <c r="EZ33" s="229">
        <v>3.9100000000000003E-2</v>
      </c>
      <c r="FA33" s="229">
        <v>0.72350000000000003</v>
      </c>
      <c r="FB33" s="227" t="s">
        <v>555</v>
      </c>
      <c r="FC33">
        <f t="shared" si="0"/>
        <v>72</v>
      </c>
    </row>
    <row r="34" spans="1:159" ht="17.25" thickBot="1" x14ac:dyDescent="0.3">
      <c r="A34" s="226">
        <v>46029</v>
      </c>
      <c r="B34" s="227" t="s">
        <v>170</v>
      </c>
      <c r="C34" s="227" t="s">
        <v>191</v>
      </c>
      <c r="D34" s="228">
        <v>2500</v>
      </c>
      <c r="E34" s="228">
        <v>20</v>
      </c>
      <c r="F34" s="228">
        <v>388.95</v>
      </c>
      <c r="G34" s="228">
        <v>387.1</v>
      </c>
      <c r="H34" s="228">
        <v>1.85</v>
      </c>
      <c r="I34" s="229">
        <v>4.7999999999999996E-3</v>
      </c>
      <c r="J34" s="228">
        <v>387.05</v>
      </c>
      <c r="K34" s="228">
        <v>385.15</v>
      </c>
      <c r="L34" s="228">
        <v>1.9</v>
      </c>
      <c r="M34" s="229">
        <v>4.8999999999999998E-3</v>
      </c>
      <c r="N34" s="228">
        <v>388.95</v>
      </c>
      <c r="O34" s="228">
        <v>387.1</v>
      </c>
      <c r="P34" s="228">
        <v>1.85</v>
      </c>
      <c r="Q34" s="229">
        <v>4.7999999999999996E-3</v>
      </c>
      <c r="R34" s="228">
        <v>391.1</v>
      </c>
      <c r="S34" s="228">
        <v>389.45</v>
      </c>
      <c r="T34" s="228">
        <v>1.65</v>
      </c>
      <c r="U34" s="229">
        <v>4.1999999999999997E-3</v>
      </c>
      <c r="V34" s="228">
        <v>393.65</v>
      </c>
      <c r="W34" s="228">
        <v>391.7</v>
      </c>
      <c r="X34" s="228">
        <v>1.95</v>
      </c>
      <c r="Y34" s="229">
        <v>5.0000000000000001E-3</v>
      </c>
      <c r="Z34" s="228">
        <v>1.9</v>
      </c>
      <c r="AA34" s="228">
        <v>1.95</v>
      </c>
      <c r="AB34" s="228">
        <v>-0.05</v>
      </c>
      <c r="AC34" s="229">
        <v>4.8999999999999998E-3</v>
      </c>
      <c r="AD34" s="228">
        <v>1.9</v>
      </c>
      <c r="AE34" s="228">
        <v>1.95</v>
      </c>
      <c r="AF34" s="228">
        <v>-0.05</v>
      </c>
      <c r="AG34" s="229">
        <v>4.8999999999999998E-3</v>
      </c>
      <c r="AH34" s="228">
        <v>4.05</v>
      </c>
      <c r="AI34" s="228">
        <v>4.3</v>
      </c>
      <c r="AJ34" s="228">
        <v>-0.25</v>
      </c>
      <c r="AK34" s="229">
        <v>1.0500000000000001E-2</v>
      </c>
      <c r="AL34" s="228">
        <v>6.6</v>
      </c>
      <c r="AM34" s="228">
        <v>6.55</v>
      </c>
      <c r="AN34" s="228">
        <v>0.05</v>
      </c>
      <c r="AO34" s="229">
        <v>1.7100000000000001E-2</v>
      </c>
      <c r="AP34" s="228">
        <v>391.47</v>
      </c>
      <c r="AQ34" s="228">
        <v>392.96</v>
      </c>
      <c r="AR34" s="228">
        <v>0</v>
      </c>
      <c r="AS34" s="228">
        <v>413</v>
      </c>
      <c r="AT34" s="228">
        <v>316</v>
      </c>
      <c r="AU34" s="228">
        <v>97</v>
      </c>
      <c r="AV34" s="229">
        <v>0.3075</v>
      </c>
      <c r="AW34" s="228">
        <v>377</v>
      </c>
      <c r="AX34" s="228">
        <v>288</v>
      </c>
      <c r="AY34" s="228">
        <v>89</v>
      </c>
      <c r="AZ34" s="229">
        <v>0.30880000000000002</v>
      </c>
      <c r="BA34" s="228">
        <v>34</v>
      </c>
      <c r="BB34" s="228">
        <v>26</v>
      </c>
      <c r="BC34" s="228">
        <v>8</v>
      </c>
      <c r="BD34" s="229">
        <v>0.31719999999999998</v>
      </c>
      <c r="BE34" s="228">
        <v>2</v>
      </c>
      <c r="BF34" s="228">
        <v>2</v>
      </c>
      <c r="BG34" s="228">
        <v>0</v>
      </c>
      <c r="BH34" s="229">
        <v>0</v>
      </c>
      <c r="BI34" s="230">
        <v>1529</v>
      </c>
      <c r="BJ34" s="228">
        <v>833</v>
      </c>
      <c r="BK34" s="228">
        <v>697</v>
      </c>
      <c r="BL34" s="229">
        <v>0.8367</v>
      </c>
      <c r="BM34" s="228">
        <v>414</v>
      </c>
      <c r="BN34" s="228">
        <v>410</v>
      </c>
      <c r="BO34" s="228">
        <v>4</v>
      </c>
      <c r="BP34" s="229">
        <v>0.01</v>
      </c>
      <c r="BQ34" s="230">
        <v>2356</v>
      </c>
      <c r="BR34" s="230">
        <v>1558</v>
      </c>
      <c r="BS34" s="228">
        <v>798</v>
      </c>
      <c r="BT34" s="229">
        <v>0.5121</v>
      </c>
      <c r="BU34" s="230">
        <v>4903850</v>
      </c>
      <c r="BV34" s="230">
        <v>1827897</v>
      </c>
      <c r="BW34" s="230">
        <v>3075953</v>
      </c>
      <c r="BX34" s="229">
        <v>1.6828000000000001</v>
      </c>
      <c r="BY34" s="230">
        <v>1836</v>
      </c>
      <c r="BZ34" s="230">
        <v>1757</v>
      </c>
      <c r="CA34" s="228">
        <v>78</v>
      </c>
      <c r="CB34" s="229">
        <v>4.4699999999999997E-2</v>
      </c>
      <c r="CC34" s="230">
        <v>1775</v>
      </c>
      <c r="CD34" s="230">
        <v>1712</v>
      </c>
      <c r="CE34" s="228">
        <v>62</v>
      </c>
      <c r="CF34" s="229">
        <v>3.6400000000000002E-2</v>
      </c>
      <c r="CG34" s="228">
        <v>57</v>
      </c>
      <c r="CH34" s="228">
        <v>41</v>
      </c>
      <c r="CI34" s="228">
        <v>16</v>
      </c>
      <c r="CJ34" s="229">
        <v>0.37790000000000001</v>
      </c>
      <c r="CK34" s="228">
        <v>4</v>
      </c>
      <c r="CL34" s="228">
        <v>3</v>
      </c>
      <c r="CM34" s="228">
        <v>0</v>
      </c>
      <c r="CN34" s="229">
        <v>0.1429</v>
      </c>
      <c r="CO34" s="228">
        <v>755</v>
      </c>
      <c r="CP34" s="228">
        <v>652</v>
      </c>
      <c r="CQ34" s="228">
        <v>103</v>
      </c>
      <c r="CR34" s="229">
        <v>0.15790000000000001</v>
      </c>
      <c r="CS34" s="228">
        <v>410</v>
      </c>
      <c r="CT34" s="228">
        <v>367</v>
      </c>
      <c r="CU34" s="228">
        <v>43</v>
      </c>
      <c r="CV34" s="229">
        <v>0.1183</v>
      </c>
      <c r="CW34" s="230">
        <v>3001</v>
      </c>
      <c r="CX34" s="230">
        <v>2776</v>
      </c>
      <c r="CY34" s="228">
        <v>225</v>
      </c>
      <c r="CZ34" s="229">
        <v>8.1000000000000003E-2</v>
      </c>
      <c r="DA34" s="228">
        <v>28.62</v>
      </c>
      <c r="DB34" s="228">
        <v>26.65</v>
      </c>
      <c r="DC34" s="228">
        <v>1.97</v>
      </c>
      <c r="DD34" s="228">
        <v>1.97</v>
      </c>
      <c r="DE34" s="228">
        <v>37.6</v>
      </c>
      <c r="DF34" s="228">
        <v>37.69</v>
      </c>
      <c r="DG34" s="228">
        <v>-8.98</v>
      </c>
      <c r="DH34" s="228">
        <v>-0.09</v>
      </c>
      <c r="DI34" s="228">
        <v>28.88</v>
      </c>
      <c r="DJ34" s="228">
        <v>26.88</v>
      </c>
      <c r="DK34" s="228">
        <v>2</v>
      </c>
      <c r="DL34" s="228">
        <v>2</v>
      </c>
      <c r="DM34" s="228">
        <v>27.64</v>
      </c>
      <c r="DN34" s="228">
        <v>26.2</v>
      </c>
      <c r="DO34" s="228">
        <v>1.44</v>
      </c>
      <c r="DP34" s="228">
        <v>1.44</v>
      </c>
      <c r="DQ34" s="228">
        <v>0.54</v>
      </c>
      <c r="DR34" s="228">
        <v>0.56000000000000005</v>
      </c>
      <c r="DS34" s="228">
        <v>-0.02</v>
      </c>
      <c r="DT34" s="229">
        <v>-3.5700000000000003E-2</v>
      </c>
      <c r="DU34" s="228">
        <v>400</v>
      </c>
      <c r="DV34" s="228">
        <v>390</v>
      </c>
      <c r="DW34" s="228">
        <v>0.27</v>
      </c>
      <c r="DX34" s="228">
        <v>0.49</v>
      </c>
      <c r="DY34" s="228">
        <v>-0.22</v>
      </c>
      <c r="DZ34" s="229">
        <v>-0.44900000000000001</v>
      </c>
      <c r="EA34" s="229">
        <v>3.32E-2</v>
      </c>
      <c r="EB34" s="230">
        <v>1152500</v>
      </c>
      <c r="EC34" s="229">
        <v>5.4999999999999997E-3</v>
      </c>
      <c r="ED34" s="229">
        <v>3.32E-2</v>
      </c>
      <c r="EE34" s="228">
        <v>1.49</v>
      </c>
      <c r="EF34" s="229">
        <v>3.8E-3</v>
      </c>
      <c r="EG34" s="230">
        <v>2515806</v>
      </c>
      <c r="EH34" s="230">
        <v>758208</v>
      </c>
      <c r="EI34" s="229">
        <v>2.3180999999999998</v>
      </c>
      <c r="EJ34" s="229">
        <v>0.51300000000000001</v>
      </c>
      <c r="EK34" s="231">
        <v>1609.01</v>
      </c>
      <c r="EL34" s="228">
        <v>412.36</v>
      </c>
      <c r="EM34" s="228">
        <v>415.9</v>
      </c>
      <c r="EN34" s="228">
        <v>21.04</v>
      </c>
      <c r="EO34" s="231">
        <v>2437.27</v>
      </c>
      <c r="EP34" s="231">
        <v>1605.32</v>
      </c>
      <c r="EQ34" s="228">
        <v>831.95</v>
      </c>
      <c r="ER34" s="229">
        <v>0.51819999999999999</v>
      </c>
      <c r="ES34" s="228">
        <v>797.38</v>
      </c>
      <c r="ET34" s="228">
        <v>403.84</v>
      </c>
      <c r="EU34" s="231">
        <v>1836.11</v>
      </c>
      <c r="EV34" s="231">
        <v>91057772</v>
      </c>
      <c r="EW34" s="231">
        <v>3037.33</v>
      </c>
      <c r="EX34" s="231">
        <v>2799.26</v>
      </c>
      <c r="EY34" s="228">
        <v>238.07</v>
      </c>
      <c r="EZ34" s="229">
        <v>8.5000000000000006E-2</v>
      </c>
      <c r="FA34" s="229">
        <v>0.84730000000000005</v>
      </c>
      <c r="FB34" s="227" t="s">
        <v>555</v>
      </c>
      <c r="FC34">
        <f t="shared" si="0"/>
        <v>61</v>
      </c>
    </row>
    <row r="35" spans="1:159" ht="17.25" thickBot="1" x14ac:dyDescent="0.3">
      <c r="A35" s="226">
        <v>46029</v>
      </c>
      <c r="B35" s="227" t="s">
        <v>184</v>
      </c>
      <c r="C35" s="227" t="s">
        <v>679</v>
      </c>
      <c r="D35" s="228">
        <v>325</v>
      </c>
      <c r="E35" s="228">
        <v>20</v>
      </c>
      <c r="F35" s="231">
        <v>1845.8</v>
      </c>
      <c r="G35" s="231">
        <v>1826.3</v>
      </c>
      <c r="H35" s="228">
        <v>19.5</v>
      </c>
      <c r="I35" s="229">
        <v>1.0699999999999999E-2</v>
      </c>
      <c r="J35" s="231">
        <v>1842.7</v>
      </c>
      <c r="K35" s="231">
        <v>1823.6</v>
      </c>
      <c r="L35" s="228">
        <v>19.100000000000001</v>
      </c>
      <c r="M35" s="229">
        <v>1.0500000000000001E-2</v>
      </c>
      <c r="N35" s="231">
        <v>1845.8</v>
      </c>
      <c r="O35" s="231">
        <v>1826.3</v>
      </c>
      <c r="P35" s="228">
        <v>19.5</v>
      </c>
      <c r="Q35" s="229">
        <v>1.0699999999999999E-2</v>
      </c>
      <c r="R35" s="231">
        <v>1849.7</v>
      </c>
      <c r="S35" s="231">
        <v>1829.8</v>
      </c>
      <c r="T35" s="228">
        <v>19.899999999999999</v>
      </c>
      <c r="U35" s="229">
        <v>1.09E-2</v>
      </c>
      <c r="V35" s="228">
        <v>0</v>
      </c>
      <c r="W35" s="228">
        <v>0</v>
      </c>
      <c r="X35" s="228">
        <v>0</v>
      </c>
      <c r="Y35" s="229">
        <v>0</v>
      </c>
      <c r="Z35" s="228">
        <v>3.1</v>
      </c>
      <c r="AA35" s="228">
        <v>2.7</v>
      </c>
      <c r="AB35" s="228">
        <v>0.4</v>
      </c>
      <c r="AC35" s="229">
        <v>1.6999999999999999E-3</v>
      </c>
      <c r="AD35" s="228">
        <v>3.1</v>
      </c>
      <c r="AE35" s="228">
        <v>2.7</v>
      </c>
      <c r="AF35" s="228">
        <v>0.4</v>
      </c>
      <c r="AG35" s="229">
        <v>1.6999999999999999E-3</v>
      </c>
      <c r="AH35" s="228">
        <v>7</v>
      </c>
      <c r="AI35" s="228">
        <v>6.2</v>
      </c>
      <c r="AJ35" s="228">
        <v>0.8</v>
      </c>
      <c r="AK35" s="229">
        <v>3.8E-3</v>
      </c>
      <c r="AL35" s="228">
        <v>0</v>
      </c>
      <c r="AM35" s="228">
        <v>0</v>
      </c>
      <c r="AN35" s="228">
        <v>0</v>
      </c>
      <c r="AO35" s="229">
        <v>0</v>
      </c>
      <c r="AP35" s="231">
        <v>1824.29</v>
      </c>
      <c r="AQ35" s="231">
        <v>1823.86</v>
      </c>
      <c r="AR35" s="228">
        <v>0</v>
      </c>
      <c r="AS35" s="228">
        <v>201</v>
      </c>
      <c r="AT35" s="228">
        <v>101</v>
      </c>
      <c r="AU35" s="228">
        <v>100</v>
      </c>
      <c r="AV35" s="229">
        <v>0.98809999999999998</v>
      </c>
      <c r="AW35" s="228">
        <v>152</v>
      </c>
      <c r="AX35" s="228">
        <v>98</v>
      </c>
      <c r="AY35" s="228">
        <v>54</v>
      </c>
      <c r="AZ35" s="229">
        <v>0.54479999999999995</v>
      </c>
      <c r="BA35" s="228">
        <v>49</v>
      </c>
      <c r="BB35" s="228">
        <v>3</v>
      </c>
      <c r="BC35" s="228">
        <v>46</v>
      </c>
      <c r="BD35" s="229">
        <v>17.5</v>
      </c>
      <c r="BE35" s="228">
        <v>0</v>
      </c>
      <c r="BF35" s="228">
        <v>0</v>
      </c>
      <c r="BG35" s="228">
        <v>0</v>
      </c>
      <c r="BH35" s="229">
        <v>0</v>
      </c>
      <c r="BI35" s="228">
        <v>360</v>
      </c>
      <c r="BJ35" s="228">
        <v>83</v>
      </c>
      <c r="BK35" s="228">
        <v>276</v>
      </c>
      <c r="BL35" s="229">
        <v>3.3182</v>
      </c>
      <c r="BM35" s="228">
        <v>177</v>
      </c>
      <c r="BN35" s="228">
        <v>45</v>
      </c>
      <c r="BO35" s="228">
        <v>131</v>
      </c>
      <c r="BP35" s="229">
        <v>2.8904999999999998</v>
      </c>
      <c r="BQ35" s="228">
        <v>737</v>
      </c>
      <c r="BR35" s="228">
        <v>230</v>
      </c>
      <c r="BS35" s="228">
        <v>508</v>
      </c>
      <c r="BT35" s="229">
        <v>2.2097000000000002</v>
      </c>
      <c r="BU35" s="230">
        <v>772287</v>
      </c>
      <c r="BV35" s="230">
        <v>402328</v>
      </c>
      <c r="BW35" s="230">
        <v>369959</v>
      </c>
      <c r="BX35" s="229">
        <v>0.91949999999999998</v>
      </c>
      <c r="BY35" s="228">
        <v>459</v>
      </c>
      <c r="BZ35" s="228">
        <v>458</v>
      </c>
      <c r="CA35" s="228">
        <v>0</v>
      </c>
      <c r="CB35" s="229">
        <v>5.0000000000000001E-4</v>
      </c>
      <c r="CC35" s="228">
        <v>438</v>
      </c>
      <c r="CD35" s="228">
        <v>454</v>
      </c>
      <c r="CE35" s="228">
        <v>-16</v>
      </c>
      <c r="CF35" s="229">
        <v>-3.4299999999999997E-2</v>
      </c>
      <c r="CG35" s="228">
        <v>21</v>
      </c>
      <c r="CH35" s="228">
        <v>5</v>
      </c>
      <c r="CI35" s="228">
        <v>16</v>
      </c>
      <c r="CJ35" s="229">
        <v>3.2469000000000001</v>
      </c>
      <c r="CK35" s="228">
        <v>0</v>
      </c>
      <c r="CL35" s="228">
        <v>0</v>
      </c>
      <c r="CM35" s="228">
        <v>0</v>
      </c>
      <c r="CN35" s="229">
        <v>0</v>
      </c>
      <c r="CO35" s="228">
        <v>112</v>
      </c>
      <c r="CP35" s="228">
        <v>87</v>
      </c>
      <c r="CQ35" s="228">
        <v>25</v>
      </c>
      <c r="CR35" s="229">
        <v>0.28899999999999998</v>
      </c>
      <c r="CS35" s="228">
        <v>85</v>
      </c>
      <c r="CT35" s="228">
        <v>67</v>
      </c>
      <c r="CU35" s="228">
        <v>18</v>
      </c>
      <c r="CV35" s="229">
        <v>0.2616</v>
      </c>
      <c r="CW35" s="228">
        <v>656</v>
      </c>
      <c r="CX35" s="228">
        <v>613</v>
      </c>
      <c r="CY35" s="228">
        <v>43</v>
      </c>
      <c r="CZ35" s="229">
        <v>7.0199999999999999E-2</v>
      </c>
      <c r="DA35" s="228">
        <v>24.58</v>
      </c>
      <c r="DB35" s="228">
        <v>25.13</v>
      </c>
      <c r="DC35" s="228">
        <v>-0.55000000000000004</v>
      </c>
      <c r="DD35" s="228">
        <v>-0.55000000000000004</v>
      </c>
      <c r="DE35" s="228">
        <v>39.51</v>
      </c>
      <c r="DF35" s="228">
        <v>39.58</v>
      </c>
      <c r="DG35" s="228">
        <v>-14.93</v>
      </c>
      <c r="DH35" s="228">
        <v>-7.0000000000000007E-2</v>
      </c>
      <c r="DI35" s="228">
        <v>24.52</v>
      </c>
      <c r="DJ35" s="228">
        <v>25.16</v>
      </c>
      <c r="DK35" s="228">
        <v>-0.64</v>
      </c>
      <c r="DL35" s="228">
        <v>-0.64</v>
      </c>
      <c r="DM35" s="228">
        <v>24.71</v>
      </c>
      <c r="DN35" s="228">
        <v>25.09</v>
      </c>
      <c r="DO35" s="228">
        <v>-0.38</v>
      </c>
      <c r="DP35" s="228">
        <v>-0.38</v>
      </c>
      <c r="DQ35" s="228">
        <v>0.76</v>
      </c>
      <c r="DR35" s="228">
        <v>0.78</v>
      </c>
      <c r="DS35" s="228">
        <v>-0.02</v>
      </c>
      <c r="DT35" s="229">
        <v>-2.5600000000000001E-2</v>
      </c>
      <c r="DU35" s="231">
        <v>1900</v>
      </c>
      <c r="DV35" s="231">
        <v>1700</v>
      </c>
      <c r="DW35" s="228">
        <v>0.49</v>
      </c>
      <c r="DX35" s="228">
        <v>0.55000000000000004</v>
      </c>
      <c r="DY35" s="228">
        <v>-0.06</v>
      </c>
      <c r="DZ35" s="229">
        <v>-0.1091</v>
      </c>
      <c r="EA35" s="229">
        <v>4.4999999999999998E-2</v>
      </c>
      <c r="EB35" s="230">
        <v>26325</v>
      </c>
      <c r="EC35" s="229">
        <v>2.0999999999999999E-3</v>
      </c>
      <c r="ED35" s="229">
        <v>4.4999999999999998E-2</v>
      </c>
      <c r="EE35" s="228">
        <v>-0.43</v>
      </c>
      <c r="EF35" s="229">
        <v>-2.0000000000000001E-4</v>
      </c>
      <c r="EG35" s="230">
        <v>379155</v>
      </c>
      <c r="EH35" s="230">
        <v>250978</v>
      </c>
      <c r="EI35" s="229">
        <v>0.51070000000000004</v>
      </c>
      <c r="EJ35" s="229">
        <v>0.49099999999999999</v>
      </c>
      <c r="EK35" s="228">
        <v>367.54</v>
      </c>
      <c r="EL35" s="228">
        <v>175.6</v>
      </c>
      <c r="EM35" s="228">
        <v>198.37</v>
      </c>
      <c r="EN35" s="228">
        <v>19.940000000000001</v>
      </c>
      <c r="EO35" s="228">
        <v>741.51</v>
      </c>
      <c r="EP35" s="228">
        <v>230.76</v>
      </c>
      <c r="EQ35" s="228">
        <v>510.75</v>
      </c>
      <c r="ER35" s="229">
        <v>2.2132999999999998</v>
      </c>
      <c r="ES35" s="228">
        <v>114.02</v>
      </c>
      <c r="ET35" s="228">
        <v>80.19</v>
      </c>
      <c r="EU35" s="228">
        <v>458.78</v>
      </c>
      <c r="EV35" s="231">
        <v>17213286</v>
      </c>
      <c r="EW35" s="228">
        <v>652.99</v>
      </c>
      <c r="EX35" s="228">
        <v>604.96</v>
      </c>
      <c r="EY35" s="228">
        <v>48.03</v>
      </c>
      <c r="EZ35" s="229">
        <v>7.9399999999999998E-2</v>
      </c>
      <c r="FA35" s="229">
        <v>0.2064</v>
      </c>
      <c r="FB35" s="227" t="s">
        <v>555</v>
      </c>
      <c r="FC35">
        <f t="shared" si="0"/>
        <v>21</v>
      </c>
    </row>
    <row r="36" spans="1:159" ht="17.25" thickBot="1" x14ac:dyDescent="0.3">
      <c r="A36" s="226">
        <v>46029</v>
      </c>
      <c r="B36" s="227" t="s">
        <v>162</v>
      </c>
      <c r="C36" s="227" t="s">
        <v>192</v>
      </c>
      <c r="D36" s="228">
        <v>25</v>
      </c>
      <c r="E36" s="228">
        <v>20</v>
      </c>
      <c r="F36" s="231">
        <v>39340</v>
      </c>
      <c r="G36" s="231">
        <v>39060</v>
      </c>
      <c r="H36" s="228">
        <v>280</v>
      </c>
      <c r="I36" s="229">
        <v>7.1999999999999998E-3</v>
      </c>
      <c r="J36" s="231">
        <v>39145</v>
      </c>
      <c r="K36" s="231">
        <v>38960</v>
      </c>
      <c r="L36" s="228">
        <v>185</v>
      </c>
      <c r="M36" s="229">
        <v>4.7000000000000002E-3</v>
      </c>
      <c r="N36" s="231">
        <v>39340</v>
      </c>
      <c r="O36" s="231">
        <v>39060</v>
      </c>
      <c r="P36" s="228">
        <v>280</v>
      </c>
      <c r="Q36" s="229">
        <v>7.1999999999999998E-3</v>
      </c>
      <c r="R36" s="231">
        <v>39410</v>
      </c>
      <c r="S36" s="231">
        <v>39135</v>
      </c>
      <c r="T36" s="228">
        <v>275</v>
      </c>
      <c r="U36" s="229">
        <v>7.0000000000000001E-3</v>
      </c>
      <c r="V36" s="231">
        <v>39530</v>
      </c>
      <c r="W36" s="231">
        <v>39300</v>
      </c>
      <c r="X36" s="228">
        <v>230</v>
      </c>
      <c r="Y36" s="229">
        <v>5.8999999999999999E-3</v>
      </c>
      <c r="Z36" s="228">
        <v>195</v>
      </c>
      <c r="AA36" s="228">
        <v>100</v>
      </c>
      <c r="AB36" s="228">
        <v>95</v>
      </c>
      <c r="AC36" s="229">
        <v>5.0000000000000001E-3</v>
      </c>
      <c r="AD36" s="228">
        <v>195</v>
      </c>
      <c r="AE36" s="228">
        <v>100</v>
      </c>
      <c r="AF36" s="228">
        <v>95</v>
      </c>
      <c r="AG36" s="229">
        <v>5.0000000000000001E-3</v>
      </c>
      <c r="AH36" s="228">
        <v>265</v>
      </c>
      <c r="AI36" s="228">
        <v>175</v>
      </c>
      <c r="AJ36" s="228">
        <v>90</v>
      </c>
      <c r="AK36" s="229">
        <v>6.7999999999999996E-3</v>
      </c>
      <c r="AL36" s="228">
        <v>385</v>
      </c>
      <c r="AM36" s="228">
        <v>340</v>
      </c>
      <c r="AN36" s="228">
        <v>45</v>
      </c>
      <c r="AO36" s="229">
        <v>9.7999999999999997E-3</v>
      </c>
      <c r="AP36" s="231">
        <v>38936.54</v>
      </c>
      <c r="AQ36" s="231">
        <v>38959.589999999997</v>
      </c>
      <c r="AR36" s="228">
        <v>0</v>
      </c>
      <c r="AS36" s="228">
        <v>253</v>
      </c>
      <c r="AT36" s="228">
        <v>185</v>
      </c>
      <c r="AU36" s="228">
        <v>68</v>
      </c>
      <c r="AV36" s="229">
        <v>0.36969999999999997</v>
      </c>
      <c r="AW36" s="228">
        <v>243</v>
      </c>
      <c r="AX36" s="228">
        <v>175</v>
      </c>
      <c r="AY36" s="228">
        <v>68</v>
      </c>
      <c r="AZ36" s="229">
        <v>0.39019999999999999</v>
      </c>
      <c r="BA36" s="228">
        <v>10</v>
      </c>
      <c r="BB36" s="228">
        <v>8</v>
      </c>
      <c r="BC36" s="228">
        <v>2</v>
      </c>
      <c r="BD36" s="229">
        <v>0.22500000000000001</v>
      </c>
      <c r="BE36" s="228">
        <v>0</v>
      </c>
      <c r="BF36" s="228">
        <v>2</v>
      </c>
      <c r="BG36" s="228">
        <v>-2</v>
      </c>
      <c r="BH36" s="229">
        <v>-0.8095</v>
      </c>
      <c r="BI36" s="230">
        <v>2249</v>
      </c>
      <c r="BJ36" s="230">
        <v>1477</v>
      </c>
      <c r="BK36" s="228">
        <v>772</v>
      </c>
      <c r="BL36" s="229">
        <v>0.52239999999999998</v>
      </c>
      <c r="BM36" s="230">
        <v>1991</v>
      </c>
      <c r="BN36" s="228">
        <v>785</v>
      </c>
      <c r="BO36" s="230">
        <v>1206</v>
      </c>
      <c r="BP36" s="229">
        <v>1.5359</v>
      </c>
      <c r="BQ36" s="230">
        <v>4493</v>
      </c>
      <c r="BR36" s="230">
        <v>2447</v>
      </c>
      <c r="BS36" s="230">
        <v>2046</v>
      </c>
      <c r="BT36" s="229">
        <v>0.83599999999999997</v>
      </c>
      <c r="BU36" s="230">
        <v>40601</v>
      </c>
      <c r="BV36" s="230">
        <v>33569</v>
      </c>
      <c r="BW36" s="230">
        <v>7032</v>
      </c>
      <c r="BX36" s="229">
        <v>0.20949999999999999</v>
      </c>
      <c r="BY36" s="228">
        <v>777</v>
      </c>
      <c r="BZ36" s="228">
        <v>752</v>
      </c>
      <c r="CA36" s="228">
        <v>25</v>
      </c>
      <c r="CB36" s="229">
        <v>3.3099999999999997E-2</v>
      </c>
      <c r="CC36" s="228">
        <v>759</v>
      </c>
      <c r="CD36" s="228">
        <v>736</v>
      </c>
      <c r="CE36" s="228">
        <v>23</v>
      </c>
      <c r="CF36" s="229">
        <v>3.1699999999999999E-2</v>
      </c>
      <c r="CG36" s="228">
        <v>16</v>
      </c>
      <c r="CH36" s="228">
        <v>14</v>
      </c>
      <c r="CI36" s="228">
        <v>1</v>
      </c>
      <c r="CJ36" s="229">
        <v>0.1027</v>
      </c>
      <c r="CK36" s="228">
        <v>2</v>
      </c>
      <c r="CL36" s="228">
        <v>2</v>
      </c>
      <c r="CM36" s="228">
        <v>0</v>
      </c>
      <c r="CN36" s="229">
        <v>4.7600000000000003E-2</v>
      </c>
      <c r="CO36" s="228">
        <v>957</v>
      </c>
      <c r="CP36" s="228">
        <v>965</v>
      </c>
      <c r="CQ36" s="228">
        <v>-8</v>
      </c>
      <c r="CR36" s="229">
        <v>-8.6999999999999994E-3</v>
      </c>
      <c r="CS36" s="228">
        <v>689</v>
      </c>
      <c r="CT36" s="228">
        <v>723</v>
      </c>
      <c r="CU36" s="228">
        <v>-34</v>
      </c>
      <c r="CV36" s="229">
        <v>-4.7199999999999999E-2</v>
      </c>
      <c r="CW36" s="230">
        <v>2423</v>
      </c>
      <c r="CX36" s="230">
        <v>2440</v>
      </c>
      <c r="CY36" s="228">
        <v>-18</v>
      </c>
      <c r="CZ36" s="229">
        <v>-7.1999999999999998E-3</v>
      </c>
      <c r="DA36" s="228">
        <v>26.73</v>
      </c>
      <c r="DB36" s="228">
        <v>26.51</v>
      </c>
      <c r="DC36" s="228">
        <v>0.22</v>
      </c>
      <c r="DD36" s="228">
        <v>0.22</v>
      </c>
      <c r="DE36" s="228">
        <v>29.22</v>
      </c>
      <c r="DF36" s="228">
        <v>29.28</v>
      </c>
      <c r="DG36" s="228">
        <v>-2.4900000000000002</v>
      </c>
      <c r="DH36" s="228">
        <v>-0.06</v>
      </c>
      <c r="DI36" s="228">
        <v>26.36</v>
      </c>
      <c r="DJ36" s="228">
        <v>26.73</v>
      </c>
      <c r="DK36" s="228">
        <v>-0.37</v>
      </c>
      <c r="DL36" s="228">
        <v>-0.37</v>
      </c>
      <c r="DM36" s="228">
        <v>27.15</v>
      </c>
      <c r="DN36" s="228">
        <v>26.11</v>
      </c>
      <c r="DO36" s="228">
        <v>1.04</v>
      </c>
      <c r="DP36" s="228">
        <v>1.04</v>
      </c>
      <c r="DQ36" s="228">
        <v>0.72</v>
      </c>
      <c r="DR36" s="228">
        <v>0.75</v>
      </c>
      <c r="DS36" s="228">
        <v>-0.03</v>
      </c>
      <c r="DT36" s="229">
        <v>-0.04</v>
      </c>
      <c r="DU36" s="231">
        <v>43000</v>
      </c>
      <c r="DV36" s="231">
        <v>35000</v>
      </c>
      <c r="DW36" s="228">
        <v>0.88</v>
      </c>
      <c r="DX36" s="228">
        <v>0.53</v>
      </c>
      <c r="DY36" s="228">
        <v>0.35</v>
      </c>
      <c r="DZ36" s="229">
        <v>0.66039999999999999</v>
      </c>
      <c r="EA36" s="229">
        <v>2.3199999999999998E-2</v>
      </c>
      <c r="EB36" s="230">
        <v>4175</v>
      </c>
      <c r="EC36" s="229">
        <v>1.8E-3</v>
      </c>
      <c r="ED36" s="229">
        <v>2.3199999999999998E-2</v>
      </c>
      <c r="EE36" s="228">
        <v>23.05</v>
      </c>
      <c r="EF36" s="229">
        <v>5.9999999999999995E-4</v>
      </c>
      <c r="EG36" s="230">
        <v>13154</v>
      </c>
      <c r="EH36" s="230">
        <v>14789</v>
      </c>
      <c r="EI36" s="229">
        <v>-0.1106</v>
      </c>
      <c r="EJ36" s="229">
        <v>0.32400000000000001</v>
      </c>
      <c r="EK36" s="231">
        <v>2386.98</v>
      </c>
      <c r="EL36" s="231">
        <v>1864.41</v>
      </c>
      <c r="EM36" s="228">
        <v>250.28</v>
      </c>
      <c r="EN36" s="228">
        <v>32.450000000000003</v>
      </c>
      <c r="EO36" s="231">
        <v>4501.66</v>
      </c>
      <c r="EP36" s="231">
        <v>2508.29</v>
      </c>
      <c r="EQ36" s="231">
        <v>1993.37</v>
      </c>
      <c r="ER36" s="229">
        <v>0.79469999999999996</v>
      </c>
      <c r="ES36" s="231">
        <v>1001.74</v>
      </c>
      <c r="ET36" s="228">
        <v>640.42999999999995</v>
      </c>
      <c r="EU36" s="228">
        <v>777</v>
      </c>
      <c r="EV36" s="231">
        <v>882048</v>
      </c>
      <c r="EW36" s="231">
        <v>2419.17</v>
      </c>
      <c r="EX36" s="231">
        <v>2429.4899999999998</v>
      </c>
      <c r="EY36" s="228">
        <v>-10.32</v>
      </c>
      <c r="EZ36" s="229">
        <v>-4.1999999999999997E-3</v>
      </c>
      <c r="FA36" s="229">
        <v>0.69820000000000004</v>
      </c>
      <c r="FB36" s="227" t="s">
        <v>555</v>
      </c>
      <c r="FC36">
        <f t="shared" si="0"/>
        <v>18</v>
      </c>
    </row>
    <row r="37" spans="1:159" ht="17.25" thickBot="1" x14ac:dyDescent="0.3">
      <c r="A37" s="226">
        <v>46029</v>
      </c>
      <c r="B37" s="227" t="s">
        <v>193</v>
      </c>
      <c r="C37" s="227" t="s">
        <v>194</v>
      </c>
      <c r="D37" s="228">
        <v>1975</v>
      </c>
      <c r="E37" s="228">
        <v>20</v>
      </c>
      <c r="F37" s="228">
        <v>369</v>
      </c>
      <c r="G37" s="228">
        <v>372.2</v>
      </c>
      <c r="H37" s="228">
        <v>-3.2</v>
      </c>
      <c r="I37" s="229">
        <v>-8.6E-3</v>
      </c>
      <c r="J37" s="228">
        <v>368.2</v>
      </c>
      <c r="K37" s="228">
        <v>370.8</v>
      </c>
      <c r="L37" s="228">
        <v>-2.6</v>
      </c>
      <c r="M37" s="229">
        <v>-7.0000000000000001E-3</v>
      </c>
      <c r="N37" s="228">
        <v>369</v>
      </c>
      <c r="O37" s="228">
        <v>372.2</v>
      </c>
      <c r="P37" s="228">
        <v>-3.2</v>
      </c>
      <c r="Q37" s="229">
        <v>-8.6E-3</v>
      </c>
      <c r="R37" s="228">
        <v>369.6</v>
      </c>
      <c r="S37" s="228">
        <v>372.65</v>
      </c>
      <c r="T37" s="228">
        <v>-3.05</v>
      </c>
      <c r="U37" s="229">
        <v>-8.2000000000000007E-3</v>
      </c>
      <c r="V37" s="228">
        <v>370.4</v>
      </c>
      <c r="W37" s="228">
        <v>373.55</v>
      </c>
      <c r="X37" s="228">
        <v>-3.15</v>
      </c>
      <c r="Y37" s="229">
        <v>-8.3999999999999995E-3</v>
      </c>
      <c r="Z37" s="228">
        <v>0.8</v>
      </c>
      <c r="AA37" s="228">
        <v>1.4</v>
      </c>
      <c r="AB37" s="228">
        <v>-0.6</v>
      </c>
      <c r="AC37" s="229">
        <v>2.2000000000000001E-3</v>
      </c>
      <c r="AD37" s="228">
        <v>0.8</v>
      </c>
      <c r="AE37" s="228">
        <v>1.4</v>
      </c>
      <c r="AF37" s="228">
        <v>-0.6</v>
      </c>
      <c r="AG37" s="229">
        <v>2.2000000000000001E-3</v>
      </c>
      <c r="AH37" s="228">
        <v>1.4</v>
      </c>
      <c r="AI37" s="228">
        <v>1.85</v>
      </c>
      <c r="AJ37" s="228">
        <v>-0.45</v>
      </c>
      <c r="AK37" s="229">
        <v>3.8E-3</v>
      </c>
      <c r="AL37" s="228">
        <v>2.2000000000000002</v>
      </c>
      <c r="AM37" s="228">
        <v>2.75</v>
      </c>
      <c r="AN37" s="228">
        <v>-0.55000000000000004</v>
      </c>
      <c r="AO37" s="229">
        <v>6.0000000000000001E-3</v>
      </c>
      <c r="AP37" s="228">
        <v>370.51</v>
      </c>
      <c r="AQ37" s="228">
        <v>370.93</v>
      </c>
      <c r="AR37" s="228">
        <v>0</v>
      </c>
      <c r="AS37" s="228">
        <v>135</v>
      </c>
      <c r="AT37" s="228">
        <v>385</v>
      </c>
      <c r="AU37" s="228">
        <v>-250</v>
      </c>
      <c r="AV37" s="229">
        <v>-0.64970000000000006</v>
      </c>
      <c r="AW37" s="228">
        <v>125</v>
      </c>
      <c r="AX37" s="228">
        <v>348</v>
      </c>
      <c r="AY37" s="228">
        <v>-223</v>
      </c>
      <c r="AZ37" s="229">
        <v>-0.64190000000000003</v>
      </c>
      <c r="BA37" s="228">
        <v>7</v>
      </c>
      <c r="BB37" s="228">
        <v>32</v>
      </c>
      <c r="BC37" s="228">
        <v>-25</v>
      </c>
      <c r="BD37" s="229">
        <v>-0.78100000000000003</v>
      </c>
      <c r="BE37" s="228">
        <v>3</v>
      </c>
      <c r="BF37" s="228">
        <v>5</v>
      </c>
      <c r="BG37" s="228">
        <v>-1</v>
      </c>
      <c r="BH37" s="229">
        <v>-0.3175</v>
      </c>
      <c r="BI37" s="228">
        <v>417</v>
      </c>
      <c r="BJ37" s="230">
        <v>1195</v>
      </c>
      <c r="BK37" s="228">
        <v>-778</v>
      </c>
      <c r="BL37" s="229">
        <v>-0.65100000000000002</v>
      </c>
      <c r="BM37" s="228">
        <v>241</v>
      </c>
      <c r="BN37" s="228">
        <v>842</v>
      </c>
      <c r="BO37" s="228">
        <v>-601</v>
      </c>
      <c r="BP37" s="229">
        <v>-0.71419999999999995</v>
      </c>
      <c r="BQ37" s="228">
        <v>792</v>
      </c>
      <c r="BR37" s="230">
        <v>2421</v>
      </c>
      <c r="BS37" s="230">
        <v>-1629</v>
      </c>
      <c r="BT37" s="229">
        <v>-0.67279999999999995</v>
      </c>
      <c r="BU37" s="230">
        <v>6768964</v>
      </c>
      <c r="BV37" s="230">
        <v>7210284</v>
      </c>
      <c r="BW37" s="230">
        <v>-441320</v>
      </c>
      <c r="BX37" s="229">
        <v>-6.1199999999999997E-2</v>
      </c>
      <c r="BY37" s="230">
        <v>1098</v>
      </c>
      <c r="BZ37" s="230">
        <v>1092</v>
      </c>
      <c r="CA37" s="228">
        <v>6</v>
      </c>
      <c r="CB37" s="229">
        <v>5.5999999999999999E-3</v>
      </c>
      <c r="CC37" s="230">
        <v>1038</v>
      </c>
      <c r="CD37" s="230">
        <v>1035</v>
      </c>
      <c r="CE37" s="228">
        <v>2</v>
      </c>
      <c r="CF37" s="229">
        <v>2.3E-3</v>
      </c>
      <c r="CG37" s="228">
        <v>54</v>
      </c>
      <c r="CH37" s="228">
        <v>52</v>
      </c>
      <c r="CI37" s="228">
        <v>2</v>
      </c>
      <c r="CJ37" s="229">
        <v>3.5200000000000002E-2</v>
      </c>
      <c r="CK37" s="228">
        <v>7</v>
      </c>
      <c r="CL37" s="228">
        <v>5</v>
      </c>
      <c r="CM37" s="228">
        <v>2</v>
      </c>
      <c r="CN37" s="229">
        <v>0.38030000000000003</v>
      </c>
      <c r="CO37" s="228">
        <v>577</v>
      </c>
      <c r="CP37" s="228">
        <v>537</v>
      </c>
      <c r="CQ37" s="228">
        <v>40</v>
      </c>
      <c r="CR37" s="229">
        <v>7.3700000000000002E-2</v>
      </c>
      <c r="CS37" s="228">
        <v>348</v>
      </c>
      <c r="CT37" s="228">
        <v>328</v>
      </c>
      <c r="CU37" s="228">
        <v>20</v>
      </c>
      <c r="CV37" s="229">
        <v>6.0400000000000002E-2</v>
      </c>
      <c r="CW37" s="230">
        <v>2023</v>
      </c>
      <c r="CX37" s="230">
        <v>1958</v>
      </c>
      <c r="CY37" s="228">
        <v>66</v>
      </c>
      <c r="CZ37" s="229">
        <v>3.3500000000000002E-2</v>
      </c>
      <c r="DA37" s="228">
        <v>28.18</v>
      </c>
      <c r="DB37" s="228">
        <v>28.11</v>
      </c>
      <c r="DC37" s="228">
        <v>7.0000000000000007E-2</v>
      </c>
      <c r="DD37" s="228">
        <v>7.0000000000000007E-2</v>
      </c>
      <c r="DE37" s="228">
        <v>32.159999999999997</v>
      </c>
      <c r="DF37" s="228">
        <v>32.22</v>
      </c>
      <c r="DG37" s="228">
        <v>-3.98</v>
      </c>
      <c r="DH37" s="228">
        <v>-0.06</v>
      </c>
      <c r="DI37" s="228">
        <v>28.36</v>
      </c>
      <c r="DJ37" s="228">
        <v>27.96</v>
      </c>
      <c r="DK37" s="228">
        <v>0.4</v>
      </c>
      <c r="DL37" s="228">
        <v>0.4</v>
      </c>
      <c r="DM37" s="228">
        <v>27.85</v>
      </c>
      <c r="DN37" s="228">
        <v>28.33</v>
      </c>
      <c r="DO37" s="228">
        <v>-0.48</v>
      </c>
      <c r="DP37" s="228">
        <v>-0.48</v>
      </c>
      <c r="DQ37" s="228">
        <v>0.6</v>
      </c>
      <c r="DR37" s="228">
        <v>0.61</v>
      </c>
      <c r="DS37" s="228">
        <v>-0.01</v>
      </c>
      <c r="DT37" s="229">
        <v>-1.6400000000000001E-2</v>
      </c>
      <c r="DU37" s="228">
        <v>380</v>
      </c>
      <c r="DV37" s="228">
        <v>330</v>
      </c>
      <c r="DW37" s="228">
        <v>0.57999999999999996</v>
      </c>
      <c r="DX37" s="228">
        <v>0.7</v>
      </c>
      <c r="DY37" s="228">
        <v>-0.12</v>
      </c>
      <c r="DZ37" s="229">
        <v>-0.1714</v>
      </c>
      <c r="EA37" s="229">
        <v>5.5300000000000002E-2</v>
      </c>
      <c r="EB37" s="230">
        <v>1542475</v>
      </c>
      <c r="EC37" s="229">
        <v>1.6000000000000001E-3</v>
      </c>
      <c r="ED37" s="229">
        <v>5.5300000000000002E-2</v>
      </c>
      <c r="EE37" s="228">
        <v>0.42</v>
      </c>
      <c r="EF37" s="229">
        <v>1.1000000000000001E-3</v>
      </c>
      <c r="EG37" s="230">
        <v>4198278</v>
      </c>
      <c r="EH37" s="230">
        <v>2773543</v>
      </c>
      <c r="EI37" s="229">
        <v>0.51370000000000005</v>
      </c>
      <c r="EJ37" s="229">
        <v>0.62019999999999997</v>
      </c>
      <c r="EK37" s="228">
        <v>439.67</v>
      </c>
      <c r="EL37" s="228">
        <v>240.54</v>
      </c>
      <c r="EM37" s="228">
        <v>135.31</v>
      </c>
      <c r="EN37" s="228">
        <v>44.08</v>
      </c>
      <c r="EO37" s="228">
        <v>815.52</v>
      </c>
      <c r="EP37" s="231">
        <v>2490.7600000000002</v>
      </c>
      <c r="EQ37" s="231">
        <v>-1675.24</v>
      </c>
      <c r="ER37" s="229">
        <v>-0.67259999999999998</v>
      </c>
      <c r="ES37" s="228">
        <v>607.77</v>
      </c>
      <c r="ET37" s="228">
        <v>339.41</v>
      </c>
      <c r="EU37" s="231">
        <v>1098.3800000000001</v>
      </c>
      <c r="EV37" s="231">
        <v>306020745</v>
      </c>
      <c r="EW37" s="231">
        <v>2045.55</v>
      </c>
      <c r="EX37" s="231">
        <v>1988.69</v>
      </c>
      <c r="EY37" s="228">
        <v>56.86</v>
      </c>
      <c r="EZ37" s="229">
        <v>2.86E-2</v>
      </c>
      <c r="FA37" s="229">
        <v>0.1792</v>
      </c>
      <c r="FB37" s="227" t="s">
        <v>567</v>
      </c>
      <c r="FC37">
        <f t="shared" si="0"/>
        <v>60</v>
      </c>
    </row>
    <row r="38" spans="1:159" ht="17.25" thickBot="1" x14ac:dyDescent="0.3">
      <c r="A38" s="226">
        <v>46029</v>
      </c>
      <c r="B38" s="227" t="s">
        <v>168</v>
      </c>
      <c r="C38" s="227" t="s">
        <v>195</v>
      </c>
      <c r="D38" s="228">
        <v>125</v>
      </c>
      <c r="E38" s="228">
        <v>20</v>
      </c>
      <c r="F38" s="231">
        <v>6199</v>
      </c>
      <c r="G38" s="231">
        <v>6161.5</v>
      </c>
      <c r="H38" s="228">
        <v>37.5</v>
      </c>
      <c r="I38" s="229">
        <v>6.1000000000000004E-3</v>
      </c>
      <c r="J38" s="231">
        <v>6185</v>
      </c>
      <c r="K38" s="231">
        <v>6129.5</v>
      </c>
      <c r="L38" s="228">
        <v>55.5</v>
      </c>
      <c r="M38" s="229">
        <v>9.1000000000000004E-3</v>
      </c>
      <c r="N38" s="231">
        <v>6199</v>
      </c>
      <c r="O38" s="231">
        <v>6161.5</v>
      </c>
      <c r="P38" s="228">
        <v>37.5</v>
      </c>
      <c r="Q38" s="229">
        <v>6.1000000000000004E-3</v>
      </c>
      <c r="R38" s="231">
        <v>6233</v>
      </c>
      <c r="S38" s="231">
        <v>6195.5</v>
      </c>
      <c r="T38" s="228">
        <v>37.5</v>
      </c>
      <c r="U38" s="229">
        <v>6.1000000000000004E-3</v>
      </c>
      <c r="V38" s="231">
        <v>6269</v>
      </c>
      <c r="W38" s="231">
        <v>6234</v>
      </c>
      <c r="X38" s="228">
        <v>35</v>
      </c>
      <c r="Y38" s="229">
        <v>5.5999999999999999E-3</v>
      </c>
      <c r="Z38" s="228">
        <v>14</v>
      </c>
      <c r="AA38" s="228">
        <v>32</v>
      </c>
      <c r="AB38" s="228">
        <v>-18</v>
      </c>
      <c r="AC38" s="229">
        <v>2.3E-3</v>
      </c>
      <c r="AD38" s="228">
        <v>14</v>
      </c>
      <c r="AE38" s="228">
        <v>32</v>
      </c>
      <c r="AF38" s="228">
        <v>-18</v>
      </c>
      <c r="AG38" s="229">
        <v>2.3E-3</v>
      </c>
      <c r="AH38" s="228">
        <v>48</v>
      </c>
      <c r="AI38" s="228">
        <v>66</v>
      </c>
      <c r="AJ38" s="228">
        <v>-18</v>
      </c>
      <c r="AK38" s="229">
        <v>7.7999999999999996E-3</v>
      </c>
      <c r="AL38" s="228">
        <v>84</v>
      </c>
      <c r="AM38" s="228">
        <v>104.5</v>
      </c>
      <c r="AN38" s="228">
        <v>-20.5</v>
      </c>
      <c r="AO38" s="229">
        <v>1.3599999999999999E-2</v>
      </c>
      <c r="AP38" s="231">
        <v>6233.4</v>
      </c>
      <c r="AQ38" s="231">
        <v>6271.45</v>
      </c>
      <c r="AR38" s="228">
        <v>0</v>
      </c>
      <c r="AS38" s="228">
        <v>339</v>
      </c>
      <c r="AT38" s="228">
        <v>496</v>
      </c>
      <c r="AU38" s="228">
        <v>-157</v>
      </c>
      <c r="AV38" s="229">
        <v>-0.317</v>
      </c>
      <c r="AW38" s="228">
        <v>327</v>
      </c>
      <c r="AX38" s="228">
        <v>483</v>
      </c>
      <c r="AY38" s="228">
        <v>-156</v>
      </c>
      <c r="AZ38" s="229">
        <v>-0.32240000000000002</v>
      </c>
      <c r="BA38" s="228">
        <v>11</v>
      </c>
      <c r="BB38" s="228">
        <v>13</v>
      </c>
      <c r="BC38" s="228">
        <v>-2</v>
      </c>
      <c r="BD38" s="229">
        <v>-0.1205</v>
      </c>
      <c r="BE38" s="228">
        <v>1</v>
      </c>
      <c r="BF38" s="228">
        <v>1</v>
      </c>
      <c r="BG38" s="228">
        <v>0</v>
      </c>
      <c r="BH38" s="229">
        <v>-0.25</v>
      </c>
      <c r="BI38" s="230">
        <v>1890</v>
      </c>
      <c r="BJ38" s="230">
        <v>1552</v>
      </c>
      <c r="BK38" s="228">
        <v>338</v>
      </c>
      <c r="BL38" s="229">
        <v>0.21790000000000001</v>
      </c>
      <c r="BM38" s="228">
        <v>700</v>
      </c>
      <c r="BN38" s="228">
        <v>565</v>
      </c>
      <c r="BO38" s="228">
        <v>136</v>
      </c>
      <c r="BP38" s="229">
        <v>0.2404</v>
      </c>
      <c r="BQ38" s="230">
        <v>2930</v>
      </c>
      <c r="BR38" s="230">
        <v>2613</v>
      </c>
      <c r="BS38" s="228">
        <v>317</v>
      </c>
      <c r="BT38" s="229">
        <v>0.1211</v>
      </c>
      <c r="BU38" s="230">
        <v>444490</v>
      </c>
      <c r="BV38" s="230">
        <v>306371</v>
      </c>
      <c r="BW38" s="230">
        <v>138119</v>
      </c>
      <c r="BX38" s="229">
        <v>0.45079999999999998</v>
      </c>
      <c r="BY38" s="230">
        <v>1864</v>
      </c>
      <c r="BZ38" s="230">
        <v>1885</v>
      </c>
      <c r="CA38" s="228">
        <v>-20</v>
      </c>
      <c r="CB38" s="229">
        <v>-1.0800000000000001E-2</v>
      </c>
      <c r="CC38" s="230">
        <v>1853</v>
      </c>
      <c r="CD38" s="230">
        <v>1873</v>
      </c>
      <c r="CE38" s="228">
        <v>-20</v>
      </c>
      <c r="CF38" s="229">
        <v>-1.0699999999999999E-2</v>
      </c>
      <c r="CG38" s="228">
        <v>10</v>
      </c>
      <c r="CH38" s="228">
        <v>11</v>
      </c>
      <c r="CI38" s="228">
        <v>-1</v>
      </c>
      <c r="CJ38" s="229">
        <v>-8.6300000000000002E-2</v>
      </c>
      <c r="CK38" s="228">
        <v>2</v>
      </c>
      <c r="CL38" s="228">
        <v>1</v>
      </c>
      <c r="CM38" s="228">
        <v>1</v>
      </c>
      <c r="CN38" s="229">
        <v>0.4375</v>
      </c>
      <c r="CO38" s="228">
        <v>476</v>
      </c>
      <c r="CP38" s="228">
        <v>427</v>
      </c>
      <c r="CQ38" s="228">
        <v>50</v>
      </c>
      <c r="CR38" s="229">
        <v>0.11600000000000001</v>
      </c>
      <c r="CS38" s="228">
        <v>321</v>
      </c>
      <c r="CT38" s="228">
        <v>272</v>
      </c>
      <c r="CU38" s="228">
        <v>49</v>
      </c>
      <c r="CV38" s="229">
        <v>0.1807</v>
      </c>
      <c r="CW38" s="230">
        <v>2662</v>
      </c>
      <c r="CX38" s="230">
        <v>2583</v>
      </c>
      <c r="CY38" s="228">
        <v>78</v>
      </c>
      <c r="CZ38" s="229">
        <v>3.0300000000000001E-2</v>
      </c>
      <c r="DA38" s="228">
        <v>20.95</v>
      </c>
      <c r="DB38" s="228">
        <v>20.28</v>
      </c>
      <c r="DC38" s="228">
        <v>0.67</v>
      </c>
      <c r="DD38" s="228">
        <v>0.67</v>
      </c>
      <c r="DE38" s="228">
        <v>23.6</v>
      </c>
      <c r="DF38" s="228">
        <v>23.63</v>
      </c>
      <c r="DG38" s="228">
        <v>-2.65</v>
      </c>
      <c r="DH38" s="228">
        <v>-0.03</v>
      </c>
      <c r="DI38" s="228">
        <v>20.84</v>
      </c>
      <c r="DJ38" s="228">
        <v>20.010000000000002</v>
      </c>
      <c r="DK38" s="228">
        <v>0.83</v>
      </c>
      <c r="DL38" s="228">
        <v>0.83</v>
      </c>
      <c r="DM38" s="228">
        <v>21.27</v>
      </c>
      <c r="DN38" s="228">
        <v>21.02</v>
      </c>
      <c r="DO38" s="228">
        <v>0.25</v>
      </c>
      <c r="DP38" s="228">
        <v>0.25</v>
      </c>
      <c r="DQ38" s="228">
        <v>0.67</v>
      </c>
      <c r="DR38" s="228">
        <v>0.64</v>
      </c>
      <c r="DS38" s="228">
        <v>0.03</v>
      </c>
      <c r="DT38" s="229">
        <v>4.6899999999999997E-2</v>
      </c>
      <c r="DU38" s="231">
        <v>6300</v>
      </c>
      <c r="DV38" s="231">
        <v>6000</v>
      </c>
      <c r="DW38" s="228">
        <v>0.37</v>
      </c>
      <c r="DX38" s="228">
        <v>0.36</v>
      </c>
      <c r="DY38" s="228">
        <v>0.01</v>
      </c>
      <c r="DZ38" s="229">
        <v>2.7799999999999998E-2</v>
      </c>
      <c r="EA38" s="229">
        <v>6.1999999999999998E-3</v>
      </c>
      <c r="EB38" s="230">
        <v>19375</v>
      </c>
      <c r="EC38" s="229">
        <v>5.4999999999999997E-3</v>
      </c>
      <c r="ED38" s="229">
        <v>6.1999999999999998E-3</v>
      </c>
      <c r="EE38" s="228">
        <v>38.049999999999997</v>
      </c>
      <c r="EF38" s="229">
        <v>6.1000000000000004E-3</v>
      </c>
      <c r="EG38" s="230">
        <v>221403</v>
      </c>
      <c r="EH38" s="230">
        <v>159458</v>
      </c>
      <c r="EI38" s="229">
        <v>0.38850000000000001</v>
      </c>
      <c r="EJ38" s="229">
        <v>0.49809999999999999</v>
      </c>
      <c r="EK38" s="231">
        <v>1963.31</v>
      </c>
      <c r="EL38" s="228">
        <v>689.57</v>
      </c>
      <c r="EM38" s="228">
        <v>340.97</v>
      </c>
      <c r="EN38" s="228">
        <v>30.47</v>
      </c>
      <c r="EO38" s="231">
        <v>2993.85</v>
      </c>
      <c r="EP38" s="231">
        <v>2608.4299999999998</v>
      </c>
      <c r="EQ38" s="228">
        <v>385.42</v>
      </c>
      <c r="ER38" s="229">
        <v>0.14779999999999999</v>
      </c>
      <c r="ES38" s="228">
        <v>490.42</v>
      </c>
      <c r="ET38" s="228">
        <v>307.67</v>
      </c>
      <c r="EU38" s="231">
        <v>1864.5</v>
      </c>
      <c r="EV38" s="231">
        <v>16370935</v>
      </c>
      <c r="EW38" s="231">
        <v>2662.59</v>
      </c>
      <c r="EX38" s="231">
        <v>2568.5700000000002</v>
      </c>
      <c r="EY38" s="228">
        <v>94.02</v>
      </c>
      <c r="EZ38" s="229">
        <v>3.6600000000000001E-2</v>
      </c>
      <c r="FA38" s="229">
        <v>0.26229999999999998</v>
      </c>
      <c r="FB38" s="227" t="s">
        <v>556</v>
      </c>
      <c r="FC38">
        <f t="shared" si="0"/>
        <v>11</v>
      </c>
    </row>
    <row r="39" spans="1:159" ht="17.25" thickBot="1" x14ac:dyDescent="0.3">
      <c r="A39" s="226">
        <v>46029</v>
      </c>
      <c r="B39" s="227" t="s">
        <v>175</v>
      </c>
      <c r="C39" s="227" t="s">
        <v>584</v>
      </c>
      <c r="D39" s="228">
        <v>375</v>
      </c>
      <c r="E39" s="228">
        <v>20</v>
      </c>
      <c r="F39" s="231">
        <v>2757.3</v>
      </c>
      <c r="G39" s="231">
        <v>2716.6</v>
      </c>
      <c r="H39" s="228">
        <v>40.700000000000003</v>
      </c>
      <c r="I39" s="229">
        <v>1.4999999999999999E-2</v>
      </c>
      <c r="J39" s="231">
        <v>2744.9</v>
      </c>
      <c r="K39" s="231">
        <v>2706.3</v>
      </c>
      <c r="L39" s="228">
        <v>38.6</v>
      </c>
      <c r="M39" s="229">
        <v>1.43E-2</v>
      </c>
      <c r="N39" s="231">
        <v>2757.3</v>
      </c>
      <c r="O39" s="231">
        <v>2716.6</v>
      </c>
      <c r="P39" s="228">
        <v>40.700000000000003</v>
      </c>
      <c r="Q39" s="229">
        <v>1.4999999999999999E-2</v>
      </c>
      <c r="R39" s="231">
        <v>2773.2</v>
      </c>
      <c r="S39" s="231">
        <v>2731.7</v>
      </c>
      <c r="T39" s="228">
        <v>41.5</v>
      </c>
      <c r="U39" s="229">
        <v>1.52E-2</v>
      </c>
      <c r="V39" s="231">
        <v>2789.2</v>
      </c>
      <c r="W39" s="231">
        <v>2745.2</v>
      </c>
      <c r="X39" s="228">
        <v>44</v>
      </c>
      <c r="Y39" s="229">
        <v>1.6E-2</v>
      </c>
      <c r="Z39" s="228">
        <v>12.4</v>
      </c>
      <c r="AA39" s="228">
        <v>10.3</v>
      </c>
      <c r="AB39" s="228">
        <v>2.1</v>
      </c>
      <c r="AC39" s="229">
        <v>4.4999999999999997E-3</v>
      </c>
      <c r="AD39" s="228">
        <v>12.4</v>
      </c>
      <c r="AE39" s="228">
        <v>10.3</v>
      </c>
      <c r="AF39" s="228">
        <v>2.1</v>
      </c>
      <c r="AG39" s="229">
        <v>4.4999999999999997E-3</v>
      </c>
      <c r="AH39" s="228">
        <v>28.3</v>
      </c>
      <c r="AI39" s="228">
        <v>25.4</v>
      </c>
      <c r="AJ39" s="228">
        <v>2.9</v>
      </c>
      <c r="AK39" s="229">
        <v>1.03E-2</v>
      </c>
      <c r="AL39" s="228">
        <v>44.3</v>
      </c>
      <c r="AM39" s="228">
        <v>38.9</v>
      </c>
      <c r="AN39" s="228">
        <v>5.4</v>
      </c>
      <c r="AO39" s="229">
        <v>1.61E-2</v>
      </c>
      <c r="AP39" s="231">
        <v>2751.52</v>
      </c>
      <c r="AQ39" s="231">
        <v>2769.25</v>
      </c>
      <c r="AR39" s="228">
        <v>0</v>
      </c>
      <c r="AS39" s="228">
        <v>839</v>
      </c>
      <c r="AT39" s="228">
        <v>842</v>
      </c>
      <c r="AU39" s="228">
        <v>-2</v>
      </c>
      <c r="AV39" s="229">
        <v>-2.7000000000000001E-3</v>
      </c>
      <c r="AW39" s="228">
        <v>761</v>
      </c>
      <c r="AX39" s="228">
        <v>773</v>
      </c>
      <c r="AY39" s="228">
        <v>-12</v>
      </c>
      <c r="AZ39" s="229">
        <v>-1.5100000000000001E-2</v>
      </c>
      <c r="BA39" s="228">
        <v>57</v>
      </c>
      <c r="BB39" s="228">
        <v>55</v>
      </c>
      <c r="BC39" s="228">
        <v>2</v>
      </c>
      <c r="BD39" s="229">
        <v>3.95E-2</v>
      </c>
      <c r="BE39" s="228">
        <v>21</v>
      </c>
      <c r="BF39" s="228">
        <v>14</v>
      </c>
      <c r="BG39" s="228">
        <v>7</v>
      </c>
      <c r="BH39" s="229">
        <v>0.51470000000000005</v>
      </c>
      <c r="BI39" s="230">
        <v>3712</v>
      </c>
      <c r="BJ39" s="230">
        <v>3396</v>
      </c>
      <c r="BK39" s="228">
        <v>316</v>
      </c>
      <c r="BL39" s="229">
        <v>9.2999999999999999E-2</v>
      </c>
      <c r="BM39" s="230">
        <v>1902</v>
      </c>
      <c r="BN39" s="230">
        <v>1743</v>
      </c>
      <c r="BO39" s="228">
        <v>159</v>
      </c>
      <c r="BP39" s="229">
        <v>9.1200000000000003E-2</v>
      </c>
      <c r="BQ39" s="230">
        <v>6453</v>
      </c>
      <c r="BR39" s="230">
        <v>5981</v>
      </c>
      <c r="BS39" s="228">
        <v>472</v>
      </c>
      <c r="BT39" s="229">
        <v>7.9000000000000001E-2</v>
      </c>
      <c r="BU39" s="230">
        <v>2801518</v>
      </c>
      <c r="BV39" s="230">
        <v>3112131</v>
      </c>
      <c r="BW39" s="230">
        <v>-310613</v>
      </c>
      <c r="BX39" s="229">
        <v>-9.98E-2</v>
      </c>
      <c r="BY39" s="230">
        <v>3406</v>
      </c>
      <c r="BZ39" s="230">
        <v>3427</v>
      </c>
      <c r="CA39" s="228">
        <v>-20</v>
      </c>
      <c r="CB39" s="229">
        <v>-5.8999999999999999E-3</v>
      </c>
      <c r="CC39" s="230">
        <v>3250</v>
      </c>
      <c r="CD39" s="230">
        <v>3271</v>
      </c>
      <c r="CE39" s="228">
        <v>-22</v>
      </c>
      <c r="CF39" s="229">
        <v>-6.6E-3</v>
      </c>
      <c r="CG39" s="228">
        <v>146</v>
      </c>
      <c r="CH39" s="228">
        <v>143</v>
      </c>
      <c r="CI39" s="228">
        <v>3</v>
      </c>
      <c r="CJ39" s="229">
        <v>2.0899999999999998E-2</v>
      </c>
      <c r="CK39" s="228">
        <v>11</v>
      </c>
      <c r="CL39" s="228">
        <v>12</v>
      </c>
      <c r="CM39" s="228">
        <v>-2</v>
      </c>
      <c r="CN39" s="229">
        <v>-0.12709999999999999</v>
      </c>
      <c r="CO39" s="230">
        <v>1741</v>
      </c>
      <c r="CP39" s="230">
        <v>1886</v>
      </c>
      <c r="CQ39" s="228">
        <v>-145</v>
      </c>
      <c r="CR39" s="229">
        <v>-7.6999999999999999E-2</v>
      </c>
      <c r="CS39" s="230">
        <v>1323</v>
      </c>
      <c r="CT39" s="230">
        <v>1320</v>
      </c>
      <c r="CU39" s="228">
        <v>3</v>
      </c>
      <c r="CV39" s="229">
        <v>2.5000000000000001E-3</v>
      </c>
      <c r="CW39" s="230">
        <v>6470</v>
      </c>
      <c r="CX39" s="230">
        <v>6633</v>
      </c>
      <c r="CY39" s="228">
        <v>-162</v>
      </c>
      <c r="CZ39" s="229">
        <v>-2.4400000000000002E-2</v>
      </c>
      <c r="DA39" s="228">
        <v>36.04</v>
      </c>
      <c r="DB39" s="228">
        <v>37.020000000000003</v>
      </c>
      <c r="DC39" s="228">
        <v>-0.98</v>
      </c>
      <c r="DD39" s="228">
        <v>-0.98</v>
      </c>
      <c r="DE39" s="228">
        <v>59.08</v>
      </c>
      <c r="DF39" s="228">
        <v>59.2</v>
      </c>
      <c r="DG39" s="228">
        <v>-23.04</v>
      </c>
      <c r="DH39" s="228">
        <v>-0.12</v>
      </c>
      <c r="DI39" s="228">
        <v>35.64</v>
      </c>
      <c r="DJ39" s="228">
        <v>36.67</v>
      </c>
      <c r="DK39" s="228">
        <v>-1.03</v>
      </c>
      <c r="DL39" s="228">
        <v>-1.03</v>
      </c>
      <c r="DM39" s="228">
        <v>36.82</v>
      </c>
      <c r="DN39" s="228">
        <v>37.700000000000003</v>
      </c>
      <c r="DO39" s="228">
        <v>-0.88</v>
      </c>
      <c r="DP39" s="228">
        <v>-0.88</v>
      </c>
      <c r="DQ39" s="228">
        <v>0.76</v>
      </c>
      <c r="DR39" s="228">
        <v>0.7</v>
      </c>
      <c r="DS39" s="228">
        <v>0.06</v>
      </c>
      <c r="DT39" s="229">
        <v>8.5699999999999998E-2</v>
      </c>
      <c r="DU39" s="231">
        <v>3000</v>
      </c>
      <c r="DV39" s="231">
        <v>2500</v>
      </c>
      <c r="DW39" s="228">
        <v>0.51</v>
      </c>
      <c r="DX39" s="228">
        <v>0.51</v>
      </c>
      <c r="DY39" s="228">
        <v>0</v>
      </c>
      <c r="DZ39" s="229">
        <v>0</v>
      </c>
      <c r="EA39" s="229">
        <v>4.6100000000000002E-2</v>
      </c>
      <c r="EB39" s="230">
        <v>564000</v>
      </c>
      <c r="EC39" s="229">
        <v>5.7999999999999996E-3</v>
      </c>
      <c r="ED39" s="229">
        <v>4.6100000000000002E-2</v>
      </c>
      <c r="EE39" s="228">
        <v>17.73</v>
      </c>
      <c r="EF39" s="229">
        <v>6.4000000000000003E-3</v>
      </c>
      <c r="EG39" s="230">
        <v>930217</v>
      </c>
      <c r="EH39" s="230">
        <v>897676</v>
      </c>
      <c r="EI39" s="229">
        <v>3.6299999999999999E-2</v>
      </c>
      <c r="EJ39" s="229">
        <v>0.33200000000000002</v>
      </c>
      <c r="EK39" s="231">
        <v>3897.25</v>
      </c>
      <c r="EL39" s="231">
        <v>1832.33</v>
      </c>
      <c r="EM39" s="228">
        <v>838.33</v>
      </c>
      <c r="EN39" s="228">
        <v>71.14</v>
      </c>
      <c r="EO39" s="231">
        <v>6567.91</v>
      </c>
      <c r="EP39" s="231">
        <v>6034.28</v>
      </c>
      <c r="EQ39" s="228">
        <v>533.63</v>
      </c>
      <c r="ER39" s="229">
        <v>8.8400000000000006E-2</v>
      </c>
      <c r="ES39" s="231">
        <v>1789.37</v>
      </c>
      <c r="ET39" s="231">
        <v>1226.24</v>
      </c>
      <c r="EU39" s="231">
        <v>3407.44</v>
      </c>
      <c r="EV39" s="231">
        <v>61094861</v>
      </c>
      <c r="EW39" s="231">
        <v>6423.05</v>
      </c>
      <c r="EX39" s="231">
        <v>6530.66</v>
      </c>
      <c r="EY39" s="228">
        <v>-107.61</v>
      </c>
      <c r="EZ39" s="229">
        <v>-1.6500000000000001E-2</v>
      </c>
      <c r="FA39" s="229">
        <v>0.3841</v>
      </c>
      <c r="FB39" s="227" t="s">
        <v>556</v>
      </c>
      <c r="FC39">
        <f t="shared" si="0"/>
        <v>156</v>
      </c>
    </row>
    <row r="40" spans="1:159" ht="17.25" thickBot="1" x14ac:dyDescent="0.3">
      <c r="A40" s="226">
        <v>46029</v>
      </c>
      <c r="B40" s="227" t="s">
        <v>175</v>
      </c>
      <c r="C40" s="227" t="s">
        <v>611</v>
      </c>
      <c r="D40" s="228">
        <v>750</v>
      </c>
      <c r="E40" s="228">
        <v>20</v>
      </c>
      <c r="F40" s="228">
        <v>757.95</v>
      </c>
      <c r="G40" s="228">
        <v>751.6</v>
      </c>
      <c r="H40" s="228">
        <v>6.35</v>
      </c>
      <c r="I40" s="229">
        <v>8.3999999999999995E-3</v>
      </c>
      <c r="J40" s="228">
        <v>756.8</v>
      </c>
      <c r="K40" s="228">
        <v>749.75</v>
      </c>
      <c r="L40" s="228">
        <v>7.05</v>
      </c>
      <c r="M40" s="229">
        <v>9.4000000000000004E-3</v>
      </c>
      <c r="N40" s="228">
        <v>757.95</v>
      </c>
      <c r="O40" s="228">
        <v>751.6</v>
      </c>
      <c r="P40" s="228">
        <v>6.35</v>
      </c>
      <c r="Q40" s="229">
        <v>8.3999999999999995E-3</v>
      </c>
      <c r="R40" s="228">
        <v>759.35</v>
      </c>
      <c r="S40" s="228">
        <v>752.1</v>
      </c>
      <c r="T40" s="228">
        <v>7.25</v>
      </c>
      <c r="U40" s="229">
        <v>9.5999999999999992E-3</v>
      </c>
      <c r="V40" s="228">
        <v>760</v>
      </c>
      <c r="W40" s="228">
        <v>749.05</v>
      </c>
      <c r="X40" s="228">
        <v>10.95</v>
      </c>
      <c r="Y40" s="229">
        <v>1.46E-2</v>
      </c>
      <c r="Z40" s="228">
        <v>1.1499999999999999</v>
      </c>
      <c r="AA40" s="228">
        <v>1.85</v>
      </c>
      <c r="AB40" s="228">
        <v>-0.7</v>
      </c>
      <c r="AC40" s="229">
        <v>1.5E-3</v>
      </c>
      <c r="AD40" s="228">
        <v>1.1499999999999999</v>
      </c>
      <c r="AE40" s="228">
        <v>1.85</v>
      </c>
      <c r="AF40" s="228">
        <v>-0.7</v>
      </c>
      <c r="AG40" s="229">
        <v>1.5E-3</v>
      </c>
      <c r="AH40" s="228">
        <v>2.5499999999999998</v>
      </c>
      <c r="AI40" s="228">
        <v>2.35</v>
      </c>
      <c r="AJ40" s="228">
        <v>0.2</v>
      </c>
      <c r="AK40" s="229">
        <v>3.3999999999999998E-3</v>
      </c>
      <c r="AL40" s="228">
        <v>3.2</v>
      </c>
      <c r="AM40" s="228">
        <v>-0.7</v>
      </c>
      <c r="AN40" s="228">
        <v>3.9</v>
      </c>
      <c r="AO40" s="229">
        <v>4.1999999999999997E-3</v>
      </c>
      <c r="AP40" s="228">
        <v>758.42</v>
      </c>
      <c r="AQ40" s="228">
        <v>759.92</v>
      </c>
      <c r="AR40" s="228">
        <v>0</v>
      </c>
      <c r="AS40" s="228">
        <v>101</v>
      </c>
      <c r="AT40" s="228">
        <v>87</v>
      </c>
      <c r="AU40" s="228">
        <v>14</v>
      </c>
      <c r="AV40" s="229">
        <v>0.16139999999999999</v>
      </c>
      <c r="AW40" s="228">
        <v>92</v>
      </c>
      <c r="AX40" s="228">
        <v>75</v>
      </c>
      <c r="AY40" s="228">
        <v>16</v>
      </c>
      <c r="AZ40" s="229">
        <v>0.2172</v>
      </c>
      <c r="BA40" s="228">
        <v>9</v>
      </c>
      <c r="BB40" s="228">
        <v>11</v>
      </c>
      <c r="BC40" s="228">
        <v>-2</v>
      </c>
      <c r="BD40" s="229">
        <v>-0.20499999999999999</v>
      </c>
      <c r="BE40" s="228">
        <v>1</v>
      </c>
      <c r="BF40" s="228">
        <v>1</v>
      </c>
      <c r="BG40" s="228">
        <v>0</v>
      </c>
      <c r="BH40" s="229">
        <v>9.0899999999999995E-2</v>
      </c>
      <c r="BI40" s="228">
        <v>187</v>
      </c>
      <c r="BJ40" s="228">
        <v>131</v>
      </c>
      <c r="BK40" s="228">
        <v>56</v>
      </c>
      <c r="BL40" s="229">
        <v>0.43140000000000001</v>
      </c>
      <c r="BM40" s="228">
        <v>62</v>
      </c>
      <c r="BN40" s="228">
        <v>53</v>
      </c>
      <c r="BO40" s="228">
        <v>10</v>
      </c>
      <c r="BP40" s="229">
        <v>0.18429999999999999</v>
      </c>
      <c r="BQ40" s="228">
        <v>351</v>
      </c>
      <c r="BR40" s="228">
        <v>271</v>
      </c>
      <c r="BS40" s="228">
        <v>80</v>
      </c>
      <c r="BT40" s="229">
        <v>0.29609999999999997</v>
      </c>
      <c r="BU40" s="230">
        <v>804237</v>
      </c>
      <c r="BV40" s="230">
        <v>661719</v>
      </c>
      <c r="BW40" s="230">
        <v>142518</v>
      </c>
      <c r="BX40" s="229">
        <v>0.21540000000000001</v>
      </c>
      <c r="BY40" s="228">
        <v>583</v>
      </c>
      <c r="BZ40" s="228">
        <v>586</v>
      </c>
      <c r="CA40" s="228">
        <v>-4</v>
      </c>
      <c r="CB40" s="229">
        <v>-6.7999999999999996E-3</v>
      </c>
      <c r="CC40" s="228">
        <v>545</v>
      </c>
      <c r="CD40" s="228">
        <v>550</v>
      </c>
      <c r="CE40" s="228">
        <v>-6</v>
      </c>
      <c r="CF40" s="229">
        <v>-1.04E-2</v>
      </c>
      <c r="CG40" s="228">
        <v>36</v>
      </c>
      <c r="CH40" s="228">
        <v>34</v>
      </c>
      <c r="CI40" s="228">
        <v>2</v>
      </c>
      <c r="CJ40" s="229">
        <v>5.1299999999999998E-2</v>
      </c>
      <c r="CK40" s="228">
        <v>2</v>
      </c>
      <c r="CL40" s="228">
        <v>2</v>
      </c>
      <c r="CM40" s="228">
        <v>0</v>
      </c>
      <c r="CN40" s="229">
        <v>0</v>
      </c>
      <c r="CO40" s="228">
        <v>210</v>
      </c>
      <c r="CP40" s="228">
        <v>196</v>
      </c>
      <c r="CQ40" s="228">
        <v>13</v>
      </c>
      <c r="CR40" s="229">
        <v>6.8400000000000002E-2</v>
      </c>
      <c r="CS40" s="228">
        <v>194</v>
      </c>
      <c r="CT40" s="228">
        <v>186</v>
      </c>
      <c r="CU40" s="228">
        <v>8</v>
      </c>
      <c r="CV40" s="229">
        <v>4.1500000000000002E-2</v>
      </c>
      <c r="CW40" s="228">
        <v>986</v>
      </c>
      <c r="CX40" s="228">
        <v>969</v>
      </c>
      <c r="CY40" s="228">
        <v>17</v>
      </c>
      <c r="CZ40" s="229">
        <v>1.77E-2</v>
      </c>
      <c r="DA40" s="228">
        <v>28.54</v>
      </c>
      <c r="DB40" s="228">
        <v>28.19</v>
      </c>
      <c r="DC40" s="228">
        <v>0.35</v>
      </c>
      <c r="DD40" s="228">
        <v>0.35</v>
      </c>
      <c r="DE40" s="228">
        <v>39.74</v>
      </c>
      <c r="DF40" s="228">
        <v>39.82</v>
      </c>
      <c r="DG40" s="228">
        <v>-11.2</v>
      </c>
      <c r="DH40" s="228">
        <v>-0.08</v>
      </c>
      <c r="DI40" s="228">
        <v>28.44</v>
      </c>
      <c r="DJ40" s="228">
        <v>27.96</v>
      </c>
      <c r="DK40" s="228">
        <v>0.48</v>
      </c>
      <c r="DL40" s="228">
        <v>0.48</v>
      </c>
      <c r="DM40" s="228">
        <v>28.83</v>
      </c>
      <c r="DN40" s="228">
        <v>28.76</v>
      </c>
      <c r="DO40" s="228">
        <v>7.0000000000000007E-2</v>
      </c>
      <c r="DP40" s="228">
        <v>7.0000000000000007E-2</v>
      </c>
      <c r="DQ40" s="228">
        <v>0.93</v>
      </c>
      <c r="DR40" s="228">
        <v>0.95</v>
      </c>
      <c r="DS40" s="228">
        <v>-0.02</v>
      </c>
      <c r="DT40" s="229">
        <v>-2.1100000000000001E-2</v>
      </c>
      <c r="DU40" s="228">
        <v>810</v>
      </c>
      <c r="DV40" s="228">
        <v>720</v>
      </c>
      <c r="DW40" s="228">
        <v>0.33</v>
      </c>
      <c r="DX40" s="228">
        <v>0.4</v>
      </c>
      <c r="DY40" s="228">
        <v>-7.0000000000000007E-2</v>
      </c>
      <c r="DZ40" s="229">
        <v>-0.17499999999999999</v>
      </c>
      <c r="EA40" s="229">
        <v>6.4799999999999996E-2</v>
      </c>
      <c r="EB40" s="230">
        <v>474750</v>
      </c>
      <c r="EC40" s="229">
        <v>1.8E-3</v>
      </c>
      <c r="ED40" s="229">
        <v>6.4799999999999996E-2</v>
      </c>
      <c r="EE40" s="228">
        <v>1.5</v>
      </c>
      <c r="EF40" s="229">
        <v>2E-3</v>
      </c>
      <c r="EG40" s="230">
        <v>334540</v>
      </c>
      <c r="EH40" s="230">
        <v>300567</v>
      </c>
      <c r="EI40" s="229">
        <v>0.113</v>
      </c>
      <c r="EJ40" s="229">
        <v>0.41599999999999998</v>
      </c>
      <c r="EK40" s="228">
        <v>194.99</v>
      </c>
      <c r="EL40" s="228">
        <v>61.42</v>
      </c>
      <c r="EM40" s="228">
        <v>101.56</v>
      </c>
      <c r="EN40" s="228">
        <v>16.88</v>
      </c>
      <c r="EO40" s="228">
        <v>357.96</v>
      </c>
      <c r="EP40" s="228">
        <v>272.95999999999998</v>
      </c>
      <c r="EQ40" s="228">
        <v>85.01</v>
      </c>
      <c r="ER40" s="229">
        <v>0.31140000000000001</v>
      </c>
      <c r="ES40" s="228">
        <v>218.34</v>
      </c>
      <c r="ET40" s="228">
        <v>189.69</v>
      </c>
      <c r="EU40" s="228">
        <v>582.57000000000005</v>
      </c>
      <c r="EV40" s="231">
        <v>37122288</v>
      </c>
      <c r="EW40" s="228">
        <v>990.6</v>
      </c>
      <c r="EX40" s="228">
        <v>967.6</v>
      </c>
      <c r="EY40" s="228">
        <v>23</v>
      </c>
      <c r="EZ40" s="229">
        <v>2.3800000000000002E-2</v>
      </c>
      <c r="FA40" s="229">
        <v>0.35049999999999998</v>
      </c>
      <c r="FB40" s="227" t="s">
        <v>556</v>
      </c>
      <c r="FC40">
        <f t="shared" si="0"/>
        <v>38</v>
      </c>
    </row>
    <row r="41" spans="1:159" ht="17.25" thickBot="1" x14ac:dyDescent="0.3">
      <c r="A41" s="226">
        <v>46029</v>
      </c>
      <c r="B41" s="227" t="s">
        <v>172</v>
      </c>
      <c r="C41" s="227" t="s">
        <v>196</v>
      </c>
      <c r="D41" s="228">
        <v>6750</v>
      </c>
      <c r="E41" s="228">
        <v>20</v>
      </c>
      <c r="F41" s="228">
        <v>152.85</v>
      </c>
      <c r="G41" s="228">
        <v>154.1</v>
      </c>
      <c r="H41" s="228">
        <v>-1.25</v>
      </c>
      <c r="I41" s="229">
        <v>-8.0999999999999996E-3</v>
      </c>
      <c r="J41" s="228">
        <v>152.96</v>
      </c>
      <c r="K41" s="228">
        <v>153.88</v>
      </c>
      <c r="L41" s="228">
        <v>-0.92</v>
      </c>
      <c r="M41" s="229">
        <v>-6.0000000000000001E-3</v>
      </c>
      <c r="N41" s="228">
        <v>152.85</v>
      </c>
      <c r="O41" s="228">
        <v>154.1</v>
      </c>
      <c r="P41" s="228">
        <v>-1.25</v>
      </c>
      <c r="Q41" s="229">
        <v>-8.0999999999999996E-3</v>
      </c>
      <c r="R41" s="228">
        <v>153.41</v>
      </c>
      <c r="S41" s="228">
        <v>154.63</v>
      </c>
      <c r="T41" s="228">
        <v>-1.22</v>
      </c>
      <c r="U41" s="229">
        <v>-7.9000000000000008E-3</v>
      </c>
      <c r="V41" s="228">
        <v>154.13</v>
      </c>
      <c r="W41" s="228">
        <v>155.47999999999999</v>
      </c>
      <c r="X41" s="228">
        <v>-1.35</v>
      </c>
      <c r="Y41" s="229">
        <v>-8.6999999999999994E-3</v>
      </c>
      <c r="Z41" s="228">
        <v>-0.11</v>
      </c>
      <c r="AA41" s="228">
        <v>0.22</v>
      </c>
      <c r="AB41" s="228">
        <v>-0.33</v>
      </c>
      <c r="AC41" s="229">
        <v>-6.9999999999999999E-4</v>
      </c>
      <c r="AD41" s="228">
        <v>-0.11</v>
      </c>
      <c r="AE41" s="228">
        <v>0.22</v>
      </c>
      <c r="AF41" s="228">
        <v>-0.33</v>
      </c>
      <c r="AG41" s="229">
        <v>-6.9999999999999999E-4</v>
      </c>
      <c r="AH41" s="228">
        <v>0.45</v>
      </c>
      <c r="AI41" s="228">
        <v>0.75</v>
      </c>
      <c r="AJ41" s="228">
        <v>-0.3</v>
      </c>
      <c r="AK41" s="229">
        <v>2.8999999999999998E-3</v>
      </c>
      <c r="AL41" s="228">
        <v>1.17</v>
      </c>
      <c r="AM41" s="228">
        <v>1.6</v>
      </c>
      <c r="AN41" s="228">
        <v>-0.43</v>
      </c>
      <c r="AO41" s="229">
        <v>7.6E-3</v>
      </c>
      <c r="AP41" s="228">
        <v>154.05000000000001</v>
      </c>
      <c r="AQ41" s="228">
        <v>154.44999999999999</v>
      </c>
      <c r="AR41" s="228">
        <v>0</v>
      </c>
      <c r="AS41" s="228">
        <v>909</v>
      </c>
      <c r="AT41" s="228">
        <v>744</v>
      </c>
      <c r="AU41" s="228">
        <v>165</v>
      </c>
      <c r="AV41" s="229">
        <v>0.2215</v>
      </c>
      <c r="AW41" s="228">
        <v>830</v>
      </c>
      <c r="AX41" s="228">
        <v>700</v>
      </c>
      <c r="AY41" s="228">
        <v>129</v>
      </c>
      <c r="AZ41" s="229">
        <v>0.18479999999999999</v>
      </c>
      <c r="BA41" s="228">
        <v>72</v>
      </c>
      <c r="BB41" s="228">
        <v>37</v>
      </c>
      <c r="BC41" s="228">
        <v>35</v>
      </c>
      <c r="BD41" s="229">
        <v>0.95240000000000002</v>
      </c>
      <c r="BE41" s="228">
        <v>7</v>
      </c>
      <c r="BF41" s="228">
        <v>7</v>
      </c>
      <c r="BG41" s="228">
        <v>0</v>
      </c>
      <c r="BH41" s="229">
        <v>4.5499999999999999E-2</v>
      </c>
      <c r="BI41" s="230">
        <v>1729</v>
      </c>
      <c r="BJ41" s="230">
        <v>1211</v>
      </c>
      <c r="BK41" s="228">
        <v>518</v>
      </c>
      <c r="BL41" s="229">
        <v>0.4274</v>
      </c>
      <c r="BM41" s="230">
        <v>1149</v>
      </c>
      <c r="BN41" s="228">
        <v>671</v>
      </c>
      <c r="BO41" s="228">
        <v>478</v>
      </c>
      <c r="BP41" s="229">
        <v>0.71179999999999999</v>
      </c>
      <c r="BQ41" s="230">
        <v>3786</v>
      </c>
      <c r="BR41" s="230">
        <v>2626</v>
      </c>
      <c r="BS41" s="230">
        <v>1160</v>
      </c>
      <c r="BT41" s="229">
        <v>0.44180000000000003</v>
      </c>
      <c r="BU41" s="230">
        <v>23881175</v>
      </c>
      <c r="BV41" s="230">
        <v>17876954</v>
      </c>
      <c r="BW41" s="230">
        <v>6004221</v>
      </c>
      <c r="BX41" s="229">
        <v>0.33589999999999998</v>
      </c>
      <c r="BY41" s="230">
        <v>2301</v>
      </c>
      <c r="BZ41" s="230">
        <v>2227</v>
      </c>
      <c r="CA41" s="228">
        <v>73</v>
      </c>
      <c r="CB41" s="229">
        <v>3.3000000000000002E-2</v>
      </c>
      <c r="CC41" s="230">
        <v>2167</v>
      </c>
      <c r="CD41" s="230">
        <v>2103</v>
      </c>
      <c r="CE41" s="228">
        <v>63</v>
      </c>
      <c r="CF41" s="229">
        <v>3.0200000000000001E-2</v>
      </c>
      <c r="CG41" s="228">
        <v>115</v>
      </c>
      <c r="CH41" s="228">
        <v>106</v>
      </c>
      <c r="CI41" s="228">
        <v>9</v>
      </c>
      <c r="CJ41" s="229">
        <v>8.6900000000000005E-2</v>
      </c>
      <c r="CK41" s="228">
        <v>19</v>
      </c>
      <c r="CL41" s="228">
        <v>18</v>
      </c>
      <c r="CM41" s="228">
        <v>1</v>
      </c>
      <c r="CN41" s="229">
        <v>4.5499999999999999E-2</v>
      </c>
      <c r="CO41" s="230">
        <v>1454</v>
      </c>
      <c r="CP41" s="230">
        <v>1287</v>
      </c>
      <c r="CQ41" s="228">
        <v>168</v>
      </c>
      <c r="CR41" s="229">
        <v>0.1303</v>
      </c>
      <c r="CS41" s="230">
        <v>1067</v>
      </c>
      <c r="CT41" s="230">
        <v>1007</v>
      </c>
      <c r="CU41" s="228">
        <v>60</v>
      </c>
      <c r="CV41" s="229">
        <v>5.9200000000000003E-2</v>
      </c>
      <c r="CW41" s="230">
        <v>4822</v>
      </c>
      <c r="CX41" s="230">
        <v>4521</v>
      </c>
      <c r="CY41" s="228">
        <v>301</v>
      </c>
      <c r="CZ41" s="229">
        <v>6.6500000000000004E-2</v>
      </c>
      <c r="DA41" s="228">
        <v>29.48</v>
      </c>
      <c r="DB41" s="228">
        <v>28.33</v>
      </c>
      <c r="DC41" s="228">
        <v>1.1499999999999999</v>
      </c>
      <c r="DD41" s="228">
        <v>1.1499999999999999</v>
      </c>
      <c r="DE41" s="228">
        <v>35.06</v>
      </c>
      <c r="DF41" s="228">
        <v>35.130000000000003</v>
      </c>
      <c r="DG41" s="228">
        <v>-5.58</v>
      </c>
      <c r="DH41" s="228">
        <v>-7.0000000000000007E-2</v>
      </c>
      <c r="DI41" s="228">
        <v>29.56</v>
      </c>
      <c r="DJ41" s="228">
        <v>28.16</v>
      </c>
      <c r="DK41" s="228">
        <v>1.4</v>
      </c>
      <c r="DL41" s="228">
        <v>1.4</v>
      </c>
      <c r="DM41" s="228">
        <v>29.37</v>
      </c>
      <c r="DN41" s="228">
        <v>28.63</v>
      </c>
      <c r="DO41" s="228">
        <v>0.74</v>
      </c>
      <c r="DP41" s="228">
        <v>0.74</v>
      </c>
      <c r="DQ41" s="228">
        <v>0.73</v>
      </c>
      <c r="DR41" s="228">
        <v>0.78</v>
      </c>
      <c r="DS41" s="228">
        <v>-0.05</v>
      </c>
      <c r="DT41" s="229">
        <v>-6.4100000000000004E-2</v>
      </c>
      <c r="DU41" s="228">
        <v>155</v>
      </c>
      <c r="DV41" s="228">
        <v>150</v>
      </c>
      <c r="DW41" s="228">
        <v>0.66</v>
      </c>
      <c r="DX41" s="228">
        <v>0.55000000000000004</v>
      </c>
      <c r="DY41" s="228">
        <v>0.11</v>
      </c>
      <c r="DZ41" s="229">
        <v>0.2</v>
      </c>
      <c r="EA41" s="229">
        <v>5.8200000000000002E-2</v>
      </c>
      <c r="EB41" s="230">
        <v>8100000</v>
      </c>
      <c r="EC41" s="229">
        <v>3.7000000000000002E-3</v>
      </c>
      <c r="ED41" s="229">
        <v>5.8200000000000002E-2</v>
      </c>
      <c r="EE41" s="228">
        <v>0.4</v>
      </c>
      <c r="EF41" s="229">
        <v>2.5999999999999999E-3</v>
      </c>
      <c r="EG41" s="230">
        <v>10144239</v>
      </c>
      <c r="EH41" s="230">
        <v>7157681</v>
      </c>
      <c r="EI41" s="229">
        <v>0.4173</v>
      </c>
      <c r="EJ41" s="229">
        <v>0.42480000000000001</v>
      </c>
      <c r="EK41" s="231">
        <v>1822.74</v>
      </c>
      <c r="EL41" s="231">
        <v>1143.5999999999999</v>
      </c>
      <c r="EM41" s="228">
        <v>916.04</v>
      </c>
      <c r="EN41" s="228">
        <v>78.87</v>
      </c>
      <c r="EO41" s="231">
        <v>3882.38</v>
      </c>
      <c r="EP41" s="231">
        <v>2701.53</v>
      </c>
      <c r="EQ41" s="231">
        <v>1180.8399999999999</v>
      </c>
      <c r="ER41" s="229">
        <v>0.43709999999999999</v>
      </c>
      <c r="ES41" s="231">
        <v>1499.52</v>
      </c>
      <c r="ET41" s="231">
        <v>1039.5</v>
      </c>
      <c r="EU41" s="231">
        <v>2301.15</v>
      </c>
      <c r="EV41" s="231">
        <v>504315430</v>
      </c>
      <c r="EW41" s="231">
        <v>4840.17</v>
      </c>
      <c r="EX41" s="231">
        <v>4552.13</v>
      </c>
      <c r="EY41" s="228">
        <v>288.04000000000002</v>
      </c>
      <c r="EZ41" s="229">
        <v>6.3299999999999995E-2</v>
      </c>
      <c r="FA41" s="229">
        <v>0.62549999999999994</v>
      </c>
      <c r="FB41" s="227" t="s">
        <v>567</v>
      </c>
      <c r="FC41">
        <f t="shared" si="0"/>
        <v>134</v>
      </c>
    </row>
    <row r="42" spans="1:159" ht="17.25" thickBot="1" x14ac:dyDescent="0.3">
      <c r="A42" s="226">
        <v>46029</v>
      </c>
      <c r="B42" s="227" t="s">
        <v>175</v>
      </c>
      <c r="C42" s="227" t="s">
        <v>597</v>
      </c>
      <c r="D42" s="228">
        <v>475</v>
      </c>
      <c r="E42" s="228">
        <v>20</v>
      </c>
      <c r="F42" s="231">
        <v>1482.8</v>
      </c>
      <c r="G42" s="231">
        <v>1462.5</v>
      </c>
      <c r="H42" s="228">
        <v>20.3</v>
      </c>
      <c r="I42" s="229">
        <v>1.3899999999999999E-2</v>
      </c>
      <c r="J42" s="231">
        <v>1475.6</v>
      </c>
      <c r="K42" s="231">
        <v>1457</v>
      </c>
      <c r="L42" s="228">
        <v>18.600000000000001</v>
      </c>
      <c r="M42" s="229">
        <v>1.2800000000000001E-2</v>
      </c>
      <c r="N42" s="231">
        <v>1482.8</v>
      </c>
      <c r="O42" s="231">
        <v>1462.5</v>
      </c>
      <c r="P42" s="228">
        <v>20.3</v>
      </c>
      <c r="Q42" s="229">
        <v>1.3899999999999999E-2</v>
      </c>
      <c r="R42" s="231">
        <v>1490.5</v>
      </c>
      <c r="S42" s="231">
        <v>1468.3</v>
      </c>
      <c r="T42" s="228">
        <v>22.2</v>
      </c>
      <c r="U42" s="229">
        <v>1.5100000000000001E-2</v>
      </c>
      <c r="V42" s="231">
        <v>1498.6</v>
      </c>
      <c r="W42" s="231">
        <v>1476.6</v>
      </c>
      <c r="X42" s="228">
        <v>22</v>
      </c>
      <c r="Y42" s="229">
        <v>1.49E-2</v>
      </c>
      <c r="Z42" s="228">
        <v>7.2</v>
      </c>
      <c r="AA42" s="228">
        <v>5.5</v>
      </c>
      <c r="AB42" s="228">
        <v>1.7</v>
      </c>
      <c r="AC42" s="229">
        <v>4.8999999999999998E-3</v>
      </c>
      <c r="AD42" s="228">
        <v>7.2</v>
      </c>
      <c r="AE42" s="228">
        <v>5.5</v>
      </c>
      <c r="AF42" s="228">
        <v>1.7</v>
      </c>
      <c r="AG42" s="229">
        <v>4.8999999999999998E-3</v>
      </c>
      <c r="AH42" s="228">
        <v>14.9</v>
      </c>
      <c r="AI42" s="228">
        <v>11.3</v>
      </c>
      <c r="AJ42" s="228">
        <v>3.6</v>
      </c>
      <c r="AK42" s="229">
        <v>1.01E-2</v>
      </c>
      <c r="AL42" s="228">
        <v>23</v>
      </c>
      <c r="AM42" s="228">
        <v>19.600000000000001</v>
      </c>
      <c r="AN42" s="228">
        <v>3.4</v>
      </c>
      <c r="AO42" s="229">
        <v>1.5599999999999999E-2</v>
      </c>
      <c r="AP42" s="231">
        <v>1477.83</v>
      </c>
      <c r="AQ42" s="231">
        <v>1484.48</v>
      </c>
      <c r="AR42" s="228">
        <v>0</v>
      </c>
      <c r="AS42" s="228">
        <v>262</v>
      </c>
      <c r="AT42" s="228">
        <v>220</v>
      </c>
      <c r="AU42" s="228">
        <v>42</v>
      </c>
      <c r="AV42" s="229">
        <v>0.18909999999999999</v>
      </c>
      <c r="AW42" s="228">
        <v>236</v>
      </c>
      <c r="AX42" s="228">
        <v>192</v>
      </c>
      <c r="AY42" s="228">
        <v>44</v>
      </c>
      <c r="AZ42" s="229">
        <v>0.22869999999999999</v>
      </c>
      <c r="BA42" s="228">
        <v>22</v>
      </c>
      <c r="BB42" s="228">
        <v>25</v>
      </c>
      <c r="BC42" s="228">
        <v>-2</v>
      </c>
      <c r="BD42" s="229">
        <v>-8.8599999999999998E-2</v>
      </c>
      <c r="BE42" s="228">
        <v>3</v>
      </c>
      <c r="BF42" s="228">
        <v>3</v>
      </c>
      <c r="BG42" s="228">
        <v>0</v>
      </c>
      <c r="BH42" s="229">
        <v>-4.2599999999999999E-2</v>
      </c>
      <c r="BI42" s="228">
        <v>881</v>
      </c>
      <c r="BJ42" s="228">
        <v>723</v>
      </c>
      <c r="BK42" s="228">
        <v>159</v>
      </c>
      <c r="BL42" s="229">
        <v>0.21940000000000001</v>
      </c>
      <c r="BM42" s="228">
        <v>426</v>
      </c>
      <c r="BN42" s="228">
        <v>363</v>
      </c>
      <c r="BO42" s="228">
        <v>63</v>
      </c>
      <c r="BP42" s="229">
        <v>0.17399999999999999</v>
      </c>
      <c r="BQ42" s="230">
        <v>1569</v>
      </c>
      <c r="BR42" s="230">
        <v>1306</v>
      </c>
      <c r="BS42" s="228">
        <v>263</v>
      </c>
      <c r="BT42" s="229">
        <v>0.20169999999999999</v>
      </c>
      <c r="BU42" s="230">
        <v>854521</v>
      </c>
      <c r="BV42" s="230">
        <v>917193</v>
      </c>
      <c r="BW42" s="230">
        <v>-62672</v>
      </c>
      <c r="BX42" s="229">
        <v>-6.83E-2</v>
      </c>
      <c r="BY42" s="230">
        <v>1620</v>
      </c>
      <c r="BZ42" s="230">
        <v>1663</v>
      </c>
      <c r="CA42" s="228">
        <v>-42</v>
      </c>
      <c r="CB42" s="229">
        <v>-2.5399999999999999E-2</v>
      </c>
      <c r="CC42" s="230">
        <v>1511</v>
      </c>
      <c r="CD42" s="230">
        <v>1551</v>
      </c>
      <c r="CE42" s="228">
        <v>-40</v>
      </c>
      <c r="CF42" s="229">
        <v>-2.5999999999999999E-2</v>
      </c>
      <c r="CG42" s="228">
        <v>103</v>
      </c>
      <c r="CH42" s="228">
        <v>104</v>
      </c>
      <c r="CI42" s="228">
        <v>-1</v>
      </c>
      <c r="CJ42" s="229">
        <v>-1.15E-2</v>
      </c>
      <c r="CK42" s="228">
        <v>7</v>
      </c>
      <c r="CL42" s="228">
        <v>7</v>
      </c>
      <c r="CM42" s="228">
        <v>-1</v>
      </c>
      <c r="CN42" s="229">
        <v>-0.10580000000000001</v>
      </c>
      <c r="CO42" s="230">
        <v>1041</v>
      </c>
      <c r="CP42" s="230">
        <v>1011</v>
      </c>
      <c r="CQ42" s="228">
        <v>29</v>
      </c>
      <c r="CR42" s="229">
        <v>2.8899999999999999E-2</v>
      </c>
      <c r="CS42" s="228">
        <v>704</v>
      </c>
      <c r="CT42" s="228">
        <v>724</v>
      </c>
      <c r="CU42" s="228">
        <v>-20</v>
      </c>
      <c r="CV42" s="229">
        <v>-2.7900000000000001E-2</v>
      </c>
      <c r="CW42" s="230">
        <v>3365</v>
      </c>
      <c r="CX42" s="230">
        <v>3398</v>
      </c>
      <c r="CY42" s="228">
        <v>-33</v>
      </c>
      <c r="CZ42" s="229">
        <v>-9.7999999999999997E-3</v>
      </c>
      <c r="DA42" s="228">
        <v>27.25</v>
      </c>
      <c r="DB42" s="228">
        <v>29.09</v>
      </c>
      <c r="DC42" s="228">
        <v>-1.84</v>
      </c>
      <c r="DD42" s="228">
        <v>-1.84</v>
      </c>
      <c r="DE42" s="228">
        <v>43.8</v>
      </c>
      <c r="DF42" s="228">
        <v>43.87</v>
      </c>
      <c r="DG42" s="228">
        <v>-16.55</v>
      </c>
      <c r="DH42" s="228">
        <v>-7.0000000000000007E-2</v>
      </c>
      <c r="DI42" s="228">
        <v>27.11</v>
      </c>
      <c r="DJ42" s="228">
        <v>28.92</v>
      </c>
      <c r="DK42" s="228">
        <v>-1.81</v>
      </c>
      <c r="DL42" s="228">
        <v>-1.81</v>
      </c>
      <c r="DM42" s="228">
        <v>27.53</v>
      </c>
      <c r="DN42" s="228">
        <v>29.42</v>
      </c>
      <c r="DO42" s="228">
        <v>-1.89</v>
      </c>
      <c r="DP42" s="228">
        <v>-1.89</v>
      </c>
      <c r="DQ42" s="228">
        <v>0.68</v>
      </c>
      <c r="DR42" s="228">
        <v>0.72</v>
      </c>
      <c r="DS42" s="228">
        <v>-0.04</v>
      </c>
      <c r="DT42" s="229">
        <v>-5.5599999999999997E-2</v>
      </c>
      <c r="DU42" s="231">
        <v>1500</v>
      </c>
      <c r="DV42" s="231">
        <v>1500</v>
      </c>
      <c r="DW42" s="228">
        <v>0.48</v>
      </c>
      <c r="DX42" s="228">
        <v>0.5</v>
      </c>
      <c r="DY42" s="228">
        <v>-0.02</v>
      </c>
      <c r="DZ42" s="229">
        <v>-0.04</v>
      </c>
      <c r="EA42" s="229">
        <v>6.7299999999999999E-2</v>
      </c>
      <c r="EB42" s="230">
        <v>749075</v>
      </c>
      <c r="EC42" s="229">
        <v>5.1999999999999998E-3</v>
      </c>
      <c r="ED42" s="229">
        <v>6.7299999999999999E-2</v>
      </c>
      <c r="EE42" s="228">
        <v>6.65</v>
      </c>
      <c r="EF42" s="229">
        <v>4.4999999999999997E-3</v>
      </c>
      <c r="EG42" s="230">
        <v>338876</v>
      </c>
      <c r="EH42" s="230">
        <v>298137</v>
      </c>
      <c r="EI42" s="229">
        <v>0.1366</v>
      </c>
      <c r="EJ42" s="229">
        <v>0.39660000000000001</v>
      </c>
      <c r="EK42" s="228">
        <v>918.63</v>
      </c>
      <c r="EL42" s="228">
        <v>415.35</v>
      </c>
      <c r="EM42" s="228">
        <v>260.98</v>
      </c>
      <c r="EN42" s="228">
        <v>32.76</v>
      </c>
      <c r="EO42" s="231">
        <v>1594.96</v>
      </c>
      <c r="EP42" s="231">
        <v>1324.55</v>
      </c>
      <c r="EQ42" s="228">
        <v>270.41000000000003</v>
      </c>
      <c r="ER42" s="229">
        <v>0.20419999999999999</v>
      </c>
      <c r="ES42" s="231">
        <v>1083.02</v>
      </c>
      <c r="ET42" s="228">
        <v>696.89</v>
      </c>
      <c r="EU42" s="231">
        <v>1620.84</v>
      </c>
      <c r="EV42" s="231">
        <v>26647500</v>
      </c>
      <c r="EW42" s="231">
        <v>3400.76</v>
      </c>
      <c r="EX42" s="231">
        <v>3404.91</v>
      </c>
      <c r="EY42" s="228">
        <v>-4.1500000000000004</v>
      </c>
      <c r="EZ42" s="229">
        <v>-1.1999999999999999E-3</v>
      </c>
      <c r="FA42" s="229">
        <v>0.85160000000000002</v>
      </c>
      <c r="FB42" s="227" t="s">
        <v>556</v>
      </c>
      <c r="FC42">
        <f t="shared" si="0"/>
        <v>109</v>
      </c>
    </row>
    <row r="43" spans="1:159" ht="17.25" thickBot="1" x14ac:dyDescent="0.3">
      <c r="A43" s="226">
        <v>46029</v>
      </c>
      <c r="B43" s="227" t="s">
        <v>161</v>
      </c>
      <c r="C43" s="227" t="s">
        <v>612</v>
      </c>
      <c r="D43" s="228">
        <v>850</v>
      </c>
      <c r="E43" s="228">
        <v>20</v>
      </c>
      <c r="F43" s="228">
        <v>638.65</v>
      </c>
      <c r="G43" s="228">
        <v>641</v>
      </c>
      <c r="H43" s="228">
        <v>-2.35</v>
      </c>
      <c r="I43" s="229">
        <v>-3.7000000000000002E-3</v>
      </c>
      <c r="J43" s="228">
        <v>636.95000000000005</v>
      </c>
      <c r="K43" s="228">
        <v>637.85</v>
      </c>
      <c r="L43" s="228">
        <v>-0.9</v>
      </c>
      <c r="M43" s="229">
        <v>-1.4E-3</v>
      </c>
      <c r="N43" s="228">
        <v>638.65</v>
      </c>
      <c r="O43" s="228">
        <v>641</v>
      </c>
      <c r="P43" s="228">
        <v>-2.35</v>
      </c>
      <c r="Q43" s="229">
        <v>-3.7000000000000002E-3</v>
      </c>
      <c r="R43" s="228">
        <v>642.04999999999995</v>
      </c>
      <c r="S43" s="228">
        <v>644.70000000000005</v>
      </c>
      <c r="T43" s="228">
        <v>-2.65</v>
      </c>
      <c r="U43" s="229">
        <v>-4.1000000000000003E-3</v>
      </c>
      <c r="V43" s="228">
        <v>645.95000000000005</v>
      </c>
      <c r="W43" s="228">
        <v>647.15</v>
      </c>
      <c r="X43" s="228">
        <v>-1.2</v>
      </c>
      <c r="Y43" s="229">
        <v>-1.9E-3</v>
      </c>
      <c r="Z43" s="228">
        <v>1.7</v>
      </c>
      <c r="AA43" s="228">
        <v>3.15</v>
      </c>
      <c r="AB43" s="228">
        <v>-1.45</v>
      </c>
      <c r="AC43" s="229">
        <v>2.7000000000000001E-3</v>
      </c>
      <c r="AD43" s="228">
        <v>1.7</v>
      </c>
      <c r="AE43" s="228">
        <v>3.15</v>
      </c>
      <c r="AF43" s="228">
        <v>-1.45</v>
      </c>
      <c r="AG43" s="229">
        <v>2.7000000000000001E-3</v>
      </c>
      <c r="AH43" s="228">
        <v>5.0999999999999996</v>
      </c>
      <c r="AI43" s="228">
        <v>6.85</v>
      </c>
      <c r="AJ43" s="228">
        <v>-1.75</v>
      </c>
      <c r="AK43" s="229">
        <v>8.0000000000000002E-3</v>
      </c>
      <c r="AL43" s="228">
        <v>9</v>
      </c>
      <c r="AM43" s="228">
        <v>9.3000000000000007</v>
      </c>
      <c r="AN43" s="228">
        <v>-0.3</v>
      </c>
      <c r="AO43" s="229">
        <v>1.41E-2</v>
      </c>
      <c r="AP43" s="228">
        <v>640.35</v>
      </c>
      <c r="AQ43" s="228">
        <v>643.94000000000005</v>
      </c>
      <c r="AR43" s="228">
        <v>0</v>
      </c>
      <c r="AS43" s="228">
        <v>125</v>
      </c>
      <c r="AT43" s="228">
        <v>103</v>
      </c>
      <c r="AU43" s="228">
        <v>22</v>
      </c>
      <c r="AV43" s="229">
        <v>0.217</v>
      </c>
      <c r="AW43" s="228">
        <v>116</v>
      </c>
      <c r="AX43" s="228">
        <v>95</v>
      </c>
      <c r="AY43" s="228">
        <v>21</v>
      </c>
      <c r="AZ43" s="229">
        <v>0.22600000000000001</v>
      </c>
      <c r="BA43" s="228">
        <v>9</v>
      </c>
      <c r="BB43" s="228">
        <v>7</v>
      </c>
      <c r="BC43" s="228">
        <v>1</v>
      </c>
      <c r="BD43" s="229">
        <v>0.15329999999999999</v>
      </c>
      <c r="BE43" s="228">
        <v>1</v>
      </c>
      <c r="BF43" s="228">
        <v>1</v>
      </c>
      <c r="BG43" s="228">
        <v>0</v>
      </c>
      <c r="BH43" s="229">
        <v>-0.28570000000000001</v>
      </c>
      <c r="BI43" s="228">
        <v>292</v>
      </c>
      <c r="BJ43" s="228">
        <v>246</v>
      </c>
      <c r="BK43" s="228">
        <v>45</v>
      </c>
      <c r="BL43" s="229">
        <v>0.18459999999999999</v>
      </c>
      <c r="BM43" s="228">
        <v>108</v>
      </c>
      <c r="BN43" s="228">
        <v>88</v>
      </c>
      <c r="BO43" s="228">
        <v>20</v>
      </c>
      <c r="BP43" s="229">
        <v>0.22470000000000001</v>
      </c>
      <c r="BQ43" s="228">
        <v>524</v>
      </c>
      <c r="BR43" s="228">
        <v>437</v>
      </c>
      <c r="BS43" s="228">
        <v>88</v>
      </c>
      <c r="BT43" s="229">
        <v>0.20030000000000001</v>
      </c>
      <c r="BU43" s="230">
        <v>1242317</v>
      </c>
      <c r="BV43" s="230">
        <v>2058352</v>
      </c>
      <c r="BW43" s="230">
        <v>-816035</v>
      </c>
      <c r="BX43" s="229">
        <v>-0.39650000000000002</v>
      </c>
      <c r="BY43" s="230">
        <v>1034</v>
      </c>
      <c r="BZ43" s="230">
        <v>1011</v>
      </c>
      <c r="CA43" s="228">
        <v>22</v>
      </c>
      <c r="CB43" s="229">
        <v>2.2200000000000001E-2</v>
      </c>
      <c r="CC43" s="228">
        <v>997</v>
      </c>
      <c r="CD43" s="228">
        <v>977</v>
      </c>
      <c r="CE43" s="228">
        <v>19</v>
      </c>
      <c r="CF43" s="229">
        <v>1.9900000000000001E-2</v>
      </c>
      <c r="CG43" s="228">
        <v>34</v>
      </c>
      <c r="CH43" s="228">
        <v>31</v>
      </c>
      <c r="CI43" s="228">
        <v>3</v>
      </c>
      <c r="CJ43" s="229">
        <v>8.9800000000000005E-2</v>
      </c>
      <c r="CK43" s="228">
        <v>2</v>
      </c>
      <c r="CL43" s="228">
        <v>2</v>
      </c>
      <c r="CM43" s="228">
        <v>0</v>
      </c>
      <c r="CN43" s="229">
        <v>9.5200000000000007E-2</v>
      </c>
      <c r="CO43" s="228">
        <v>343</v>
      </c>
      <c r="CP43" s="228">
        <v>310</v>
      </c>
      <c r="CQ43" s="228">
        <v>34</v>
      </c>
      <c r="CR43" s="229">
        <v>0.1089</v>
      </c>
      <c r="CS43" s="228">
        <v>222</v>
      </c>
      <c r="CT43" s="228">
        <v>216</v>
      </c>
      <c r="CU43" s="228">
        <v>6</v>
      </c>
      <c r="CV43" s="229">
        <v>2.6100000000000002E-2</v>
      </c>
      <c r="CW43" s="230">
        <v>1599</v>
      </c>
      <c r="CX43" s="230">
        <v>1537</v>
      </c>
      <c r="CY43" s="228">
        <v>62</v>
      </c>
      <c r="CZ43" s="229">
        <v>4.02E-2</v>
      </c>
      <c r="DA43" s="228">
        <v>29.62</v>
      </c>
      <c r="DB43" s="228">
        <v>29.43</v>
      </c>
      <c r="DC43" s="228">
        <v>0.19</v>
      </c>
      <c r="DD43" s="228">
        <v>0.19</v>
      </c>
      <c r="DE43" s="228">
        <v>38.28</v>
      </c>
      <c r="DF43" s="228">
        <v>38.369999999999997</v>
      </c>
      <c r="DG43" s="228">
        <v>-8.66</v>
      </c>
      <c r="DH43" s="228">
        <v>-0.09</v>
      </c>
      <c r="DI43" s="228">
        <v>29.84</v>
      </c>
      <c r="DJ43" s="228">
        <v>29.7</v>
      </c>
      <c r="DK43" s="228">
        <v>0.14000000000000001</v>
      </c>
      <c r="DL43" s="228">
        <v>0.14000000000000001</v>
      </c>
      <c r="DM43" s="228">
        <v>29.04</v>
      </c>
      <c r="DN43" s="228">
        <v>28.68</v>
      </c>
      <c r="DO43" s="228">
        <v>0.36</v>
      </c>
      <c r="DP43" s="228">
        <v>0.36</v>
      </c>
      <c r="DQ43" s="228">
        <v>0.65</v>
      </c>
      <c r="DR43" s="228">
        <v>0.7</v>
      </c>
      <c r="DS43" s="228">
        <v>-0.05</v>
      </c>
      <c r="DT43" s="229">
        <v>-7.1400000000000005E-2</v>
      </c>
      <c r="DU43" s="228">
        <v>700</v>
      </c>
      <c r="DV43" s="228">
        <v>640</v>
      </c>
      <c r="DW43" s="228">
        <v>0.37</v>
      </c>
      <c r="DX43" s="228">
        <v>0.36</v>
      </c>
      <c r="DY43" s="228">
        <v>0.01</v>
      </c>
      <c r="DZ43" s="229">
        <v>2.7799999999999998E-2</v>
      </c>
      <c r="EA43" s="229">
        <v>3.56E-2</v>
      </c>
      <c r="EB43" s="230">
        <v>527850</v>
      </c>
      <c r="EC43" s="229">
        <v>5.3E-3</v>
      </c>
      <c r="ED43" s="229">
        <v>3.56E-2</v>
      </c>
      <c r="EE43" s="228">
        <v>3.59</v>
      </c>
      <c r="EF43" s="229">
        <v>5.5999999999999999E-3</v>
      </c>
      <c r="EG43" s="230">
        <v>610373</v>
      </c>
      <c r="EH43" s="230">
        <v>1160921</v>
      </c>
      <c r="EI43" s="229">
        <v>-0.47420000000000001</v>
      </c>
      <c r="EJ43" s="229">
        <v>0.49130000000000001</v>
      </c>
      <c r="EK43" s="228">
        <v>308.32</v>
      </c>
      <c r="EL43" s="228">
        <v>108.15</v>
      </c>
      <c r="EM43" s="228">
        <v>125.51</v>
      </c>
      <c r="EN43" s="228">
        <v>23.67</v>
      </c>
      <c r="EO43" s="228">
        <v>541.99</v>
      </c>
      <c r="EP43" s="228">
        <v>451.8</v>
      </c>
      <c r="EQ43" s="228">
        <v>90.19</v>
      </c>
      <c r="ER43" s="229">
        <v>0.1996</v>
      </c>
      <c r="ES43" s="228">
        <v>367.55</v>
      </c>
      <c r="ET43" s="228">
        <v>222.89</v>
      </c>
      <c r="EU43" s="231">
        <v>1033.8599999999999</v>
      </c>
      <c r="EV43" s="231">
        <v>103060454</v>
      </c>
      <c r="EW43" s="231">
        <v>1624.3</v>
      </c>
      <c r="EX43" s="231">
        <v>1564.48</v>
      </c>
      <c r="EY43" s="228">
        <v>59.82</v>
      </c>
      <c r="EZ43" s="229">
        <v>3.8199999999999998E-2</v>
      </c>
      <c r="FA43" s="229">
        <v>0.2429</v>
      </c>
      <c r="FB43" s="227" t="s">
        <v>567</v>
      </c>
      <c r="FC43">
        <f t="shared" si="0"/>
        <v>37</v>
      </c>
    </row>
    <row r="44" spans="1:159" ht="17.25" thickBot="1" x14ac:dyDescent="0.3">
      <c r="A44" s="226">
        <v>46029</v>
      </c>
      <c r="B44" s="227" t="s">
        <v>175</v>
      </c>
      <c r="C44" s="227" t="s">
        <v>198</v>
      </c>
      <c r="D44" s="228">
        <v>625</v>
      </c>
      <c r="E44" s="228">
        <v>20</v>
      </c>
      <c r="F44" s="231">
        <v>1794.7</v>
      </c>
      <c r="G44" s="231">
        <v>1813.3</v>
      </c>
      <c r="H44" s="228">
        <v>-18.600000000000001</v>
      </c>
      <c r="I44" s="229">
        <v>-1.03E-2</v>
      </c>
      <c r="J44" s="231">
        <v>1786.5</v>
      </c>
      <c r="K44" s="231">
        <v>1805.4</v>
      </c>
      <c r="L44" s="228">
        <v>-18.899999999999999</v>
      </c>
      <c r="M44" s="229">
        <v>-1.0500000000000001E-2</v>
      </c>
      <c r="N44" s="231">
        <v>1794.7</v>
      </c>
      <c r="O44" s="231">
        <v>1813.3</v>
      </c>
      <c r="P44" s="228">
        <v>-18.600000000000001</v>
      </c>
      <c r="Q44" s="229">
        <v>-1.03E-2</v>
      </c>
      <c r="R44" s="231">
        <v>1798.1</v>
      </c>
      <c r="S44" s="231">
        <v>1812.3</v>
      </c>
      <c r="T44" s="228">
        <v>-14.2</v>
      </c>
      <c r="U44" s="229">
        <v>-7.7999999999999996E-3</v>
      </c>
      <c r="V44" s="231">
        <v>1801.4</v>
      </c>
      <c r="W44" s="231">
        <v>1810.2</v>
      </c>
      <c r="X44" s="228">
        <v>-8.8000000000000007</v>
      </c>
      <c r="Y44" s="229">
        <v>-4.8999999999999998E-3</v>
      </c>
      <c r="Z44" s="228">
        <v>8.1999999999999993</v>
      </c>
      <c r="AA44" s="228">
        <v>7.9</v>
      </c>
      <c r="AB44" s="228">
        <v>0.3</v>
      </c>
      <c r="AC44" s="229">
        <v>4.5999999999999999E-3</v>
      </c>
      <c r="AD44" s="228">
        <v>8.1999999999999993</v>
      </c>
      <c r="AE44" s="228">
        <v>7.9</v>
      </c>
      <c r="AF44" s="228">
        <v>0.3</v>
      </c>
      <c r="AG44" s="229">
        <v>4.5999999999999999E-3</v>
      </c>
      <c r="AH44" s="228">
        <v>11.6</v>
      </c>
      <c r="AI44" s="228">
        <v>6.9</v>
      </c>
      <c r="AJ44" s="228">
        <v>4.7</v>
      </c>
      <c r="AK44" s="229">
        <v>6.4999999999999997E-3</v>
      </c>
      <c r="AL44" s="228">
        <v>14.9</v>
      </c>
      <c r="AM44" s="228">
        <v>4.8</v>
      </c>
      <c r="AN44" s="228">
        <v>10.1</v>
      </c>
      <c r="AO44" s="229">
        <v>8.3000000000000001E-3</v>
      </c>
      <c r="AP44" s="231">
        <v>1794.89</v>
      </c>
      <c r="AQ44" s="231">
        <v>1796.52</v>
      </c>
      <c r="AR44" s="228">
        <v>0</v>
      </c>
      <c r="AS44" s="228">
        <v>220</v>
      </c>
      <c r="AT44" s="228">
        <v>593</v>
      </c>
      <c r="AU44" s="228">
        <v>-373</v>
      </c>
      <c r="AV44" s="229">
        <v>-0.62890000000000001</v>
      </c>
      <c r="AW44" s="228">
        <v>207</v>
      </c>
      <c r="AX44" s="228">
        <v>564</v>
      </c>
      <c r="AY44" s="228">
        <v>-357</v>
      </c>
      <c r="AZ44" s="229">
        <v>-0.63319999999999999</v>
      </c>
      <c r="BA44" s="228">
        <v>12</v>
      </c>
      <c r="BB44" s="228">
        <v>25</v>
      </c>
      <c r="BC44" s="228">
        <v>-13</v>
      </c>
      <c r="BD44" s="229">
        <v>-0.51559999999999995</v>
      </c>
      <c r="BE44" s="228">
        <v>1</v>
      </c>
      <c r="BF44" s="228">
        <v>4</v>
      </c>
      <c r="BG44" s="228">
        <v>-3</v>
      </c>
      <c r="BH44" s="229">
        <v>-0.72970000000000002</v>
      </c>
      <c r="BI44" s="228">
        <v>542</v>
      </c>
      <c r="BJ44" s="230">
        <v>3568</v>
      </c>
      <c r="BK44" s="230">
        <v>-3026</v>
      </c>
      <c r="BL44" s="229">
        <v>-0.84819999999999995</v>
      </c>
      <c r="BM44" s="228">
        <v>475</v>
      </c>
      <c r="BN44" s="230">
        <v>1451</v>
      </c>
      <c r="BO44" s="228">
        <v>-975</v>
      </c>
      <c r="BP44" s="229">
        <v>-0.67220000000000002</v>
      </c>
      <c r="BQ44" s="230">
        <v>1237</v>
      </c>
      <c r="BR44" s="230">
        <v>5612</v>
      </c>
      <c r="BS44" s="230">
        <v>-4374</v>
      </c>
      <c r="BT44" s="229">
        <v>-0.77949999999999997</v>
      </c>
      <c r="BU44" s="230">
        <v>678700</v>
      </c>
      <c r="BV44" s="230">
        <v>1843859</v>
      </c>
      <c r="BW44" s="230">
        <v>-1165159</v>
      </c>
      <c r="BX44" s="229">
        <v>-0.63190000000000002</v>
      </c>
      <c r="BY44" s="230">
        <v>2028</v>
      </c>
      <c r="BZ44" s="230">
        <v>2064</v>
      </c>
      <c r="CA44" s="228">
        <v>-36</v>
      </c>
      <c r="CB44" s="229">
        <v>-1.77E-2</v>
      </c>
      <c r="CC44" s="230">
        <v>1992</v>
      </c>
      <c r="CD44" s="230">
        <v>2029</v>
      </c>
      <c r="CE44" s="228">
        <v>-37</v>
      </c>
      <c r="CF44" s="229">
        <v>-1.8200000000000001E-2</v>
      </c>
      <c r="CG44" s="228">
        <v>32</v>
      </c>
      <c r="CH44" s="228">
        <v>32</v>
      </c>
      <c r="CI44" s="228">
        <v>0</v>
      </c>
      <c r="CJ44" s="229">
        <v>0</v>
      </c>
      <c r="CK44" s="228">
        <v>4</v>
      </c>
      <c r="CL44" s="228">
        <v>3</v>
      </c>
      <c r="CM44" s="228">
        <v>1</v>
      </c>
      <c r="CN44" s="229">
        <v>0.1613</v>
      </c>
      <c r="CO44" s="228">
        <v>952</v>
      </c>
      <c r="CP44" s="228">
        <v>924</v>
      </c>
      <c r="CQ44" s="228">
        <v>27</v>
      </c>
      <c r="CR44" s="229">
        <v>2.9700000000000001E-2</v>
      </c>
      <c r="CS44" s="228">
        <v>814</v>
      </c>
      <c r="CT44" s="228">
        <v>819</v>
      </c>
      <c r="CU44" s="228">
        <v>-5</v>
      </c>
      <c r="CV44" s="229">
        <v>-6.6E-3</v>
      </c>
      <c r="CW44" s="230">
        <v>3793</v>
      </c>
      <c r="CX44" s="230">
        <v>3808</v>
      </c>
      <c r="CY44" s="228">
        <v>-14</v>
      </c>
      <c r="CZ44" s="229">
        <v>-3.8E-3</v>
      </c>
      <c r="DA44" s="228">
        <v>24.28</v>
      </c>
      <c r="DB44" s="228">
        <v>24.41</v>
      </c>
      <c r="DC44" s="228">
        <v>-0.13</v>
      </c>
      <c r="DD44" s="228">
        <v>-0.13</v>
      </c>
      <c r="DE44" s="228">
        <v>37.380000000000003</v>
      </c>
      <c r="DF44" s="228">
        <v>37.450000000000003</v>
      </c>
      <c r="DG44" s="228">
        <v>-13.1</v>
      </c>
      <c r="DH44" s="228">
        <v>-7.0000000000000007E-2</v>
      </c>
      <c r="DI44" s="228">
        <v>24.17</v>
      </c>
      <c r="DJ44" s="228">
        <v>24.1</v>
      </c>
      <c r="DK44" s="228">
        <v>7.0000000000000007E-2</v>
      </c>
      <c r="DL44" s="228">
        <v>7.0000000000000007E-2</v>
      </c>
      <c r="DM44" s="228">
        <v>24.39</v>
      </c>
      <c r="DN44" s="228">
        <v>25.16</v>
      </c>
      <c r="DO44" s="228">
        <v>-0.77</v>
      </c>
      <c r="DP44" s="228">
        <v>-0.77</v>
      </c>
      <c r="DQ44" s="228">
        <v>0.85</v>
      </c>
      <c r="DR44" s="228">
        <v>0.89</v>
      </c>
      <c r="DS44" s="228">
        <v>-0.04</v>
      </c>
      <c r="DT44" s="229">
        <v>-4.4900000000000002E-2</v>
      </c>
      <c r="DU44" s="231">
        <v>1720</v>
      </c>
      <c r="DV44" s="231">
        <v>1700</v>
      </c>
      <c r="DW44" s="228">
        <v>0.88</v>
      </c>
      <c r="DX44" s="228">
        <v>0.41</v>
      </c>
      <c r="DY44" s="228">
        <v>0.47</v>
      </c>
      <c r="DZ44" s="229">
        <v>1.1463000000000001</v>
      </c>
      <c r="EA44" s="229">
        <v>1.78E-2</v>
      </c>
      <c r="EB44" s="230">
        <v>197500</v>
      </c>
      <c r="EC44" s="229">
        <v>1.9E-3</v>
      </c>
      <c r="ED44" s="229">
        <v>1.78E-2</v>
      </c>
      <c r="EE44" s="228">
        <v>1.63</v>
      </c>
      <c r="EF44" s="229">
        <v>8.9999999999999998E-4</v>
      </c>
      <c r="EG44" s="230">
        <v>398468</v>
      </c>
      <c r="EH44" s="230">
        <v>752099</v>
      </c>
      <c r="EI44" s="229">
        <v>-0.47020000000000001</v>
      </c>
      <c r="EJ44" s="229">
        <v>0.58709999999999996</v>
      </c>
      <c r="EK44" s="228">
        <v>566.19000000000005</v>
      </c>
      <c r="EL44" s="228">
        <v>466.22</v>
      </c>
      <c r="EM44" s="228">
        <v>220.11</v>
      </c>
      <c r="EN44" s="228">
        <v>37.409999999999997</v>
      </c>
      <c r="EO44" s="231">
        <v>1252.51</v>
      </c>
      <c r="EP44" s="231">
        <v>5772.95</v>
      </c>
      <c r="EQ44" s="231">
        <v>-4520.4399999999996</v>
      </c>
      <c r="ER44" s="229">
        <v>-0.78300000000000003</v>
      </c>
      <c r="ES44" s="228">
        <v>956.74</v>
      </c>
      <c r="ET44" s="228">
        <v>749.31</v>
      </c>
      <c r="EU44" s="231">
        <v>2028.09</v>
      </c>
      <c r="EV44" s="231">
        <v>63257923</v>
      </c>
      <c r="EW44" s="231">
        <v>3734.14</v>
      </c>
      <c r="EX44" s="231">
        <v>3768.43</v>
      </c>
      <c r="EY44" s="228">
        <v>-34.29</v>
      </c>
      <c r="EZ44" s="229">
        <v>-9.1000000000000004E-3</v>
      </c>
      <c r="FA44" s="229">
        <v>0.33410000000000001</v>
      </c>
      <c r="FB44" s="227" t="s">
        <v>568</v>
      </c>
      <c r="FC44">
        <f t="shared" si="0"/>
        <v>36</v>
      </c>
    </row>
    <row r="45" spans="1:159" ht="17.25" thickBot="1" x14ac:dyDescent="0.3">
      <c r="A45" s="226">
        <v>46029</v>
      </c>
      <c r="B45" s="227" t="s">
        <v>170</v>
      </c>
      <c r="C45" s="227" t="s">
        <v>199</v>
      </c>
      <c r="D45" s="228">
        <v>375</v>
      </c>
      <c r="E45" s="228">
        <v>20</v>
      </c>
      <c r="F45" s="231">
        <v>1471.6</v>
      </c>
      <c r="G45" s="231">
        <v>1537.9</v>
      </c>
      <c r="H45" s="228">
        <v>-66.3</v>
      </c>
      <c r="I45" s="229">
        <v>-4.3099999999999999E-2</v>
      </c>
      <c r="J45" s="231">
        <v>1467.9</v>
      </c>
      <c r="K45" s="231">
        <v>1530.8</v>
      </c>
      <c r="L45" s="228">
        <v>-62.9</v>
      </c>
      <c r="M45" s="229">
        <v>-4.1099999999999998E-2</v>
      </c>
      <c r="N45" s="231">
        <v>1471.6</v>
      </c>
      <c r="O45" s="231">
        <v>1537.9</v>
      </c>
      <c r="P45" s="228">
        <v>-66.3</v>
      </c>
      <c r="Q45" s="229">
        <v>-4.3099999999999999E-2</v>
      </c>
      <c r="R45" s="231">
        <v>1480.1</v>
      </c>
      <c r="S45" s="231">
        <v>1546.7</v>
      </c>
      <c r="T45" s="228">
        <v>-66.599999999999994</v>
      </c>
      <c r="U45" s="229">
        <v>-4.3099999999999999E-2</v>
      </c>
      <c r="V45" s="231">
        <v>1490.4</v>
      </c>
      <c r="W45" s="231">
        <v>1557.4</v>
      </c>
      <c r="X45" s="228">
        <v>-67</v>
      </c>
      <c r="Y45" s="229">
        <v>-4.2999999999999997E-2</v>
      </c>
      <c r="Z45" s="228">
        <v>3.7</v>
      </c>
      <c r="AA45" s="228">
        <v>7.1</v>
      </c>
      <c r="AB45" s="228">
        <v>-3.4</v>
      </c>
      <c r="AC45" s="229">
        <v>2.5000000000000001E-3</v>
      </c>
      <c r="AD45" s="228">
        <v>3.7</v>
      </c>
      <c r="AE45" s="228">
        <v>7.1</v>
      </c>
      <c r="AF45" s="228">
        <v>-3.4</v>
      </c>
      <c r="AG45" s="229">
        <v>2.5000000000000001E-3</v>
      </c>
      <c r="AH45" s="228">
        <v>12.2</v>
      </c>
      <c r="AI45" s="228">
        <v>15.9</v>
      </c>
      <c r="AJ45" s="228">
        <v>-3.7</v>
      </c>
      <c r="AK45" s="229">
        <v>8.3000000000000001E-3</v>
      </c>
      <c r="AL45" s="228">
        <v>22.5</v>
      </c>
      <c r="AM45" s="228">
        <v>26.6</v>
      </c>
      <c r="AN45" s="228">
        <v>-4.0999999999999996</v>
      </c>
      <c r="AO45" s="229">
        <v>1.5299999999999999E-2</v>
      </c>
      <c r="AP45" s="231">
        <v>1485.69</v>
      </c>
      <c r="AQ45" s="231">
        <v>1491.94</v>
      </c>
      <c r="AR45" s="228">
        <v>0</v>
      </c>
      <c r="AS45" s="228">
        <v>999</v>
      </c>
      <c r="AT45" s="228">
        <v>247</v>
      </c>
      <c r="AU45" s="228">
        <v>752</v>
      </c>
      <c r="AV45" s="229">
        <v>3.0489999999999999</v>
      </c>
      <c r="AW45" s="228">
        <v>923</v>
      </c>
      <c r="AX45" s="228">
        <v>230</v>
      </c>
      <c r="AY45" s="228">
        <v>693</v>
      </c>
      <c r="AZ45" s="229">
        <v>3.0156000000000001</v>
      </c>
      <c r="BA45" s="228">
        <v>65</v>
      </c>
      <c r="BB45" s="228">
        <v>15</v>
      </c>
      <c r="BC45" s="228">
        <v>50</v>
      </c>
      <c r="BD45" s="229">
        <v>3.3283999999999998</v>
      </c>
      <c r="BE45" s="228">
        <v>12</v>
      </c>
      <c r="BF45" s="228">
        <v>2</v>
      </c>
      <c r="BG45" s="228">
        <v>10</v>
      </c>
      <c r="BH45" s="229">
        <v>4.7104999999999997</v>
      </c>
      <c r="BI45" s="230">
        <v>4105</v>
      </c>
      <c r="BJ45" s="230">
        <v>1123</v>
      </c>
      <c r="BK45" s="230">
        <v>2982</v>
      </c>
      <c r="BL45" s="229">
        <v>2.6558999999999999</v>
      </c>
      <c r="BM45" s="230">
        <v>4758</v>
      </c>
      <c r="BN45" s="228">
        <v>405</v>
      </c>
      <c r="BO45" s="230">
        <v>4354</v>
      </c>
      <c r="BP45" s="229">
        <v>10.758900000000001</v>
      </c>
      <c r="BQ45" s="230">
        <v>9863</v>
      </c>
      <c r="BR45" s="230">
        <v>1774</v>
      </c>
      <c r="BS45" s="230">
        <v>8088</v>
      </c>
      <c r="BT45" s="229">
        <v>4.5587</v>
      </c>
      <c r="BU45" s="230">
        <v>5440140</v>
      </c>
      <c r="BV45" s="230">
        <v>1635636</v>
      </c>
      <c r="BW45" s="230">
        <v>3804504</v>
      </c>
      <c r="BX45" s="229">
        <v>2.3260000000000001</v>
      </c>
      <c r="BY45" s="230">
        <v>1987</v>
      </c>
      <c r="BZ45" s="230">
        <v>1774</v>
      </c>
      <c r="CA45" s="228">
        <v>213</v>
      </c>
      <c r="CB45" s="229">
        <v>0.12</v>
      </c>
      <c r="CC45" s="230">
        <v>1930</v>
      </c>
      <c r="CD45" s="230">
        <v>1752</v>
      </c>
      <c r="CE45" s="228">
        <v>179</v>
      </c>
      <c r="CF45" s="229">
        <v>0.1021</v>
      </c>
      <c r="CG45" s="228">
        <v>47</v>
      </c>
      <c r="CH45" s="228">
        <v>20</v>
      </c>
      <c r="CI45" s="228">
        <v>27</v>
      </c>
      <c r="CJ45" s="229">
        <v>1.3425</v>
      </c>
      <c r="CK45" s="228">
        <v>10</v>
      </c>
      <c r="CL45" s="228">
        <v>3</v>
      </c>
      <c r="CM45" s="228">
        <v>7</v>
      </c>
      <c r="CN45" s="229">
        <v>2.5293999999999999</v>
      </c>
      <c r="CO45" s="228">
        <v>877</v>
      </c>
      <c r="CP45" s="228">
        <v>511</v>
      </c>
      <c r="CQ45" s="228">
        <v>366</v>
      </c>
      <c r="CR45" s="229">
        <v>0.71630000000000005</v>
      </c>
      <c r="CS45" s="228">
        <v>663</v>
      </c>
      <c r="CT45" s="228">
        <v>388</v>
      </c>
      <c r="CU45" s="228">
        <v>275</v>
      </c>
      <c r="CV45" s="229">
        <v>0.7077</v>
      </c>
      <c r="CW45" s="230">
        <v>3528</v>
      </c>
      <c r="CX45" s="230">
        <v>2674</v>
      </c>
      <c r="CY45" s="228">
        <v>854</v>
      </c>
      <c r="CZ45" s="229">
        <v>0.31929999999999997</v>
      </c>
      <c r="DA45" s="228">
        <v>23.92</v>
      </c>
      <c r="DB45" s="228">
        <v>19.37</v>
      </c>
      <c r="DC45" s="228">
        <v>4.55</v>
      </c>
      <c r="DD45" s="228">
        <v>4.55</v>
      </c>
      <c r="DE45" s="228">
        <v>25.71</v>
      </c>
      <c r="DF45" s="228">
        <v>25.08</v>
      </c>
      <c r="DG45" s="228">
        <v>-1.79</v>
      </c>
      <c r="DH45" s="228">
        <v>0.63</v>
      </c>
      <c r="DI45" s="228">
        <v>23.51</v>
      </c>
      <c r="DJ45" s="228">
        <v>19.170000000000002</v>
      </c>
      <c r="DK45" s="228">
        <v>4.34</v>
      </c>
      <c r="DL45" s="228">
        <v>4.34</v>
      </c>
      <c r="DM45" s="228">
        <v>24.27</v>
      </c>
      <c r="DN45" s="228">
        <v>19.93</v>
      </c>
      <c r="DO45" s="228">
        <v>4.34</v>
      </c>
      <c r="DP45" s="228">
        <v>4.34</v>
      </c>
      <c r="DQ45" s="228">
        <v>0.76</v>
      </c>
      <c r="DR45" s="228">
        <v>0.76</v>
      </c>
      <c r="DS45" s="228">
        <v>0</v>
      </c>
      <c r="DT45" s="229">
        <v>0</v>
      </c>
      <c r="DU45" s="231">
        <v>1500</v>
      </c>
      <c r="DV45" s="231">
        <v>1400</v>
      </c>
      <c r="DW45" s="228">
        <v>1.1599999999999999</v>
      </c>
      <c r="DX45" s="228">
        <v>0.36</v>
      </c>
      <c r="DY45" s="228">
        <v>0.8</v>
      </c>
      <c r="DZ45" s="229">
        <v>2.2222</v>
      </c>
      <c r="EA45" s="229">
        <v>2.8500000000000001E-2</v>
      </c>
      <c r="EB45" s="230">
        <v>154875</v>
      </c>
      <c r="EC45" s="229">
        <v>5.7999999999999996E-3</v>
      </c>
      <c r="ED45" s="229">
        <v>2.8500000000000001E-2</v>
      </c>
      <c r="EE45" s="228">
        <v>6.25</v>
      </c>
      <c r="EF45" s="229">
        <v>4.1999999999999997E-3</v>
      </c>
      <c r="EG45" s="230">
        <v>2527213</v>
      </c>
      <c r="EH45" s="230">
        <v>1131989</v>
      </c>
      <c r="EI45" s="229">
        <v>1.2324999999999999</v>
      </c>
      <c r="EJ45" s="229">
        <v>0.46450000000000002</v>
      </c>
      <c r="EK45" s="231">
        <v>4311.42</v>
      </c>
      <c r="EL45" s="231">
        <v>4766.43</v>
      </c>
      <c r="EM45" s="231">
        <v>1009.21</v>
      </c>
      <c r="EN45" s="228">
        <v>28.54</v>
      </c>
      <c r="EO45" s="231">
        <v>10087.06</v>
      </c>
      <c r="EP45" s="231">
        <v>1882.22</v>
      </c>
      <c r="EQ45" s="231">
        <v>8204.83</v>
      </c>
      <c r="ER45" s="229">
        <v>4.3590999999999998</v>
      </c>
      <c r="ES45" s="228">
        <v>918.99</v>
      </c>
      <c r="ET45" s="228">
        <v>649.75</v>
      </c>
      <c r="EU45" s="231">
        <v>1987.55</v>
      </c>
      <c r="EV45" s="231">
        <v>59297360</v>
      </c>
      <c r="EW45" s="231">
        <v>3556.29</v>
      </c>
      <c r="EX45" s="231">
        <v>2786.35</v>
      </c>
      <c r="EY45" s="228">
        <v>769.94</v>
      </c>
      <c r="EZ45" s="229">
        <v>0.27629999999999999</v>
      </c>
      <c r="FA45" s="229">
        <v>0.40429999999999999</v>
      </c>
      <c r="FB45" s="227" t="s">
        <v>567</v>
      </c>
      <c r="FC45">
        <f t="shared" si="0"/>
        <v>57</v>
      </c>
    </row>
    <row r="46" spans="1:159" ht="17.25" thickBot="1" x14ac:dyDescent="0.3">
      <c r="A46" s="226">
        <v>46029</v>
      </c>
      <c r="B46" s="227" t="s">
        <v>227</v>
      </c>
      <c r="C46" s="227" t="s">
        <v>200</v>
      </c>
      <c r="D46" s="228">
        <v>1350</v>
      </c>
      <c r="E46" s="228">
        <v>20</v>
      </c>
      <c r="F46" s="228">
        <v>432.75</v>
      </c>
      <c r="G46" s="228">
        <v>428.15</v>
      </c>
      <c r="H46" s="228">
        <v>4.5999999999999996</v>
      </c>
      <c r="I46" s="229">
        <v>1.0699999999999999E-2</v>
      </c>
      <c r="J46" s="228">
        <v>431.65</v>
      </c>
      <c r="K46" s="228">
        <v>427.05</v>
      </c>
      <c r="L46" s="228">
        <v>4.5999999999999996</v>
      </c>
      <c r="M46" s="229">
        <v>1.0800000000000001E-2</v>
      </c>
      <c r="N46" s="228">
        <v>432.75</v>
      </c>
      <c r="O46" s="228">
        <v>428.15</v>
      </c>
      <c r="P46" s="228">
        <v>4.5999999999999996</v>
      </c>
      <c r="Q46" s="229">
        <v>1.0699999999999999E-2</v>
      </c>
      <c r="R46" s="228">
        <v>430.2</v>
      </c>
      <c r="S46" s="228">
        <v>425.85</v>
      </c>
      <c r="T46" s="228">
        <v>4.3499999999999996</v>
      </c>
      <c r="U46" s="229">
        <v>1.0200000000000001E-2</v>
      </c>
      <c r="V46" s="228">
        <v>432.7</v>
      </c>
      <c r="W46" s="228">
        <v>428.75</v>
      </c>
      <c r="X46" s="228">
        <v>3.95</v>
      </c>
      <c r="Y46" s="229">
        <v>9.1999999999999998E-3</v>
      </c>
      <c r="Z46" s="228">
        <v>1.1000000000000001</v>
      </c>
      <c r="AA46" s="228">
        <v>1.1000000000000001</v>
      </c>
      <c r="AB46" s="228">
        <v>0</v>
      </c>
      <c r="AC46" s="229">
        <v>2.5000000000000001E-3</v>
      </c>
      <c r="AD46" s="228">
        <v>1.1000000000000001</v>
      </c>
      <c r="AE46" s="228">
        <v>1.1000000000000001</v>
      </c>
      <c r="AF46" s="228">
        <v>0</v>
      </c>
      <c r="AG46" s="229">
        <v>2.5000000000000001E-3</v>
      </c>
      <c r="AH46" s="228">
        <v>-1.45</v>
      </c>
      <c r="AI46" s="228">
        <v>-1.2</v>
      </c>
      <c r="AJ46" s="228">
        <v>-0.25</v>
      </c>
      <c r="AK46" s="229">
        <v>-3.3999999999999998E-3</v>
      </c>
      <c r="AL46" s="228">
        <v>1.05</v>
      </c>
      <c r="AM46" s="228">
        <v>1.7</v>
      </c>
      <c r="AN46" s="228">
        <v>-0.65</v>
      </c>
      <c r="AO46" s="229">
        <v>2.3999999999999998E-3</v>
      </c>
      <c r="AP46" s="228">
        <v>430</v>
      </c>
      <c r="AQ46" s="228">
        <v>427.77</v>
      </c>
      <c r="AR46" s="228">
        <v>0</v>
      </c>
      <c r="AS46" s="228">
        <v>438</v>
      </c>
      <c r="AT46" s="228">
        <v>441</v>
      </c>
      <c r="AU46" s="228">
        <v>-3</v>
      </c>
      <c r="AV46" s="229">
        <v>-7.7999999999999996E-3</v>
      </c>
      <c r="AW46" s="228">
        <v>399</v>
      </c>
      <c r="AX46" s="228">
        <v>396</v>
      </c>
      <c r="AY46" s="228">
        <v>4</v>
      </c>
      <c r="AZ46" s="229">
        <v>8.9999999999999993E-3</v>
      </c>
      <c r="BA46" s="228">
        <v>34</v>
      </c>
      <c r="BB46" s="228">
        <v>40</v>
      </c>
      <c r="BC46" s="228">
        <v>-6</v>
      </c>
      <c r="BD46" s="229">
        <v>-0.1426</v>
      </c>
      <c r="BE46" s="228">
        <v>5</v>
      </c>
      <c r="BF46" s="228">
        <v>6</v>
      </c>
      <c r="BG46" s="228">
        <v>-1</v>
      </c>
      <c r="BH46" s="229">
        <v>-0.22120000000000001</v>
      </c>
      <c r="BI46" s="230">
        <v>2393</v>
      </c>
      <c r="BJ46" s="230">
        <v>2016</v>
      </c>
      <c r="BK46" s="228">
        <v>377</v>
      </c>
      <c r="BL46" s="229">
        <v>0.18709999999999999</v>
      </c>
      <c r="BM46" s="228">
        <v>759</v>
      </c>
      <c r="BN46" s="228">
        <v>867</v>
      </c>
      <c r="BO46" s="228">
        <v>-108</v>
      </c>
      <c r="BP46" s="229">
        <v>-0.1249</v>
      </c>
      <c r="BQ46" s="230">
        <v>3589</v>
      </c>
      <c r="BR46" s="230">
        <v>3324</v>
      </c>
      <c r="BS46" s="228">
        <v>265</v>
      </c>
      <c r="BT46" s="229">
        <v>7.9799999999999996E-2</v>
      </c>
      <c r="BU46" s="230">
        <v>9343715</v>
      </c>
      <c r="BV46" s="230">
        <v>7261171</v>
      </c>
      <c r="BW46" s="230">
        <v>2082544</v>
      </c>
      <c r="BX46" s="229">
        <v>0.2868</v>
      </c>
      <c r="BY46" s="230">
        <v>2331</v>
      </c>
      <c r="BZ46" s="230">
        <v>2381</v>
      </c>
      <c r="CA46" s="228">
        <v>-50</v>
      </c>
      <c r="CB46" s="229">
        <v>-2.0799999999999999E-2</v>
      </c>
      <c r="CC46" s="230">
        <v>2178</v>
      </c>
      <c r="CD46" s="230">
        <v>2228</v>
      </c>
      <c r="CE46" s="228">
        <v>-51</v>
      </c>
      <c r="CF46" s="229">
        <v>-2.2800000000000001E-2</v>
      </c>
      <c r="CG46" s="228">
        <v>136</v>
      </c>
      <c r="CH46" s="228">
        <v>135</v>
      </c>
      <c r="CI46" s="228">
        <v>1</v>
      </c>
      <c r="CJ46" s="229">
        <v>9.1000000000000004E-3</v>
      </c>
      <c r="CK46" s="228">
        <v>17</v>
      </c>
      <c r="CL46" s="228">
        <v>17</v>
      </c>
      <c r="CM46" s="228">
        <v>0</v>
      </c>
      <c r="CN46" s="229">
        <v>0</v>
      </c>
      <c r="CO46" s="230">
        <v>2093</v>
      </c>
      <c r="CP46" s="230">
        <v>2009</v>
      </c>
      <c r="CQ46" s="228">
        <v>84</v>
      </c>
      <c r="CR46" s="229">
        <v>4.2000000000000003E-2</v>
      </c>
      <c r="CS46" s="230">
        <v>1182</v>
      </c>
      <c r="CT46" s="230">
        <v>1136</v>
      </c>
      <c r="CU46" s="228">
        <v>46</v>
      </c>
      <c r="CV46" s="229">
        <v>4.0800000000000003E-2</v>
      </c>
      <c r="CW46" s="230">
        <v>5606</v>
      </c>
      <c r="CX46" s="230">
        <v>5525</v>
      </c>
      <c r="CY46" s="228">
        <v>81</v>
      </c>
      <c r="CZ46" s="229">
        <v>1.47E-2</v>
      </c>
      <c r="DA46" s="228">
        <v>23.62</v>
      </c>
      <c r="DB46" s="228">
        <v>24.31</v>
      </c>
      <c r="DC46" s="228">
        <v>-0.69</v>
      </c>
      <c r="DD46" s="228">
        <v>-0.69</v>
      </c>
      <c r="DE46" s="228">
        <v>27.94</v>
      </c>
      <c r="DF46" s="228">
        <v>27.98</v>
      </c>
      <c r="DG46" s="228">
        <v>-4.32</v>
      </c>
      <c r="DH46" s="228">
        <v>-0.04</v>
      </c>
      <c r="DI46" s="228">
        <v>23.45</v>
      </c>
      <c r="DJ46" s="228">
        <v>24.36</v>
      </c>
      <c r="DK46" s="228">
        <v>-0.91</v>
      </c>
      <c r="DL46" s="228">
        <v>-0.91</v>
      </c>
      <c r="DM46" s="228">
        <v>24.16</v>
      </c>
      <c r="DN46" s="228">
        <v>24.2</v>
      </c>
      <c r="DO46" s="228">
        <v>-0.04</v>
      </c>
      <c r="DP46" s="228">
        <v>-0.04</v>
      </c>
      <c r="DQ46" s="228">
        <v>0.56000000000000005</v>
      </c>
      <c r="DR46" s="228">
        <v>0.56999999999999995</v>
      </c>
      <c r="DS46" s="228">
        <v>-0.01</v>
      </c>
      <c r="DT46" s="229">
        <v>-1.7500000000000002E-2</v>
      </c>
      <c r="DU46" s="228">
        <v>430</v>
      </c>
      <c r="DV46" s="228">
        <v>400</v>
      </c>
      <c r="DW46" s="228">
        <v>0.32</v>
      </c>
      <c r="DX46" s="228">
        <v>0.43</v>
      </c>
      <c r="DY46" s="228">
        <v>-0.11</v>
      </c>
      <c r="DZ46" s="229">
        <v>-0.25580000000000003</v>
      </c>
      <c r="EA46" s="229">
        <v>6.5799999999999997E-2</v>
      </c>
      <c r="EB46" s="230">
        <v>3518100</v>
      </c>
      <c r="EC46" s="229">
        <v>-5.8999999999999999E-3</v>
      </c>
      <c r="ED46" s="229">
        <v>6.5799999999999997E-2</v>
      </c>
      <c r="EE46" s="228">
        <v>-2.23</v>
      </c>
      <c r="EF46" s="229">
        <v>-5.1999999999999998E-3</v>
      </c>
      <c r="EG46" s="230">
        <v>4704270</v>
      </c>
      <c r="EH46" s="230">
        <v>3242521</v>
      </c>
      <c r="EI46" s="229">
        <v>0.45079999999999998</v>
      </c>
      <c r="EJ46" s="229">
        <v>0.50349999999999995</v>
      </c>
      <c r="EK46" s="231">
        <v>2468.85</v>
      </c>
      <c r="EL46" s="228">
        <v>743.64</v>
      </c>
      <c r="EM46" s="228">
        <v>434.92</v>
      </c>
      <c r="EN46" s="228">
        <v>142.34</v>
      </c>
      <c r="EO46" s="231">
        <v>3647.41</v>
      </c>
      <c r="EP46" s="231">
        <v>3356.99</v>
      </c>
      <c r="EQ46" s="228">
        <v>290.42</v>
      </c>
      <c r="ER46" s="229">
        <v>8.6499999999999994E-2</v>
      </c>
      <c r="ES46" s="231">
        <v>2110.4699999999998</v>
      </c>
      <c r="ET46" s="231">
        <v>1107.1300000000001</v>
      </c>
      <c r="EU46" s="231">
        <v>2330.2600000000002</v>
      </c>
      <c r="EV46" s="231">
        <v>278206904</v>
      </c>
      <c r="EW46" s="231">
        <v>5547.86</v>
      </c>
      <c r="EX46" s="231">
        <v>5433.97</v>
      </c>
      <c r="EY46" s="228">
        <v>113.89</v>
      </c>
      <c r="EZ46" s="229">
        <v>2.1000000000000001E-2</v>
      </c>
      <c r="FA46" s="229">
        <v>0.46560000000000001</v>
      </c>
      <c r="FB46" s="227" t="s">
        <v>556</v>
      </c>
      <c r="FC46">
        <f t="shared" si="0"/>
        <v>153</v>
      </c>
    </row>
    <row r="47" spans="1:159" ht="17.25" thickBot="1" x14ac:dyDescent="0.3">
      <c r="A47" s="226">
        <v>46029</v>
      </c>
      <c r="B47" s="227" t="s">
        <v>221</v>
      </c>
      <c r="C47" s="227" t="s">
        <v>470</v>
      </c>
      <c r="D47" s="228">
        <v>375</v>
      </c>
      <c r="E47" s="228">
        <v>20</v>
      </c>
      <c r="F47" s="231">
        <v>1704.2</v>
      </c>
      <c r="G47" s="231">
        <v>1661.5</v>
      </c>
      <c r="H47" s="228">
        <v>42.7</v>
      </c>
      <c r="I47" s="229">
        <v>2.5700000000000001E-2</v>
      </c>
      <c r="J47" s="231">
        <v>1701.5</v>
      </c>
      <c r="K47" s="231">
        <v>1657.1</v>
      </c>
      <c r="L47" s="228">
        <v>44.4</v>
      </c>
      <c r="M47" s="229">
        <v>2.6800000000000001E-2</v>
      </c>
      <c r="N47" s="231">
        <v>1704.2</v>
      </c>
      <c r="O47" s="231">
        <v>1661.5</v>
      </c>
      <c r="P47" s="228">
        <v>42.7</v>
      </c>
      <c r="Q47" s="229">
        <v>2.5700000000000001E-2</v>
      </c>
      <c r="R47" s="231">
        <v>1709.5</v>
      </c>
      <c r="S47" s="231">
        <v>1665.8</v>
      </c>
      <c r="T47" s="228">
        <v>43.7</v>
      </c>
      <c r="U47" s="229">
        <v>2.6200000000000001E-2</v>
      </c>
      <c r="V47" s="231">
        <v>1717.6</v>
      </c>
      <c r="W47" s="231">
        <v>1674.2</v>
      </c>
      <c r="X47" s="228">
        <v>43.4</v>
      </c>
      <c r="Y47" s="229">
        <v>2.5899999999999999E-2</v>
      </c>
      <c r="Z47" s="228">
        <v>2.7</v>
      </c>
      <c r="AA47" s="228">
        <v>4.4000000000000004</v>
      </c>
      <c r="AB47" s="228">
        <v>-1.7</v>
      </c>
      <c r="AC47" s="229">
        <v>1.6000000000000001E-3</v>
      </c>
      <c r="AD47" s="228">
        <v>2.7</v>
      </c>
      <c r="AE47" s="228">
        <v>4.4000000000000004</v>
      </c>
      <c r="AF47" s="228">
        <v>-1.7</v>
      </c>
      <c r="AG47" s="229">
        <v>1.6000000000000001E-3</v>
      </c>
      <c r="AH47" s="228">
        <v>8</v>
      </c>
      <c r="AI47" s="228">
        <v>8.6999999999999993</v>
      </c>
      <c r="AJ47" s="228">
        <v>-0.7</v>
      </c>
      <c r="AK47" s="229">
        <v>4.7000000000000002E-3</v>
      </c>
      <c r="AL47" s="228">
        <v>16.100000000000001</v>
      </c>
      <c r="AM47" s="228">
        <v>17.100000000000001</v>
      </c>
      <c r="AN47" s="228">
        <v>-1</v>
      </c>
      <c r="AO47" s="229">
        <v>9.4999999999999998E-3</v>
      </c>
      <c r="AP47" s="231">
        <v>1693.21</v>
      </c>
      <c r="AQ47" s="231">
        <v>1696.89</v>
      </c>
      <c r="AR47" s="228">
        <v>0</v>
      </c>
      <c r="AS47" s="228">
        <v>731</v>
      </c>
      <c r="AT47" s="228">
        <v>458</v>
      </c>
      <c r="AU47" s="228">
        <v>273</v>
      </c>
      <c r="AV47" s="229">
        <v>0.59560000000000002</v>
      </c>
      <c r="AW47" s="228">
        <v>685</v>
      </c>
      <c r="AX47" s="228">
        <v>416</v>
      </c>
      <c r="AY47" s="228">
        <v>269</v>
      </c>
      <c r="AZ47" s="229">
        <v>0.64570000000000005</v>
      </c>
      <c r="BA47" s="228">
        <v>39</v>
      </c>
      <c r="BB47" s="228">
        <v>36</v>
      </c>
      <c r="BC47" s="228">
        <v>3</v>
      </c>
      <c r="BD47" s="229">
        <v>8.0600000000000005E-2</v>
      </c>
      <c r="BE47" s="228">
        <v>7</v>
      </c>
      <c r="BF47" s="228">
        <v>6</v>
      </c>
      <c r="BG47" s="228">
        <v>1</v>
      </c>
      <c r="BH47" s="229">
        <v>0.1895</v>
      </c>
      <c r="BI47" s="230">
        <v>2882</v>
      </c>
      <c r="BJ47" s="230">
        <v>1358</v>
      </c>
      <c r="BK47" s="230">
        <v>1524</v>
      </c>
      <c r="BL47" s="229">
        <v>1.1218999999999999</v>
      </c>
      <c r="BM47" s="228">
        <v>906</v>
      </c>
      <c r="BN47" s="228">
        <v>390</v>
      </c>
      <c r="BO47" s="228">
        <v>516</v>
      </c>
      <c r="BP47" s="229">
        <v>1.3233999999999999</v>
      </c>
      <c r="BQ47" s="230">
        <v>4518</v>
      </c>
      <c r="BR47" s="230">
        <v>2206</v>
      </c>
      <c r="BS47" s="230">
        <v>2312</v>
      </c>
      <c r="BT47" s="229">
        <v>1.0483</v>
      </c>
      <c r="BU47" s="230">
        <v>1965746</v>
      </c>
      <c r="BV47" s="230">
        <v>1456278</v>
      </c>
      <c r="BW47" s="230">
        <v>509468</v>
      </c>
      <c r="BX47" s="229">
        <v>0.3498</v>
      </c>
      <c r="BY47" s="230">
        <v>2837</v>
      </c>
      <c r="BZ47" s="230">
        <v>2908</v>
      </c>
      <c r="CA47" s="228">
        <v>-71</v>
      </c>
      <c r="CB47" s="229">
        <v>-2.4299999999999999E-2</v>
      </c>
      <c r="CC47" s="230">
        <v>2734</v>
      </c>
      <c r="CD47" s="230">
        <v>2803</v>
      </c>
      <c r="CE47" s="228">
        <v>-69</v>
      </c>
      <c r="CF47" s="229">
        <v>-2.46E-2</v>
      </c>
      <c r="CG47" s="228">
        <v>95</v>
      </c>
      <c r="CH47" s="228">
        <v>97</v>
      </c>
      <c r="CI47" s="228">
        <v>-2</v>
      </c>
      <c r="CJ47" s="229">
        <v>-2.4400000000000002E-2</v>
      </c>
      <c r="CK47" s="228">
        <v>8</v>
      </c>
      <c r="CL47" s="228">
        <v>8</v>
      </c>
      <c r="CM47" s="228">
        <v>1</v>
      </c>
      <c r="CN47" s="229">
        <v>9.0899999999999995E-2</v>
      </c>
      <c r="CO47" s="230">
        <v>1782</v>
      </c>
      <c r="CP47" s="230">
        <v>1868</v>
      </c>
      <c r="CQ47" s="228">
        <v>-86</v>
      </c>
      <c r="CR47" s="229">
        <v>-4.58E-2</v>
      </c>
      <c r="CS47" s="228">
        <v>882</v>
      </c>
      <c r="CT47" s="228">
        <v>913</v>
      </c>
      <c r="CU47" s="228">
        <v>-31</v>
      </c>
      <c r="CV47" s="229">
        <v>-3.3599999999999998E-2</v>
      </c>
      <c r="CW47" s="230">
        <v>5501</v>
      </c>
      <c r="CX47" s="230">
        <v>5688</v>
      </c>
      <c r="CY47" s="228">
        <v>-187</v>
      </c>
      <c r="CZ47" s="229">
        <v>-3.2899999999999999E-2</v>
      </c>
      <c r="DA47" s="228">
        <v>34.03</v>
      </c>
      <c r="DB47" s="228">
        <v>34.36</v>
      </c>
      <c r="DC47" s="228">
        <v>-0.33</v>
      </c>
      <c r="DD47" s="228">
        <v>-0.33</v>
      </c>
      <c r="DE47" s="228">
        <v>40.950000000000003</v>
      </c>
      <c r="DF47" s="228">
        <v>40.9</v>
      </c>
      <c r="DG47" s="228">
        <v>-6.92</v>
      </c>
      <c r="DH47" s="228">
        <v>0.05</v>
      </c>
      <c r="DI47" s="228">
        <v>34.01</v>
      </c>
      <c r="DJ47" s="228">
        <v>34.46</v>
      </c>
      <c r="DK47" s="228">
        <v>-0.45</v>
      </c>
      <c r="DL47" s="228">
        <v>-0.45</v>
      </c>
      <c r="DM47" s="228">
        <v>34.090000000000003</v>
      </c>
      <c r="DN47" s="228">
        <v>34</v>
      </c>
      <c r="DO47" s="228">
        <v>0.09</v>
      </c>
      <c r="DP47" s="228">
        <v>0.09</v>
      </c>
      <c r="DQ47" s="228">
        <v>0.49</v>
      </c>
      <c r="DR47" s="228">
        <v>0.49</v>
      </c>
      <c r="DS47" s="228">
        <v>0</v>
      </c>
      <c r="DT47" s="229">
        <v>0</v>
      </c>
      <c r="DU47" s="231">
        <v>1700</v>
      </c>
      <c r="DV47" s="231">
        <v>1600</v>
      </c>
      <c r="DW47" s="228">
        <v>0.31</v>
      </c>
      <c r="DX47" s="228">
        <v>0.28999999999999998</v>
      </c>
      <c r="DY47" s="228">
        <v>0.02</v>
      </c>
      <c r="DZ47" s="229">
        <v>6.9000000000000006E-2</v>
      </c>
      <c r="EA47" s="229">
        <v>3.6299999999999999E-2</v>
      </c>
      <c r="EB47" s="230">
        <v>614625</v>
      </c>
      <c r="EC47" s="229">
        <v>3.0999999999999999E-3</v>
      </c>
      <c r="ED47" s="229">
        <v>3.6299999999999999E-2</v>
      </c>
      <c r="EE47" s="228">
        <v>3.68</v>
      </c>
      <c r="EF47" s="229">
        <v>2.2000000000000001E-3</v>
      </c>
      <c r="EG47" s="230">
        <v>931698</v>
      </c>
      <c r="EH47" s="230">
        <v>777669</v>
      </c>
      <c r="EI47" s="229">
        <v>0.1981</v>
      </c>
      <c r="EJ47" s="229">
        <v>0.47399999999999998</v>
      </c>
      <c r="EK47" s="231">
        <v>3023.82</v>
      </c>
      <c r="EL47" s="228">
        <v>878.27</v>
      </c>
      <c r="EM47" s="228">
        <v>726.26</v>
      </c>
      <c r="EN47" s="228">
        <v>71.760000000000005</v>
      </c>
      <c r="EO47" s="231">
        <v>4628.3500000000004</v>
      </c>
      <c r="EP47" s="231">
        <v>2217.36</v>
      </c>
      <c r="EQ47" s="231">
        <v>2410.9899999999998</v>
      </c>
      <c r="ER47" s="229">
        <v>1.0872999999999999</v>
      </c>
      <c r="ES47" s="231">
        <v>1867.71</v>
      </c>
      <c r="ET47" s="228">
        <v>845.23</v>
      </c>
      <c r="EU47" s="231">
        <v>2837.6</v>
      </c>
      <c r="EV47" s="231">
        <v>50189409</v>
      </c>
      <c r="EW47" s="231">
        <v>5550.53</v>
      </c>
      <c r="EX47" s="231">
        <v>5651.69</v>
      </c>
      <c r="EY47" s="228">
        <v>-101.16</v>
      </c>
      <c r="EZ47" s="229">
        <v>-1.7899999999999999E-2</v>
      </c>
      <c r="FA47" s="229">
        <v>0.64319999999999999</v>
      </c>
      <c r="FB47" s="227" t="s">
        <v>556</v>
      </c>
      <c r="FC47">
        <f t="shared" si="0"/>
        <v>103</v>
      </c>
    </row>
    <row r="48" spans="1:159" ht="17.25" thickBot="1" x14ac:dyDescent="0.3">
      <c r="A48" s="226">
        <v>46029</v>
      </c>
      <c r="B48" s="227" t="s">
        <v>168</v>
      </c>
      <c r="C48" s="227" t="s">
        <v>201</v>
      </c>
      <c r="D48" s="228">
        <v>225</v>
      </c>
      <c r="E48" s="228">
        <v>20</v>
      </c>
      <c r="F48" s="231">
        <v>2081.3000000000002</v>
      </c>
      <c r="G48" s="231">
        <v>2100.1</v>
      </c>
      <c r="H48" s="228">
        <v>-18.8</v>
      </c>
      <c r="I48" s="229">
        <v>-8.9999999999999993E-3</v>
      </c>
      <c r="J48" s="231">
        <v>2076.6</v>
      </c>
      <c r="K48" s="231">
        <v>2089.1</v>
      </c>
      <c r="L48" s="228">
        <v>-12.5</v>
      </c>
      <c r="M48" s="229">
        <v>-6.0000000000000001E-3</v>
      </c>
      <c r="N48" s="231">
        <v>2081.3000000000002</v>
      </c>
      <c r="O48" s="231">
        <v>2100.1</v>
      </c>
      <c r="P48" s="228">
        <v>-18.8</v>
      </c>
      <c r="Q48" s="229">
        <v>-8.9999999999999993E-3</v>
      </c>
      <c r="R48" s="231">
        <v>2090.8000000000002</v>
      </c>
      <c r="S48" s="231">
        <v>2110.1999999999998</v>
      </c>
      <c r="T48" s="228">
        <v>-19.399999999999999</v>
      </c>
      <c r="U48" s="229">
        <v>-9.1999999999999998E-3</v>
      </c>
      <c r="V48" s="231">
        <v>2101.1999999999998</v>
      </c>
      <c r="W48" s="231">
        <v>2121.6</v>
      </c>
      <c r="X48" s="228">
        <v>-20.399999999999999</v>
      </c>
      <c r="Y48" s="229">
        <v>-9.5999999999999992E-3</v>
      </c>
      <c r="Z48" s="228">
        <v>4.7</v>
      </c>
      <c r="AA48" s="228">
        <v>11</v>
      </c>
      <c r="AB48" s="228">
        <v>-6.3</v>
      </c>
      <c r="AC48" s="229">
        <v>2.3E-3</v>
      </c>
      <c r="AD48" s="228">
        <v>4.7</v>
      </c>
      <c r="AE48" s="228">
        <v>11</v>
      </c>
      <c r="AF48" s="228">
        <v>-6.3</v>
      </c>
      <c r="AG48" s="229">
        <v>2.3E-3</v>
      </c>
      <c r="AH48" s="228">
        <v>14.2</v>
      </c>
      <c r="AI48" s="228">
        <v>21.1</v>
      </c>
      <c r="AJ48" s="228">
        <v>-6.9</v>
      </c>
      <c r="AK48" s="229">
        <v>6.7999999999999996E-3</v>
      </c>
      <c r="AL48" s="228">
        <v>24.6</v>
      </c>
      <c r="AM48" s="228">
        <v>32.5</v>
      </c>
      <c r="AN48" s="228">
        <v>-7.9</v>
      </c>
      <c r="AO48" s="229">
        <v>1.18E-2</v>
      </c>
      <c r="AP48" s="231">
        <v>2084.16</v>
      </c>
      <c r="AQ48" s="231">
        <v>2091.61</v>
      </c>
      <c r="AR48" s="228">
        <v>0</v>
      </c>
      <c r="AS48" s="228">
        <v>134</v>
      </c>
      <c r="AT48" s="228">
        <v>303</v>
      </c>
      <c r="AU48" s="228">
        <v>-169</v>
      </c>
      <c r="AV48" s="229">
        <v>-0.55700000000000005</v>
      </c>
      <c r="AW48" s="228">
        <v>112</v>
      </c>
      <c r="AX48" s="228">
        <v>285</v>
      </c>
      <c r="AY48" s="228">
        <v>-173</v>
      </c>
      <c r="AZ48" s="229">
        <v>-0.60829999999999995</v>
      </c>
      <c r="BA48" s="228">
        <v>18</v>
      </c>
      <c r="BB48" s="228">
        <v>17</v>
      </c>
      <c r="BC48" s="228">
        <v>1</v>
      </c>
      <c r="BD48" s="229">
        <v>4.7500000000000001E-2</v>
      </c>
      <c r="BE48" s="228">
        <v>5</v>
      </c>
      <c r="BF48" s="228">
        <v>1</v>
      </c>
      <c r="BG48" s="228">
        <v>4</v>
      </c>
      <c r="BH48" s="229">
        <v>2.4375</v>
      </c>
      <c r="BI48" s="228">
        <v>301</v>
      </c>
      <c r="BJ48" s="228">
        <v>440</v>
      </c>
      <c r="BK48" s="228">
        <v>-140</v>
      </c>
      <c r="BL48" s="229">
        <v>-0.31680000000000003</v>
      </c>
      <c r="BM48" s="228">
        <v>98</v>
      </c>
      <c r="BN48" s="228">
        <v>159</v>
      </c>
      <c r="BO48" s="228">
        <v>-61</v>
      </c>
      <c r="BP48" s="229">
        <v>-0.38540000000000002</v>
      </c>
      <c r="BQ48" s="228">
        <v>533</v>
      </c>
      <c r="BR48" s="228">
        <v>902</v>
      </c>
      <c r="BS48" s="228">
        <v>-370</v>
      </c>
      <c r="BT48" s="229">
        <v>-0.40960000000000002</v>
      </c>
      <c r="BU48" s="230">
        <v>215787</v>
      </c>
      <c r="BV48" s="230">
        <v>1632051</v>
      </c>
      <c r="BW48" s="230">
        <v>-1416264</v>
      </c>
      <c r="BX48" s="229">
        <v>-0.86780000000000002</v>
      </c>
      <c r="BY48" s="230">
        <v>1467</v>
      </c>
      <c r="BZ48" s="230">
        <v>1447</v>
      </c>
      <c r="CA48" s="228">
        <v>20</v>
      </c>
      <c r="CB48" s="229">
        <v>1.41E-2</v>
      </c>
      <c r="CC48" s="230">
        <v>1397</v>
      </c>
      <c r="CD48" s="230">
        <v>1387</v>
      </c>
      <c r="CE48" s="228">
        <v>10</v>
      </c>
      <c r="CF48" s="229">
        <v>7.4999999999999997E-3</v>
      </c>
      <c r="CG48" s="228">
        <v>61</v>
      </c>
      <c r="CH48" s="228">
        <v>55</v>
      </c>
      <c r="CI48" s="228">
        <v>6</v>
      </c>
      <c r="CJ48" s="229">
        <v>0.1109</v>
      </c>
      <c r="CK48" s="228">
        <v>8</v>
      </c>
      <c r="CL48" s="228">
        <v>4</v>
      </c>
      <c r="CM48" s="228">
        <v>4</v>
      </c>
      <c r="CN48" s="229">
        <v>0.87229999999999996</v>
      </c>
      <c r="CO48" s="228">
        <v>538</v>
      </c>
      <c r="CP48" s="228">
        <v>501</v>
      </c>
      <c r="CQ48" s="228">
        <v>37</v>
      </c>
      <c r="CR48" s="229">
        <v>7.3200000000000001E-2</v>
      </c>
      <c r="CS48" s="228">
        <v>329</v>
      </c>
      <c r="CT48" s="228">
        <v>321</v>
      </c>
      <c r="CU48" s="228">
        <v>7</v>
      </c>
      <c r="CV48" s="229">
        <v>2.3E-2</v>
      </c>
      <c r="CW48" s="230">
        <v>2334</v>
      </c>
      <c r="CX48" s="230">
        <v>2269</v>
      </c>
      <c r="CY48" s="228">
        <v>64</v>
      </c>
      <c r="CZ48" s="229">
        <v>2.8400000000000002E-2</v>
      </c>
      <c r="DA48" s="228">
        <v>22.26</v>
      </c>
      <c r="DB48" s="228">
        <v>20.98</v>
      </c>
      <c r="DC48" s="228">
        <v>1.28</v>
      </c>
      <c r="DD48" s="228">
        <v>1.28</v>
      </c>
      <c r="DE48" s="228">
        <v>26.38</v>
      </c>
      <c r="DF48" s="228">
        <v>26.42</v>
      </c>
      <c r="DG48" s="228">
        <v>-4.12</v>
      </c>
      <c r="DH48" s="228">
        <v>-0.04</v>
      </c>
      <c r="DI48" s="228">
        <v>22.34</v>
      </c>
      <c r="DJ48" s="228">
        <v>21.09</v>
      </c>
      <c r="DK48" s="228">
        <v>1.25</v>
      </c>
      <c r="DL48" s="228">
        <v>1.25</v>
      </c>
      <c r="DM48" s="228">
        <v>22.02</v>
      </c>
      <c r="DN48" s="228">
        <v>20.68</v>
      </c>
      <c r="DO48" s="228">
        <v>1.34</v>
      </c>
      <c r="DP48" s="228">
        <v>1.34</v>
      </c>
      <c r="DQ48" s="228">
        <v>0.61</v>
      </c>
      <c r="DR48" s="228">
        <v>0.64</v>
      </c>
      <c r="DS48" s="228">
        <v>-0.03</v>
      </c>
      <c r="DT48" s="229">
        <v>-4.6899999999999997E-2</v>
      </c>
      <c r="DU48" s="231">
        <v>2200</v>
      </c>
      <c r="DV48" s="231">
        <v>2100</v>
      </c>
      <c r="DW48" s="228">
        <v>0.32</v>
      </c>
      <c r="DX48" s="228">
        <v>0.36</v>
      </c>
      <c r="DY48" s="228">
        <v>-0.04</v>
      </c>
      <c r="DZ48" s="229">
        <v>-0.1111</v>
      </c>
      <c r="EA48" s="229">
        <v>4.7500000000000001E-2</v>
      </c>
      <c r="EB48" s="230">
        <v>286875</v>
      </c>
      <c r="EC48" s="229">
        <v>4.5999999999999999E-3</v>
      </c>
      <c r="ED48" s="229">
        <v>4.7500000000000001E-2</v>
      </c>
      <c r="EE48" s="228">
        <v>7.45</v>
      </c>
      <c r="EF48" s="229">
        <v>3.5999999999999999E-3</v>
      </c>
      <c r="EG48" s="230">
        <v>99982</v>
      </c>
      <c r="EH48" s="230">
        <v>1377179</v>
      </c>
      <c r="EI48" s="229">
        <v>-0.9274</v>
      </c>
      <c r="EJ48" s="229">
        <v>0.46329999999999999</v>
      </c>
      <c r="EK48" s="228">
        <v>312.60000000000002</v>
      </c>
      <c r="EL48" s="228">
        <v>95.75</v>
      </c>
      <c r="EM48" s="228">
        <v>134.59</v>
      </c>
      <c r="EN48" s="228">
        <v>32.659999999999997</v>
      </c>
      <c r="EO48" s="228">
        <v>542.94000000000005</v>
      </c>
      <c r="EP48" s="228">
        <v>923.36</v>
      </c>
      <c r="EQ48" s="228">
        <v>-380.42</v>
      </c>
      <c r="ER48" s="229">
        <v>-0.41199999999999998</v>
      </c>
      <c r="ES48" s="228">
        <v>561.85</v>
      </c>
      <c r="ET48" s="228">
        <v>329.45</v>
      </c>
      <c r="EU48" s="231">
        <v>1467.43</v>
      </c>
      <c r="EV48" s="231">
        <v>19546143</v>
      </c>
      <c r="EW48" s="231">
        <v>2358.7199999999998</v>
      </c>
      <c r="EX48" s="231">
        <v>2306.87</v>
      </c>
      <c r="EY48" s="228">
        <v>51.85</v>
      </c>
      <c r="EZ48" s="229">
        <v>2.2499999999999999E-2</v>
      </c>
      <c r="FA48" s="229">
        <v>0.57369999999999999</v>
      </c>
      <c r="FB48" s="227" t="s">
        <v>567</v>
      </c>
      <c r="FC48">
        <f t="shared" si="0"/>
        <v>70</v>
      </c>
    </row>
    <row r="49" spans="1:159" ht="17.25" thickBot="1" x14ac:dyDescent="0.3">
      <c r="A49" s="226">
        <v>46029</v>
      </c>
      <c r="B49" s="227" t="s">
        <v>215</v>
      </c>
      <c r="C49" s="227" t="s">
        <v>202</v>
      </c>
      <c r="D49" s="228">
        <v>1250</v>
      </c>
      <c r="E49" s="228">
        <v>20</v>
      </c>
      <c r="F49" s="228">
        <v>534.04999999999995</v>
      </c>
      <c r="G49" s="228">
        <v>531.29999999999995</v>
      </c>
      <c r="H49" s="228">
        <v>2.75</v>
      </c>
      <c r="I49" s="229">
        <v>5.1999999999999998E-3</v>
      </c>
      <c r="J49" s="228">
        <v>532.79999999999995</v>
      </c>
      <c r="K49" s="228">
        <v>529.95000000000005</v>
      </c>
      <c r="L49" s="228">
        <v>2.85</v>
      </c>
      <c r="M49" s="229">
        <v>5.4000000000000003E-3</v>
      </c>
      <c r="N49" s="228">
        <v>534.04999999999995</v>
      </c>
      <c r="O49" s="228">
        <v>531.29999999999995</v>
      </c>
      <c r="P49" s="228">
        <v>2.75</v>
      </c>
      <c r="Q49" s="229">
        <v>5.1999999999999998E-3</v>
      </c>
      <c r="R49" s="228">
        <v>535.25</v>
      </c>
      <c r="S49" s="228">
        <v>531.6</v>
      </c>
      <c r="T49" s="228">
        <v>3.65</v>
      </c>
      <c r="U49" s="229">
        <v>6.8999999999999999E-3</v>
      </c>
      <c r="V49" s="228">
        <v>538.35</v>
      </c>
      <c r="W49" s="228">
        <v>534.9</v>
      </c>
      <c r="X49" s="228">
        <v>3.45</v>
      </c>
      <c r="Y49" s="229">
        <v>6.4000000000000003E-3</v>
      </c>
      <c r="Z49" s="228">
        <v>1.25</v>
      </c>
      <c r="AA49" s="228">
        <v>1.35</v>
      </c>
      <c r="AB49" s="228">
        <v>-0.1</v>
      </c>
      <c r="AC49" s="229">
        <v>2.3E-3</v>
      </c>
      <c r="AD49" s="228">
        <v>1.25</v>
      </c>
      <c r="AE49" s="228">
        <v>1.35</v>
      </c>
      <c r="AF49" s="228">
        <v>-0.1</v>
      </c>
      <c r="AG49" s="229">
        <v>2.3E-3</v>
      </c>
      <c r="AH49" s="228">
        <v>2.4500000000000002</v>
      </c>
      <c r="AI49" s="228">
        <v>1.65</v>
      </c>
      <c r="AJ49" s="228">
        <v>0.8</v>
      </c>
      <c r="AK49" s="229">
        <v>4.5999999999999999E-3</v>
      </c>
      <c r="AL49" s="228">
        <v>5.55</v>
      </c>
      <c r="AM49" s="228">
        <v>4.95</v>
      </c>
      <c r="AN49" s="228">
        <v>0.6</v>
      </c>
      <c r="AO49" s="229">
        <v>1.04E-2</v>
      </c>
      <c r="AP49" s="228">
        <v>532.55999999999995</v>
      </c>
      <c r="AQ49" s="228">
        <v>533.61</v>
      </c>
      <c r="AR49" s="228">
        <v>0</v>
      </c>
      <c r="AS49" s="228">
        <v>152</v>
      </c>
      <c r="AT49" s="228">
        <v>163</v>
      </c>
      <c r="AU49" s="228">
        <v>-11</v>
      </c>
      <c r="AV49" s="229">
        <v>-6.6799999999999998E-2</v>
      </c>
      <c r="AW49" s="228">
        <v>122</v>
      </c>
      <c r="AX49" s="228">
        <v>144</v>
      </c>
      <c r="AY49" s="228">
        <v>-23</v>
      </c>
      <c r="AZ49" s="229">
        <v>-0.15690000000000001</v>
      </c>
      <c r="BA49" s="228">
        <v>28</v>
      </c>
      <c r="BB49" s="228">
        <v>18</v>
      </c>
      <c r="BC49" s="228">
        <v>10</v>
      </c>
      <c r="BD49" s="229">
        <v>0.58209999999999995</v>
      </c>
      <c r="BE49" s="228">
        <v>2</v>
      </c>
      <c r="BF49" s="228">
        <v>1</v>
      </c>
      <c r="BG49" s="228">
        <v>1</v>
      </c>
      <c r="BH49" s="229">
        <v>1.8182</v>
      </c>
      <c r="BI49" s="228">
        <v>330</v>
      </c>
      <c r="BJ49" s="228">
        <v>312</v>
      </c>
      <c r="BK49" s="228">
        <v>18</v>
      </c>
      <c r="BL49" s="229">
        <v>5.7599999999999998E-2</v>
      </c>
      <c r="BM49" s="228">
        <v>110</v>
      </c>
      <c r="BN49" s="228">
        <v>94</v>
      </c>
      <c r="BO49" s="228">
        <v>17</v>
      </c>
      <c r="BP49" s="229">
        <v>0.17699999999999999</v>
      </c>
      <c r="BQ49" s="228">
        <v>592</v>
      </c>
      <c r="BR49" s="228">
        <v>568</v>
      </c>
      <c r="BS49" s="228">
        <v>24</v>
      </c>
      <c r="BT49" s="229">
        <v>4.1599999999999998E-2</v>
      </c>
      <c r="BU49" s="230">
        <v>924278</v>
      </c>
      <c r="BV49" s="230">
        <v>1334577</v>
      </c>
      <c r="BW49" s="230">
        <v>-410299</v>
      </c>
      <c r="BX49" s="229">
        <v>-0.30740000000000001</v>
      </c>
      <c r="BY49" s="230">
        <v>1862</v>
      </c>
      <c r="BZ49" s="230">
        <v>1893</v>
      </c>
      <c r="CA49" s="228">
        <v>-32</v>
      </c>
      <c r="CB49" s="229">
        <v>-1.67E-2</v>
      </c>
      <c r="CC49" s="230">
        <v>1702</v>
      </c>
      <c r="CD49" s="230">
        <v>1744</v>
      </c>
      <c r="CE49" s="228">
        <v>-41</v>
      </c>
      <c r="CF49" s="229">
        <v>-2.3699999999999999E-2</v>
      </c>
      <c r="CG49" s="228">
        <v>153</v>
      </c>
      <c r="CH49" s="228">
        <v>144</v>
      </c>
      <c r="CI49" s="228">
        <v>9</v>
      </c>
      <c r="CJ49" s="229">
        <v>6.2E-2</v>
      </c>
      <c r="CK49" s="228">
        <v>6</v>
      </c>
      <c r="CL49" s="228">
        <v>6</v>
      </c>
      <c r="CM49" s="228">
        <v>1</v>
      </c>
      <c r="CN49" s="229">
        <v>0.15659999999999999</v>
      </c>
      <c r="CO49" s="228">
        <v>696</v>
      </c>
      <c r="CP49" s="228">
        <v>688</v>
      </c>
      <c r="CQ49" s="228">
        <v>7</v>
      </c>
      <c r="CR49" s="229">
        <v>1.0800000000000001E-2</v>
      </c>
      <c r="CS49" s="228">
        <v>467</v>
      </c>
      <c r="CT49" s="228">
        <v>456</v>
      </c>
      <c r="CU49" s="228">
        <v>11</v>
      </c>
      <c r="CV49" s="229">
        <v>2.3699999999999999E-2</v>
      </c>
      <c r="CW49" s="230">
        <v>3024</v>
      </c>
      <c r="CX49" s="230">
        <v>3038</v>
      </c>
      <c r="CY49" s="228">
        <v>-13</v>
      </c>
      <c r="CZ49" s="229">
        <v>-4.4000000000000003E-3</v>
      </c>
      <c r="DA49" s="228">
        <v>23.47</v>
      </c>
      <c r="DB49" s="228">
        <v>23.68</v>
      </c>
      <c r="DC49" s="228">
        <v>-0.21</v>
      </c>
      <c r="DD49" s="228">
        <v>-0.21</v>
      </c>
      <c r="DE49" s="228">
        <v>33.26</v>
      </c>
      <c r="DF49" s="228">
        <v>33.340000000000003</v>
      </c>
      <c r="DG49" s="228">
        <v>-9.7899999999999991</v>
      </c>
      <c r="DH49" s="228">
        <v>-0.08</v>
      </c>
      <c r="DI49" s="228">
        <v>23.48</v>
      </c>
      <c r="DJ49" s="228">
        <v>23.81</v>
      </c>
      <c r="DK49" s="228">
        <v>-0.33</v>
      </c>
      <c r="DL49" s="228">
        <v>-0.33</v>
      </c>
      <c r="DM49" s="228">
        <v>23.44</v>
      </c>
      <c r="DN49" s="228">
        <v>23.24</v>
      </c>
      <c r="DO49" s="228">
        <v>0.2</v>
      </c>
      <c r="DP49" s="228">
        <v>0.2</v>
      </c>
      <c r="DQ49" s="228">
        <v>0.67</v>
      </c>
      <c r="DR49" s="228">
        <v>0.66</v>
      </c>
      <c r="DS49" s="228">
        <v>0.01</v>
      </c>
      <c r="DT49" s="229">
        <v>1.52E-2</v>
      </c>
      <c r="DU49" s="228">
        <v>600</v>
      </c>
      <c r="DV49" s="228">
        <v>520</v>
      </c>
      <c r="DW49" s="228">
        <v>0.33</v>
      </c>
      <c r="DX49" s="228">
        <v>0.3</v>
      </c>
      <c r="DY49" s="228">
        <v>0.03</v>
      </c>
      <c r="DZ49" s="229">
        <v>0.1</v>
      </c>
      <c r="EA49" s="229">
        <v>8.5699999999999998E-2</v>
      </c>
      <c r="EB49" s="230">
        <v>2805000</v>
      </c>
      <c r="EC49" s="229">
        <v>2.2000000000000001E-3</v>
      </c>
      <c r="ED49" s="229">
        <v>8.5699999999999998E-2</v>
      </c>
      <c r="EE49" s="228">
        <v>1.05</v>
      </c>
      <c r="EF49" s="229">
        <v>2E-3</v>
      </c>
      <c r="EG49" s="230">
        <v>502281</v>
      </c>
      <c r="EH49" s="230">
        <v>773718</v>
      </c>
      <c r="EI49" s="229">
        <v>-0.3508</v>
      </c>
      <c r="EJ49" s="229">
        <v>0.54339999999999999</v>
      </c>
      <c r="EK49" s="228">
        <v>340.15</v>
      </c>
      <c r="EL49" s="228">
        <v>108.62</v>
      </c>
      <c r="EM49" s="228">
        <v>151.66</v>
      </c>
      <c r="EN49" s="228">
        <v>26.64</v>
      </c>
      <c r="EO49" s="228">
        <v>600.41999999999996</v>
      </c>
      <c r="EP49" s="228">
        <v>575.84</v>
      </c>
      <c r="EQ49" s="228">
        <v>24.59</v>
      </c>
      <c r="ER49" s="229">
        <v>4.2700000000000002E-2</v>
      </c>
      <c r="ES49" s="228">
        <v>715.99</v>
      </c>
      <c r="ET49" s="228">
        <v>456.78</v>
      </c>
      <c r="EU49" s="231">
        <v>1862.29</v>
      </c>
      <c r="EV49" s="231">
        <v>51639257</v>
      </c>
      <c r="EW49" s="231">
        <v>3035.06</v>
      </c>
      <c r="EX49" s="231">
        <v>3037.33</v>
      </c>
      <c r="EY49" s="228">
        <v>-2.27</v>
      </c>
      <c r="EZ49" s="229">
        <v>-6.9999999999999999E-4</v>
      </c>
      <c r="FA49" s="229">
        <v>1.0966</v>
      </c>
      <c r="FB49" s="227" t="s">
        <v>556</v>
      </c>
      <c r="FC49">
        <f t="shared" si="0"/>
        <v>160</v>
      </c>
    </row>
    <row r="50" spans="1:159" ht="17.25" thickBot="1" x14ac:dyDescent="0.3">
      <c r="A50" s="226">
        <v>46029</v>
      </c>
      <c r="B50" s="227" t="s">
        <v>184</v>
      </c>
      <c r="C50" s="227" t="s">
        <v>523</v>
      </c>
      <c r="D50" s="228">
        <v>1800</v>
      </c>
      <c r="E50" s="228">
        <v>20</v>
      </c>
      <c r="F50" s="228">
        <v>264.10000000000002</v>
      </c>
      <c r="G50" s="228">
        <v>260.85000000000002</v>
      </c>
      <c r="H50" s="228">
        <v>3.25</v>
      </c>
      <c r="I50" s="229">
        <v>1.2500000000000001E-2</v>
      </c>
      <c r="J50" s="228">
        <v>263.45</v>
      </c>
      <c r="K50" s="228">
        <v>259.89999999999998</v>
      </c>
      <c r="L50" s="228">
        <v>3.55</v>
      </c>
      <c r="M50" s="229">
        <v>1.37E-2</v>
      </c>
      <c r="N50" s="228">
        <v>264.10000000000002</v>
      </c>
      <c r="O50" s="228">
        <v>260.85000000000002</v>
      </c>
      <c r="P50" s="228">
        <v>3.25</v>
      </c>
      <c r="Q50" s="229">
        <v>1.2500000000000001E-2</v>
      </c>
      <c r="R50" s="228">
        <v>265.60000000000002</v>
      </c>
      <c r="S50" s="228">
        <v>262.39999999999998</v>
      </c>
      <c r="T50" s="228">
        <v>3.2</v>
      </c>
      <c r="U50" s="229">
        <v>1.2200000000000001E-2</v>
      </c>
      <c r="V50" s="228">
        <v>267.5</v>
      </c>
      <c r="W50" s="228">
        <v>264</v>
      </c>
      <c r="X50" s="228">
        <v>3.5</v>
      </c>
      <c r="Y50" s="229">
        <v>1.3299999999999999E-2</v>
      </c>
      <c r="Z50" s="228">
        <v>0.65</v>
      </c>
      <c r="AA50" s="228">
        <v>0.95</v>
      </c>
      <c r="AB50" s="228">
        <v>-0.3</v>
      </c>
      <c r="AC50" s="229">
        <v>2.5000000000000001E-3</v>
      </c>
      <c r="AD50" s="228">
        <v>0.65</v>
      </c>
      <c r="AE50" s="228">
        <v>0.95</v>
      </c>
      <c r="AF50" s="228">
        <v>-0.3</v>
      </c>
      <c r="AG50" s="229">
        <v>2.5000000000000001E-3</v>
      </c>
      <c r="AH50" s="228">
        <v>2.15</v>
      </c>
      <c r="AI50" s="228">
        <v>2.5</v>
      </c>
      <c r="AJ50" s="228">
        <v>-0.35</v>
      </c>
      <c r="AK50" s="229">
        <v>8.2000000000000007E-3</v>
      </c>
      <c r="AL50" s="228">
        <v>4.05</v>
      </c>
      <c r="AM50" s="228">
        <v>4.0999999999999996</v>
      </c>
      <c r="AN50" s="228">
        <v>-0.05</v>
      </c>
      <c r="AO50" s="229">
        <v>1.54E-2</v>
      </c>
      <c r="AP50" s="228">
        <v>263.58999999999997</v>
      </c>
      <c r="AQ50" s="228">
        <v>265.08</v>
      </c>
      <c r="AR50" s="228">
        <v>0</v>
      </c>
      <c r="AS50" s="228">
        <v>222</v>
      </c>
      <c r="AT50" s="228">
        <v>256</v>
      </c>
      <c r="AU50" s="228">
        <v>-34</v>
      </c>
      <c r="AV50" s="229">
        <v>-0.13100000000000001</v>
      </c>
      <c r="AW50" s="228">
        <v>207</v>
      </c>
      <c r="AX50" s="228">
        <v>239</v>
      </c>
      <c r="AY50" s="228">
        <v>-32</v>
      </c>
      <c r="AZ50" s="229">
        <v>-0.13519999999999999</v>
      </c>
      <c r="BA50" s="228">
        <v>14</v>
      </c>
      <c r="BB50" s="228">
        <v>16</v>
      </c>
      <c r="BC50" s="228">
        <v>-2</v>
      </c>
      <c r="BD50" s="229">
        <v>-9.9699999999999997E-2</v>
      </c>
      <c r="BE50" s="228">
        <v>1</v>
      </c>
      <c r="BF50" s="228">
        <v>1</v>
      </c>
      <c r="BG50" s="228">
        <v>0</v>
      </c>
      <c r="BH50" s="229">
        <v>0.36359999999999998</v>
      </c>
      <c r="BI50" s="228">
        <v>707</v>
      </c>
      <c r="BJ50" s="228">
        <v>647</v>
      </c>
      <c r="BK50" s="228">
        <v>60</v>
      </c>
      <c r="BL50" s="229">
        <v>9.2499999999999999E-2</v>
      </c>
      <c r="BM50" s="228">
        <v>174</v>
      </c>
      <c r="BN50" s="228">
        <v>124</v>
      </c>
      <c r="BO50" s="228">
        <v>50</v>
      </c>
      <c r="BP50" s="229">
        <v>0.40250000000000002</v>
      </c>
      <c r="BQ50" s="230">
        <v>1103</v>
      </c>
      <c r="BR50" s="230">
        <v>1027</v>
      </c>
      <c r="BS50" s="228">
        <v>76</v>
      </c>
      <c r="BT50" s="229">
        <v>7.4399999999999994E-2</v>
      </c>
      <c r="BU50" s="230">
        <v>3976338</v>
      </c>
      <c r="BV50" s="230">
        <v>3612726</v>
      </c>
      <c r="BW50" s="230">
        <v>363612</v>
      </c>
      <c r="BX50" s="229">
        <v>0.10059999999999999</v>
      </c>
      <c r="BY50" s="230">
        <v>1482</v>
      </c>
      <c r="BZ50" s="230">
        <v>1506</v>
      </c>
      <c r="CA50" s="228">
        <v>-24</v>
      </c>
      <c r="CB50" s="229">
        <v>-1.61E-2</v>
      </c>
      <c r="CC50" s="230">
        <v>1414</v>
      </c>
      <c r="CD50" s="230">
        <v>1438</v>
      </c>
      <c r="CE50" s="228">
        <v>-24</v>
      </c>
      <c r="CF50" s="229">
        <v>-1.7000000000000001E-2</v>
      </c>
      <c r="CG50" s="228">
        <v>64</v>
      </c>
      <c r="CH50" s="228">
        <v>64</v>
      </c>
      <c r="CI50" s="228">
        <v>-1</v>
      </c>
      <c r="CJ50" s="229">
        <v>-8.0999999999999996E-3</v>
      </c>
      <c r="CK50" s="228">
        <v>4</v>
      </c>
      <c r="CL50" s="228">
        <v>4</v>
      </c>
      <c r="CM50" s="228">
        <v>1</v>
      </c>
      <c r="CN50" s="229">
        <v>0.1772</v>
      </c>
      <c r="CO50" s="228">
        <v>436</v>
      </c>
      <c r="CP50" s="228">
        <v>449</v>
      </c>
      <c r="CQ50" s="228">
        <v>-13</v>
      </c>
      <c r="CR50" s="229">
        <v>-2.93E-2</v>
      </c>
      <c r="CS50" s="228">
        <v>296</v>
      </c>
      <c r="CT50" s="228">
        <v>287</v>
      </c>
      <c r="CU50" s="228">
        <v>9</v>
      </c>
      <c r="CV50" s="229">
        <v>2.98E-2</v>
      </c>
      <c r="CW50" s="230">
        <v>2214</v>
      </c>
      <c r="CX50" s="230">
        <v>2243</v>
      </c>
      <c r="CY50" s="228">
        <v>-29</v>
      </c>
      <c r="CZ50" s="229">
        <v>-1.29E-2</v>
      </c>
      <c r="DA50" s="228">
        <v>28.44</v>
      </c>
      <c r="DB50" s="228">
        <v>28.86</v>
      </c>
      <c r="DC50" s="228">
        <v>-0.42</v>
      </c>
      <c r="DD50" s="228">
        <v>-0.42</v>
      </c>
      <c r="DE50" s="228">
        <v>30.45</v>
      </c>
      <c r="DF50" s="228">
        <v>30.48</v>
      </c>
      <c r="DG50" s="228">
        <v>-2.0099999999999998</v>
      </c>
      <c r="DH50" s="228">
        <v>-0.03</v>
      </c>
      <c r="DI50" s="228">
        <v>28.38</v>
      </c>
      <c r="DJ50" s="228">
        <v>28.91</v>
      </c>
      <c r="DK50" s="228">
        <v>-0.53</v>
      </c>
      <c r="DL50" s="228">
        <v>-0.53</v>
      </c>
      <c r="DM50" s="228">
        <v>28.65</v>
      </c>
      <c r="DN50" s="228">
        <v>28.61</v>
      </c>
      <c r="DO50" s="228">
        <v>0.04</v>
      </c>
      <c r="DP50" s="228">
        <v>0.04</v>
      </c>
      <c r="DQ50" s="228">
        <v>0.68</v>
      </c>
      <c r="DR50" s="228">
        <v>0.64</v>
      </c>
      <c r="DS50" s="228">
        <v>0.04</v>
      </c>
      <c r="DT50" s="229">
        <v>6.25E-2</v>
      </c>
      <c r="DU50" s="228">
        <v>260</v>
      </c>
      <c r="DV50" s="228">
        <v>260</v>
      </c>
      <c r="DW50" s="228">
        <v>0.25</v>
      </c>
      <c r="DX50" s="228">
        <v>0.19</v>
      </c>
      <c r="DY50" s="228">
        <v>0.06</v>
      </c>
      <c r="DZ50" s="229">
        <v>0.31580000000000003</v>
      </c>
      <c r="EA50" s="229">
        <v>4.5999999999999999E-2</v>
      </c>
      <c r="EB50" s="230">
        <v>2574000</v>
      </c>
      <c r="EC50" s="229">
        <v>5.7000000000000002E-3</v>
      </c>
      <c r="ED50" s="229">
        <v>4.5999999999999999E-2</v>
      </c>
      <c r="EE50" s="228">
        <v>1.49</v>
      </c>
      <c r="EF50" s="229">
        <v>5.7000000000000002E-3</v>
      </c>
      <c r="EG50" s="230">
        <v>1300538</v>
      </c>
      <c r="EH50" s="230">
        <v>1490857</v>
      </c>
      <c r="EI50" s="229">
        <v>-0.12770000000000001</v>
      </c>
      <c r="EJ50" s="229">
        <v>0.3271</v>
      </c>
      <c r="EK50" s="228">
        <v>733.93</v>
      </c>
      <c r="EL50" s="228">
        <v>169.47</v>
      </c>
      <c r="EM50" s="228">
        <v>221.96</v>
      </c>
      <c r="EN50" s="228">
        <v>39.35</v>
      </c>
      <c r="EO50" s="231">
        <v>1125.3699999999999</v>
      </c>
      <c r="EP50" s="231">
        <v>1036.78</v>
      </c>
      <c r="EQ50" s="228">
        <v>88.59</v>
      </c>
      <c r="ER50" s="229">
        <v>8.5400000000000004E-2</v>
      </c>
      <c r="ES50" s="228">
        <v>451.01</v>
      </c>
      <c r="ET50" s="228">
        <v>287.3</v>
      </c>
      <c r="EU50" s="231">
        <v>1482.27</v>
      </c>
      <c r="EV50" s="231">
        <v>96587231</v>
      </c>
      <c r="EW50" s="231">
        <v>2220.58</v>
      </c>
      <c r="EX50" s="231">
        <v>2228.0100000000002</v>
      </c>
      <c r="EY50" s="228">
        <v>-7.43</v>
      </c>
      <c r="EZ50" s="229">
        <v>-3.3E-3</v>
      </c>
      <c r="FA50" s="229">
        <v>0.8679</v>
      </c>
      <c r="FB50" s="227" t="s">
        <v>556</v>
      </c>
      <c r="FC50">
        <f t="shared" si="0"/>
        <v>68</v>
      </c>
    </row>
    <row r="51" spans="1:159" ht="17.25" thickBot="1" x14ac:dyDescent="0.3">
      <c r="A51" s="226">
        <v>46029</v>
      </c>
      <c r="B51" s="227" t="s">
        <v>184</v>
      </c>
      <c r="C51" s="227" t="s">
        <v>203</v>
      </c>
      <c r="D51" s="228">
        <v>200</v>
      </c>
      <c r="E51" s="228">
        <v>20</v>
      </c>
      <c r="F51" s="231">
        <v>4167.2</v>
      </c>
      <c r="G51" s="231">
        <v>4151.3</v>
      </c>
      <c r="H51" s="228">
        <v>15.9</v>
      </c>
      <c r="I51" s="229">
        <v>3.8E-3</v>
      </c>
      <c r="J51" s="231">
        <v>4147.8999999999996</v>
      </c>
      <c r="K51" s="231">
        <v>4130.3</v>
      </c>
      <c r="L51" s="228">
        <v>17.600000000000001</v>
      </c>
      <c r="M51" s="229">
        <v>4.3E-3</v>
      </c>
      <c r="N51" s="231">
        <v>4167.2</v>
      </c>
      <c r="O51" s="231">
        <v>4151.3</v>
      </c>
      <c r="P51" s="228">
        <v>15.9</v>
      </c>
      <c r="Q51" s="229">
        <v>3.8E-3</v>
      </c>
      <c r="R51" s="231">
        <v>4174.3999999999996</v>
      </c>
      <c r="S51" s="231">
        <v>4156.6000000000004</v>
      </c>
      <c r="T51" s="228">
        <v>17.8</v>
      </c>
      <c r="U51" s="229">
        <v>4.3E-3</v>
      </c>
      <c r="V51" s="231">
        <v>4183.8999999999996</v>
      </c>
      <c r="W51" s="231">
        <v>4183.8999999999996</v>
      </c>
      <c r="X51" s="228">
        <v>0</v>
      </c>
      <c r="Y51" s="229">
        <v>0</v>
      </c>
      <c r="Z51" s="228">
        <v>19.3</v>
      </c>
      <c r="AA51" s="228">
        <v>21</v>
      </c>
      <c r="AB51" s="228">
        <v>-1.7</v>
      </c>
      <c r="AC51" s="229">
        <v>4.7000000000000002E-3</v>
      </c>
      <c r="AD51" s="228">
        <v>19.3</v>
      </c>
      <c r="AE51" s="228">
        <v>21</v>
      </c>
      <c r="AF51" s="228">
        <v>-1.7</v>
      </c>
      <c r="AG51" s="229">
        <v>4.7000000000000002E-3</v>
      </c>
      <c r="AH51" s="228">
        <v>26.5</v>
      </c>
      <c r="AI51" s="228">
        <v>26.3</v>
      </c>
      <c r="AJ51" s="228">
        <v>0.2</v>
      </c>
      <c r="AK51" s="229">
        <v>6.4000000000000003E-3</v>
      </c>
      <c r="AL51" s="228">
        <v>36</v>
      </c>
      <c r="AM51" s="228">
        <v>53.6</v>
      </c>
      <c r="AN51" s="228">
        <v>-17.600000000000001</v>
      </c>
      <c r="AO51" s="229">
        <v>8.6999999999999994E-3</v>
      </c>
      <c r="AP51" s="231">
        <v>4163.72</v>
      </c>
      <c r="AQ51" s="231">
        <v>4169.62</v>
      </c>
      <c r="AR51" s="228">
        <v>0</v>
      </c>
      <c r="AS51" s="228">
        <v>365</v>
      </c>
      <c r="AT51" s="228">
        <v>636</v>
      </c>
      <c r="AU51" s="228">
        <v>-271</v>
      </c>
      <c r="AV51" s="229">
        <v>-0.42670000000000002</v>
      </c>
      <c r="AW51" s="228">
        <v>355</v>
      </c>
      <c r="AX51" s="228">
        <v>599</v>
      </c>
      <c r="AY51" s="228">
        <v>-244</v>
      </c>
      <c r="AZ51" s="229">
        <v>-0.40770000000000001</v>
      </c>
      <c r="BA51" s="228">
        <v>10</v>
      </c>
      <c r="BB51" s="228">
        <v>31</v>
      </c>
      <c r="BC51" s="228">
        <v>-21</v>
      </c>
      <c r="BD51" s="229">
        <v>-0.68289999999999995</v>
      </c>
      <c r="BE51" s="228">
        <v>0</v>
      </c>
      <c r="BF51" s="228">
        <v>6</v>
      </c>
      <c r="BG51" s="228">
        <v>-6</v>
      </c>
      <c r="BH51" s="229">
        <v>-1</v>
      </c>
      <c r="BI51" s="228">
        <v>631</v>
      </c>
      <c r="BJ51" s="230">
        <v>1517</v>
      </c>
      <c r="BK51" s="228">
        <v>-886</v>
      </c>
      <c r="BL51" s="229">
        <v>-0.58389999999999997</v>
      </c>
      <c r="BM51" s="228">
        <v>425</v>
      </c>
      <c r="BN51" s="230">
        <v>1487</v>
      </c>
      <c r="BO51" s="230">
        <v>-1063</v>
      </c>
      <c r="BP51" s="229">
        <v>-0.71440000000000003</v>
      </c>
      <c r="BQ51" s="230">
        <v>1421</v>
      </c>
      <c r="BR51" s="230">
        <v>3640</v>
      </c>
      <c r="BS51" s="230">
        <v>-2220</v>
      </c>
      <c r="BT51" s="229">
        <v>-0.60980000000000001</v>
      </c>
      <c r="BU51" s="230">
        <v>784844</v>
      </c>
      <c r="BV51" s="230">
        <v>1062255</v>
      </c>
      <c r="BW51" s="230">
        <v>-277411</v>
      </c>
      <c r="BX51" s="229">
        <v>-0.26119999999999999</v>
      </c>
      <c r="BY51" s="230">
        <v>1505</v>
      </c>
      <c r="BZ51" s="230">
        <v>1481</v>
      </c>
      <c r="CA51" s="228">
        <v>24</v>
      </c>
      <c r="CB51" s="229">
        <v>1.6299999999999999E-2</v>
      </c>
      <c r="CC51" s="230">
        <v>1468</v>
      </c>
      <c r="CD51" s="230">
        <v>1446</v>
      </c>
      <c r="CE51" s="228">
        <v>22</v>
      </c>
      <c r="CF51" s="229">
        <v>1.49E-2</v>
      </c>
      <c r="CG51" s="228">
        <v>31</v>
      </c>
      <c r="CH51" s="228">
        <v>28</v>
      </c>
      <c r="CI51" s="228">
        <v>3</v>
      </c>
      <c r="CJ51" s="229">
        <v>9.1399999999999995E-2</v>
      </c>
      <c r="CK51" s="228">
        <v>6</v>
      </c>
      <c r="CL51" s="228">
        <v>6</v>
      </c>
      <c r="CM51" s="228">
        <v>0</v>
      </c>
      <c r="CN51" s="229">
        <v>0</v>
      </c>
      <c r="CO51" s="228">
        <v>660</v>
      </c>
      <c r="CP51" s="228">
        <v>665</v>
      </c>
      <c r="CQ51" s="228">
        <v>-5</v>
      </c>
      <c r="CR51" s="229">
        <v>-7.7999999999999996E-3</v>
      </c>
      <c r="CS51" s="228">
        <v>372</v>
      </c>
      <c r="CT51" s="228">
        <v>352</v>
      </c>
      <c r="CU51" s="228">
        <v>20</v>
      </c>
      <c r="CV51" s="229">
        <v>5.8000000000000003E-2</v>
      </c>
      <c r="CW51" s="230">
        <v>2537</v>
      </c>
      <c r="CX51" s="230">
        <v>2497</v>
      </c>
      <c r="CY51" s="228">
        <v>39</v>
      </c>
      <c r="CZ51" s="229">
        <v>1.5800000000000002E-2</v>
      </c>
      <c r="DA51" s="228">
        <v>27.19</v>
      </c>
      <c r="DB51" s="228">
        <v>27.98</v>
      </c>
      <c r="DC51" s="228">
        <v>-0.79</v>
      </c>
      <c r="DD51" s="228">
        <v>-0.79</v>
      </c>
      <c r="DE51" s="228">
        <v>33.880000000000003</v>
      </c>
      <c r="DF51" s="228">
        <v>33.96</v>
      </c>
      <c r="DG51" s="228">
        <v>-6.69</v>
      </c>
      <c r="DH51" s="228">
        <v>-0.08</v>
      </c>
      <c r="DI51" s="228">
        <v>26.87</v>
      </c>
      <c r="DJ51" s="228">
        <v>28.11</v>
      </c>
      <c r="DK51" s="228">
        <v>-1.24</v>
      </c>
      <c r="DL51" s="228">
        <v>-1.24</v>
      </c>
      <c r="DM51" s="228">
        <v>27.66</v>
      </c>
      <c r="DN51" s="228">
        <v>27.86</v>
      </c>
      <c r="DO51" s="228">
        <v>-0.2</v>
      </c>
      <c r="DP51" s="228">
        <v>-0.2</v>
      </c>
      <c r="DQ51" s="228">
        <v>0.56000000000000005</v>
      </c>
      <c r="DR51" s="228">
        <v>0.53</v>
      </c>
      <c r="DS51" s="228">
        <v>0.03</v>
      </c>
      <c r="DT51" s="229">
        <v>5.6599999999999998E-2</v>
      </c>
      <c r="DU51" s="231">
        <v>4500</v>
      </c>
      <c r="DV51" s="231">
        <v>4000</v>
      </c>
      <c r="DW51" s="228">
        <v>0.67</v>
      </c>
      <c r="DX51" s="228">
        <v>0.98</v>
      </c>
      <c r="DY51" s="228">
        <v>-0.31</v>
      </c>
      <c r="DZ51" s="229">
        <v>-0.31630000000000003</v>
      </c>
      <c r="EA51" s="229">
        <v>2.46E-2</v>
      </c>
      <c r="EB51" s="230">
        <v>82600</v>
      </c>
      <c r="EC51" s="229">
        <v>1.6999999999999999E-3</v>
      </c>
      <c r="ED51" s="229">
        <v>2.46E-2</v>
      </c>
      <c r="EE51" s="228">
        <v>5.9</v>
      </c>
      <c r="EF51" s="229">
        <v>1.4E-3</v>
      </c>
      <c r="EG51" s="230">
        <v>538110</v>
      </c>
      <c r="EH51" s="230">
        <v>689227</v>
      </c>
      <c r="EI51" s="229">
        <v>-0.21929999999999999</v>
      </c>
      <c r="EJ51" s="229">
        <v>0.68559999999999999</v>
      </c>
      <c r="EK51" s="228">
        <v>665.57</v>
      </c>
      <c r="EL51" s="228">
        <v>418.26</v>
      </c>
      <c r="EM51" s="228">
        <v>364.42</v>
      </c>
      <c r="EN51" s="228">
        <v>41.56</v>
      </c>
      <c r="EO51" s="231">
        <v>1448.25</v>
      </c>
      <c r="EP51" s="231">
        <v>3778.99</v>
      </c>
      <c r="EQ51" s="231">
        <v>-2330.73</v>
      </c>
      <c r="ER51" s="229">
        <v>-0.61680000000000001</v>
      </c>
      <c r="ES51" s="228">
        <v>712.38</v>
      </c>
      <c r="ET51" s="228">
        <v>369.85</v>
      </c>
      <c r="EU51" s="231">
        <v>1504.94</v>
      </c>
      <c r="EV51" s="231">
        <v>19131188</v>
      </c>
      <c r="EW51" s="231">
        <v>2587.17</v>
      </c>
      <c r="EX51" s="231">
        <v>2544.9299999999998</v>
      </c>
      <c r="EY51" s="228">
        <v>42.24</v>
      </c>
      <c r="EZ51" s="229">
        <v>1.66E-2</v>
      </c>
      <c r="FA51" s="229">
        <v>0.31819999999999998</v>
      </c>
      <c r="FB51" s="227" t="s">
        <v>555</v>
      </c>
      <c r="FC51">
        <f t="shared" si="0"/>
        <v>37</v>
      </c>
    </row>
    <row r="52" spans="1:159" ht="17.25" thickBot="1" x14ac:dyDescent="0.3">
      <c r="A52" s="226">
        <v>46029</v>
      </c>
      <c r="B52" s="227" t="s">
        <v>168</v>
      </c>
      <c r="C52" s="227" t="s">
        <v>204</v>
      </c>
      <c r="D52" s="228">
        <v>1250</v>
      </c>
      <c r="E52" s="228">
        <v>20</v>
      </c>
      <c r="F52" s="228">
        <v>523.4</v>
      </c>
      <c r="G52" s="228">
        <v>522.65</v>
      </c>
      <c r="H52" s="228">
        <v>0.75</v>
      </c>
      <c r="I52" s="229">
        <v>1.4E-3</v>
      </c>
      <c r="J52" s="228">
        <v>520.9</v>
      </c>
      <c r="K52" s="228">
        <v>520.35</v>
      </c>
      <c r="L52" s="228">
        <v>0.55000000000000004</v>
      </c>
      <c r="M52" s="229">
        <v>1.1000000000000001E-3</v>
      </c>
      <c r="N52" s="228">
        <v>523.4</v>
      </c>
      <c r="O52" s="228">
        <v>522.65</v>
      </c>
      <c r="P52" s="228">
        <v>0.75</v>
      </c>
      <c r="Q52" s="229">
        <v>1.4E-3</v>
      </c>
      <c r="R52" s="228">
        <v>526.15</v>
      </c>
      <c r="S52" s="228">
        <v>525.25</v>
      </c>
      <c r="T52" s="228">
        <v>0.9</v>
      </c>
      <c r="U52" s="229">
        <v>1.6999999999999999E-3</v>
      </c>
      <c r="V52" s="228">
        <v>528.35</v>
      </c>
      <c r="W52" s="228">
        <v>528.20000000000005</v>
      </c>
      <c r="X52" s="228">
        <v>0.15</v>
      </c>
      <c r="Y52" s="229">
        <v>2.9999999999999997E-4</v>
      </c>
      <c r="Z52" s="228">
        <v>2.5</v>
      </c>
      <c r="AA52" s="228">
        <v>2.2999999999999998</v>
      </c>
      <c r="AB52" s="228">
        <v>0.2</v>
      </c>
      <c r="AC52" s="229">
        <v>4.7999999999999996E-3</v>
      </c>
      <c r="AD52" s="228">
        <v>2.5</v>
      </c>
      <c r="AE52" s="228">
        <v>2.2999999999999998</v>
      </c>
      <c r="AF52" s="228">
        <v>0.2</v>
      </c>
      <c r="AG52" s="229">
        <v>4.7999999999999996E-3</v>
      </c>
      <c r="AH52" s="228">
        <v>5.25</v>
      </c>
      <c r="AI52" s="228">
        <v>4.9000000000000004</v>
      </c>
      <c r="AJ52" s="228">
        <v>0.35</v>
      </c>
      <c r="AK52" s="229">
        <v>1.01E-2</v>
      </c>
      <c r="AL52" s="228">
        <v>7.45</v>
      </c>
      <c r="AM52" s="228">
        <v>7.85</v>
      </c>
      <c r="AN52" s="228">
        <v>-0.4</v>
      </c>
      <c r="AO52" s="229">
        <v>1.43E-2</v>
      </c>
      <c r="AP52" s="228">
        <v>523.80999999999995</v>
      </c>
      <c r="AQ52" s="228">
        <v>526.24</v>
      </c>
      <c r="AR52" s="228">
        <v>0</v>
      </c>
      <c r="AS52" s="228">
        <v>175</v>
      </c>
      <c r="AT52" s="228">
        <v>513</v>
      </c>
      <c r="AU52" s="228">
        <v>-338</v>
      </c>
      <c r="AV52" s="229">
        <v>-0.65880000000000005</v>
      </c>
      <c r="AW52" s="228">
        <v>170</v>
      </c>
      <c r="AX52" s="228">
        <v>497</v>
      </c>
      <c r="AY52" s="228">
        <v>-327</v>
      </c>
      <c r="AZ52" s="229">
        <v>-0.65790000000000004</v>
      </c>
      <c r="BA52" s="228">
        <v>4</v>
      </c>
      <c r="BB52" s="228">
        <v>14</v>
      </c>
      <c r="BC52" s="228">
        <v>-9</v>
      </c>
      <c r="BD52" s="229">
        <v>-0.67920000000000003</v>
      </c>
      <c r="BE52" s="228">
        <v>0</v>
      </c>
      <c r="BF52" s="228">
        <v>2</v>
      </c>
      <c r="BG52" s="228">
        <v>-1</v>
      </c>
      <c r="BH52" s="229">
        <v>-0.75</v>
      </c>
      <c r="BI52" s="228">
        <v>510</v>
      </c>
      <c r="BJ52" s="230">
        <v>2131</v>
      </c>
      <c r="BK52" s="230">
        <v>-1621</v>
      </c>
      <c r="BL52" s="229">
        <v>-0.76090000000000002</v>
      </c>
      <c r="BM52" s="228">
        <v>241</v>
      </c>
      <c r="BN52" s="230">
        <v>1061</v>
      </c>
      <c r="BO52" s="228">
        <v>-820</v>
      </c>
      <c r="BP52" s="229">
        <v>-0.77270000000000005</v>
      </c>
      <c r="BQ52" s="228">
        <v>926</v>
      </c>
      <c r="BR52" s="230">
        <v>3705</v>
      </c>
      <c r="BS52" s="230">
        <v>-2779</v>
      </c>
      <c r="BT52" s="229">
        <v>-0.75009999999999999</v>
      </c>
      <c r="BU52" s="230">
        <v>3183891</v>
      </c>
      <c r="BV52" s="230">
        <v>2999464</v>
      </c>
      <c r="BW52" s="230">
        <v>184427</v>
      </c>
      <c r="BX52" s="229">
        <v>6.1499999999999999E-2</v>
      </c>
      <c r="BY52" s="230">
        <v>1193</v>
      </c>
      <c r="BZ52" s="230">
        <v>1212</v>
      </c>
      <c r="CA52" s="228">
        <v>-19</v>
      </c>
      <c r="CB52" s="229">
        <v>-1.5900000000000001E-2</v>
      </c>
      <c r="CC52" s="230">
        <v>1167</v>
      </c>
      <c r="CD52" s="230">
        <v>1187</v>
      </c>
      <c r="CE52" s="228">
        <v>-20</v>
      </c>
      <c r="CF52" s="229">
        <v>-1.6500000000000001E-2</v>
      </c>
      <c r="CG52" s="228">
        <v>23</v>
      </c>
      <c r="CH52" s="228">
        <v>23</v>
      </c>
      <c r="CI52" s="228">
        <v>0</v>
      </c>
      <c r="CJ52" s="229">
        <v>8.6999999999999994E-3</v>
      </c>
      <c r="CK52" s="228">
        <v>3</v>
      </c>
      <c r="CL52" s="228">
        <v>3</v>
      </c>
      <c r="CM52" s="228">
        <v>0</v>
      </c>
      <c r="CN52" s="229">
        <v>0.05</v>
      </c>
      <c r="CO52" s="228">
        <v>799</v>
      </c>
      <c r="CP52" s="228">
        <v>803</v>
      </c>
      <c r="CQ52" s="228">
        <v>-3</v>
      </c>
      <c r="CR52" s="229">
        <v>-3.8999999999999998E-3</v>
      </c>
      <c r="CS52" s="228">
        <v>519</v>
      </c>
      <c r="CT52" s="228">
        <v>521</v>
      </c>
      <c r="CU52" s="228">
        <v>-2</v>
      </c>
      <c r="CV52" s="229">
        <v>-3.5999999999999999E-3</v>
      </c>
      <c r="CW52" s="230">
        <v>2511</v>
      </c>
      <c r="CX52" s="230">
        <v>2535</v>
      </c>
      <c r="CY52" s="228">
        <v>-24</v>
      </c>
      <c r="CZ52" s="229">
        <v>-9.5999999999999992E-3</v>
      </c>
      <c r="DA52" s="228">
        <v>21.95</v>
      </c>
      <c r="DB52" s="228">
        <v>21.87</v>
      </c>
      <c r="DC52" s="228">
        <v>0.08</v>
      </c>
      <c r="DD52" s="228">
        <v>0.08</v>
      </c>
      <c r="DE52" s="228">
        <v>24.72</v>
      </c>
      <c r="DF52" s="228">
        <v>24.78</v>
      </c>
      <c r="DG52" s="228">
        <v>-2.77</v>
      </c>
      <c r="DH52" s="228">
        <v>-0.06</v>
      </c>
      <c r="DI52" s="228">
        <v>21.87</v>
      </c>
      <c r="DJ52" s="228">
        <v>21.69</v>
      </c>
      <c r="DK52" s="228">
        <v>0.18</v>
      </c>
      <c r="DL52" s="228">
        <v>0.18</v>
      </c>
      <c r="DM52" s="228">
        <v>22.13</v>
      </c>
      <c r="DN52" s="228">
        <v>22.22</v>
      </c>
      <c r="DO52" s="228">
        <v>-0.09</v>
      </c>
      <c r="DP52" s="228">
        <v>-0.09</v>
      </c>
      <c r="DQ52" s="228">
        <v>0.65</v>
      </c>
      <c r="DR52" s="228">
        <v>0.65</v>
      </c>
      <c r="DS52" s="228">
        <v>0</v>
      </c>
      <c r="DT52" s="229">
        <v>0</v>
      </c>
      <c r="DU52" s="228">
        <v>560</v>
      </c>
      <c r="DV52" s="228">
        <v>500</v>
      </c>
      <c r="DW52" s="228">
        <v>0.47</v>
      </c>
      <c r="DX52" s="228">
        <v>0.5</v>
      </c>
      <c r="DY52" s="228">
        <v>-0.03</v>
      </c>
      <c r="DZ52" s="229">
        <v>-0.06</v>
      </c>
      <c r="EA52" s="229">
        <v>2.1299999999999999E-2</v>
      </c>
      <c r="EB52" s="230">
        <v>480000</v>
      </c>
      <c r="EC52" s="229">
        <v>5.3E-3</v>
      </c>
      <c r="ED52" s="229">
        <v>2.1299999999999999E-2</v>
      </c>
      <c r="EE52" s="228">
        <v>2.4300000000000002</v>
      </c>
      <c r="EF52" s="229">
        <v>4.5999999999999999E-3</v>
      </c>
      <c r="EG52" s="230">
        <v>2412904</v>
      </c>
      <c r="EH52" s="230">
        <v>996525</v>
      </c>
      <c r="EI52" s="229">
        <v>1.4213</v>
      </c>
      <c r="EJ52" s="229">
        <v>0.75780000000000003</v>
      </c>
      <c r="EK52" s="228">
        <v>531.44000000000005</v>
      </c>
      <c r="EL52" s="228">
        <v>234.66</v>
      </c>
      <c r="EM52" s="228">
        <v>175.17</v>
      </c>
      <c r="EN52" s="228">
        <v>64.900000000000006</v>
      </c>
      <c r="EO52" s="228">
        <v>941.27</v>
      </c>
      <c r="EP52" s="231">
        <v>3745.49</v>
      </c>
      <c r="EQ52" s="231">
        <v>-2804.21</v>
      </c>
      <c r="ER52" s="229">
        <v>-0.74870000000000003</v>
      </c>
      <c r="ES52" s="228">
        <v>826.21</v>
      </c>
      <c r="ET52" s="228">
        <v>489.9</v>
      </c>
      <c r="EU52" s="231">
        <v>1192.6500000000001</v>
      </c>
      <c r="EV52" s="231">
        <v>89873278</v>
      </c>
      <c r="EW52" s="231">
        <v>2508.7600000000002</v>
      </c>
      <c r="EX52" s="231">
        <v>2529.8200000000002</v>
      </c>
      <c r="EY52" s="228">
        <v>-21.06</v>
      </c>
      <c r="EZ52" s="229">
        <v>-8.3000000000000001E-3</v>
      </c>
      <c r="FA52" s="229">
        <v>0.53369999999999995</v>
      </c>
      <c r="FB52" s="227" t="s">
        <v>556</v>
      </c>
      <c r="FC52">
        <f t="shared" si="0"/>
        <v>26</v>
      </c>
    </row>
    <row r="53" spans="1:159" ht="17.25" thickBot="1" x14ac:dyDescent="0.3">
      <c r="A53" s="226">
        <v>46029</v>
      </c>
      <c r="B53" s="227" t="s">
        <v>157</v>
      </c>
      <c r="C53" s="227" t="s">
        <v>524</v>
      </c>
      <c r="D53" s="228">
        <v>325</v>
      </c>
      <c r="E53" s="228">
        <v>20</v>
      </c>
      <c r="F53" s="231">
        <v>2131.6</v>
      </c>
      <c r="G53" s="231">
        <v>2127.3000000000002</v>
      </c>
      <c r="H53" s="228">
        <v>4.3</v>
      </c>
      <c r="I53" s="229">
        <v>2E-3</v>
      </c>
      <c r="J53" s="231">
        <v>2121.1999999999998</v>
      </c>
      <c r="K53" s="231">
        <v>2115.6</v>
      </c>
      <c r="L53" s="228">
        <v>5.6</v>
      </c>
      <c r="M53" s="229">
        <v>2.5999999999999999E-3</v>
      </c>
      <c r="N53" s="231">
        <v>2131.6</v>
      </c>
      <c r="O53" s="231">
        <v>2127.3000000000002</v>
      </c>
      <c r="P53" s="228">
        <v>4.3</v>
      </c>
      <c r="Q53" s="229">
        <v>2E-3</v>
      </c>
      <c r="R53" s="231">
        <v>2143.6</v>
      </c>
      <c r="S53" s="231">
        <v>2138.6999999999998</v>
      </c>
      <c r="T53" s="228">
        <v>4.9000000000000004</v>
      </c>
      <c r="U53" s="229">
        <v>2.3E-3</v>
      </c>
      <c r="V53" s="231">
        <v>2157.6</v>
      </c>
      <c r="W53" s="231">
        <v>2153</v>
      </c>
      <c r="X53" s="228">
        <v>4.5999999999999996</v>
      </c>
      <c r="Y53" s="229">
        <v>2.0999999999999999E-3</v>
      </c>
      <c r="Z53" s="228">
        <v>10.4</v>
      </c>
      <c r="AA53" s="228">
        <v>11.7</v>
      </c>
      <c r="AB53" s="228">
        <v>-1.3</v>
      </c>
      <c r="AC53" s="229">
        <v>4.8999999999999998E-3</v>
      </c>
      <c r="AD53" s="228">
        <v>10.4</v>
      </c>
      <c r="AE53" s="228">
        <v>11.7</v>
      </c>
      <c r="AF53" s="228">
        <v>-1.3</v>
      </c>
      <c r="AG53" s="229">
        <v>4.8999999999999998E-3</v>
      </c>
      <c r="AH53" s="228">
        <v>22.4</v>
      </c>
      <c r="AI53" s="228">
        <v>23.1</v>
      </c>
      <c r="AJ53" s="228">
        <v>-0.7</v>
      </c>
      <c r="AK53" s="229">
        <v>1.06E-2</v>
      </c>
      <c r="AL53" s="228">
        <v>36.4</v>
      </c>
      <c r="AM53" s="228">
        <v>37.4</v>
      </c>
      <c r="AN53" s="228">
        <v>-1</v>
      </c>
      <c r="AO53" s="229">
        <v>1.72E-2</v>
      </c>
      <c r="AP53" s="231">
        <v>2140.1799999999998</v>
      </c>
      <c r="AQ53" s="231">
        <v>2155.08</v>
      </c>
      <c r="AR53" s="228">
        <v>0</v>
      </c>
      <c r="AS53" s="228">
        <v>103</v>
      </c>
      <c r="AT53" s="228">
        <v>71</v>
      </c>
      <c r="AU53" s="228">
        <v>32</v>
      </c>
      <c r="AV53" s="229">
        <v>0.44369999999999998</v>
      </c>
      <c r="AW53" s="228">
        <v>99</v>
      </c>
      <c r="AX53" s="228">
        <v>70</v>
      </c>
      <c r="AY53" s="228">
        <v>29</v>
      </c>
      <c r="AZ53" s="229">
        <v>0.41489999999999999</v>
      </c>
      <c r="BA53" s="228">
        <v>3</v>
      </c>
      <c r="BB53" s="228">
        <v>1</v>
      </c>
      <c r="BC53" s="228">
        <v>2</v>
      </c>
      <c r="BD53" s="229">
        <v>1.6315999999999999</v>
      </c>
      <c r="BE53" s="228">
        <v>1</v>
      </c>
      <c r="BF53" s="228">
        <v>0</v>
      </c>
      <c r="BG53" s="228">
        <v>0</v>
      </c>
      <c r="BH53" s="229">
        <v>7</v>
      </c>
      <c r="BI53" s="228">
        <v>154</v>
      </c>
      <c r="BJ53" s="228">
        <v>99</v>
      </c>
      <c r="BK53" s="228">
        <v>56</v>
      </c>
      <c r="BL53" s="229">
        <v>0.5675</v>
      </c>
      <c r="BM53" s="228">
        <v>46</v>
      </c>
      <c r="BN53" s="228">
        <v>43</v>
      </c>
      <c r="BO53" s="228">
        <v>3</v>
      </c>
      <c r="BP53" s="229">
        <v>7.3300000000000004E-2</v>
      </c>
      <c r="BQ53" s="228">
        <v>303</v>
      </c>
      <c r="BR53" s="228">
        <v>212</v>
      </c>
      <c r="BS53" s="228">
        <v>91</v>
      </c>
      <c r="BT53" s="229">
        <v>0.4269</v>
      </c>
      <c r="BU53" s="230">
        <v>143135</v>
      </c>
      <c r="BV53" s="230">
        <v>169882</v>
      </c>
      <c r="BW53" s="230">
        <v>-26747</v>
      </c>
      <c r="BX53" s="229">
        <v>-0.15740000000000001</v>
      </c>
      <c r="BY53" s="228">
        <v>588</v>
      </c>
      <c r="BZ53" s="228">
        <v>598</v>
      </c>
      <c r="CA53" s="228">
        <v>-10</v>
      </c>
      <c r="CB53" s="229">
        <v>-1.67E-2</v>
      </c>
      <c r="CC53" s="228">
        <v>572</v>
      </c>
      <c r="CD53" s="228">
        <v>583</v>
      </c>
      <c r="CE53" s="228">
        <v>-11</v>
      </c>
      <c r="CF53" s="229">
        <v>-1.9099999999999999E-2</v>
      </c>
      <c r="CG53" s="228">
        <v>14</v>
      </c>
      <c r="CH53" s="228">
        <v>14</v>
      </c>
      <c r="CI53" s="228">
        <v>1</v>
      </c>
      <c r="CJ53" s="229">
        <v>5.5800000000000002E-2</v>
      </c>
      <c r="CK53" s="228">
        <v>1</v>
      </c>
      <c r="CL53" s="228">
        <v>1</v>
      </c>
      <c r="CM53" s="228">
        <v>0</v>
      </c>
      <c r="CN53" s="229">
        <v>0.6</v>
      </c>
      <c r="CO53" s="228">
        <v>200</v>
      </c>
      <c r="CP53" s="228">
        <v>189</v>
      </c>
      <c r="CQ53" s="228">
        <v>11</v>
      </c>
      <c r="CR53" s="229">
        <v>5.9499999999999997E-2</v>
      </c>
      <c r="CS53" s="228">
        <v>118</v>
      </c>
      <c r="CT53" s="228">
        <v>104</v>
      </c>
      <c r="CU53" s="228">
        <v>15</v>
      </c>
      <c r="CV53" s="229">
        <v>0.1409</v>
      </c>
      <c r="CW53" s="228">
        <v>906</v>
      </c>
      <c r="CX53" s="228">
        <v>890</v>
      </c>
      <c r="CY53" s="228">
        <v>16</v>
      </c>
      <c r="CZ53" s="229">
        <v>1.78E-2</v>
      </c>
      <c r="DA53" s="228">
        <v>24.82</v>
      </c>
      <c r="DB53" s="228">
        <v>25.23</v>
      </c>
      <c r="DC53" s="228">
        <v>-0.41</v>
      </c>
      <c r="DD53" s="228">
        <v>-0.41</v>
      </c>
      <c r="DE53" s="228">
        <v>28.82</v>
      </c>
      <c r="DF53" s="228">
        <v>28.89</v>
      </c>
      <c r="DG53" s="228">
        <v>-4</v>
      </c>
      <c r="DH53" s="228">
        <v>-7.0000000000000007E-2</v>
      </c>
      <c r="DI53" s="228">
        <v>24.96</v>
      </c>
      <c r="DJ53" s="228">
        <v>25.41</v>
      </c>
      <c r="DK53" s="228">
        <v>-0.45</v>
      </c>
      <c r="DL53" s="228">
        <v>-0.45</v>
      </c>
      <c r="DM53" s="228">
        <v>24.34</v>
      </c>
      <c r="DN53" s="228">
        <v>24.82</v>
      </c>
      <c r="DO53" s="228">
        <v>-0.48</v>
      </c>
      <c r="DP53" s="228">
        <v>-0.48</v>
      </c>
      <c r="DQ53" s="228">
        <v>0.59</v>
      </c>
      <c r="DR53" s="228">
        <v>0.55000000000000004</v>
      </c>
      <c r="DS53" s="228">
        <v>0.04</v>
      </c>
      <c r="DT53" s="229">
        <v>7.2700000000000001E-2</v>
      </c>
      <c r="DU53" s="231">
        <v>2200</v>
      </c>
      <c r="DV53" s="231">
        <v>2100</v>
      </c>
      <c r="DW53" s="228">
        <v>0.3</v>
      </c>
      <c r="DX53" s="228">
        <v>0.43</v>
      </c>
      <c r="DY53" s="228">
        <v>-0.13</v>
      </c>
      <c r="DZ53" s="229">
        <v>-0.30230000000000001</v>
      </c>
      <c r="EA53" s="229">
        <v>2.64E-2</v>
      </c>
      <c r="EB53" s="230">
        <v>67275</v>
      </c>
      <c r="EC53" s="229">
        <v>5.5999999999999999E-3</v>
      </c>
      <c r="ED53" s="229">
        <v>2.64E-2</v>
      </c>
      <c r="EE53" s="228">
        <v>14.9</v>
      </c>
      <c r="EF53" s="229">
        <v>7.0000000000000001E-3</v>
      </c>
      <c r="EG53" s="230">
        <v>65398</v>
      </c>
      <c r="EH53" s="230">
        <v>99952</v>
      </c>
      <c r="EI53" s="229">
        <v>-0.34570000000000001</v>
      </c>
      <c r="EJ53" s="229">
        <v>0.45689999999999997</v>
      </c>
      <c r="EK53" s="228">
        <v>161.96</v>
      </c>
      <c r="EL53" s="228">
        <v>45.16</v>
      </c>
      <c r="EM53" s="228">
        <v>103.46</v>
      </c>
      <c r="EN53" s="228">
        <v>13.9</v>
      </c>
      <c r="EO53" s="228">
        <v>310.58999999999997</v>
      </c>
      <c r="EP53" s="228">
        <v>216.83</v>
      </c>
      <c r="EQ53" s="228">
        <v>93.76</v>
      </c>
      <c r="ER53" s="229">
        <v>0.43240000000000001</v>
      </c>
      <c r="ES53" s="228">
        <v>207.78</v>
      </c>
      <c r="ET53" s="228">
        <v>114.71</v>
      </c>
      <c r="EU53" s="228">
        <v>587.84</v>
      </c>
      <c r="EV53" s="231">
        <v>12425041</v>
      </c>
      <c r="EW53" s="228">
        <v>910.33</v>
      </c>
      <c r="EX53" s="228">
        <v>893.2</v>
      </c>
      <c r="EY53" s="228">
        <v>17.13</v>
      </c>
      <c r="EZ53" s="229">
        <v>1.9199999999999998E-2</v>
      </c>
      <c r="FA53" s="229">
        <v>0.34200000000000003</v>
      </c>
      <c r="FB53" s="227" t="s">
        <v>556</v>
      </c>
      <c r="FC53">
        <f t="shared" si="0"/>
        <v>16</v>
      </c>
    </row>
    <row r="54" spans="1:159" ht="17.25" thickBot="1" x14ac:dyDescent="0.3">
      <c r="A54" s="226">
        <v>46029</v>
      </c>
      <c r="B54" s="227" t="s">
        <v>615</v>
      </c>
      <c r="C54" s="227" t="s">
        <v>600</v>
      </c>
      <c r="D54" s="228">
        <v>2075</v>
      </c>
      <c r="E54" s="228">
        <v>20</v>
      </c>
      <c r="F54" s="228">
        <v>424.4</v>
      </c>
      <c r="G54" s="228">
        <v>416.2</v>
      </c>
      <c r="H54" s="228">
        <v>8.1999999999999993</v>
      </c>
      <c r="I54" s="229">
        <v>1.9699999999999999E-2</v>
      </c>
      <c r="J54" s="228">
        <v>422.25</v>
      </c>
      <c r="K54" s="228">
        <v>414.25</v>
      </c>
      <c r="L54" s="228">
        <v>8</v>
      </c>
      <c r="M54" s="229">
        <v>1.9300000000000001E-2</v>
      </c>
      <c r="N54" s="228">
        <v>424.4</v>
      </c>
      <c r="O54" s="228">
        <v>416.2</v>
      </c>
      <c r="P54" s="228">
        <v>8.1999999999999993</v>
      </c>
      <c r="Q54" s="229">
        <v>1.9699999999999999E-2</v>
      </c>
      <c r="R54" s="228">
        <v>426.75</v>
      </c>
      <c r="S54" s="228">
        <v>417.8</v>
      </c>
      <c r="T54" s="228">
        <v>8.9499999999999993</v>
      </c>
      <c r="U54" s="229">
        <v>2.1399999999999999E-2</v>
      </c>
      <c r="V54" s="228">
        <v>429.35</v>
      </c>
      <c r="W54" s="228">
        <v>421</v>
      </c>
      <c r="X54" s="228">
        <v>8.35</v>
      </c>
      <c r="Y54" s="229">
        <v>1.9800000000000002E-2</v>
      </c>
      <c r="Z54" s="228">
        <v>2.15</v>
      </c>
      <c r="AA54" s="228">
        <v>1.95</v>
      </c>
      <c r="AB54" s="228">
        <v>0.2</v>
      </c>
      <c r="AC54" s="229">
        <v>5.1000000000000004E-3</v>
      </c>
      <c r="AD54" s="228">
        <v>2.15</v>
      </c>
      <c r="AE54" s="228">
        <v>1.95</v>
      </c>
      <c r="AF54" s="228">
        <v>0.2</v>
      </c>
      <c r="AG54" s="229">
        <v>5.1000000000000004E-3</v>
      </c>
      <c r="AH54" s="228">
        <v>4.5</v>
      </c>
      <c r="AI54" s="228">
        <v>3.55</v>
      </c>
      <c r="AJ54" s="228">
        <v>0.95</v>
      </c>
      <c r="AK54" s="229">
        <v>1.0699999999999999E-2</v>
      </c>
      <c r="AL54" s="228">
        <v>7.1</v>
      </c>
      <c r="AM54" s="228">
        <v>6.75</v>
      </c>
      <c r="AN54" s="228">
        <v>0.35</v>
      </c>
      <c r="AO54" s="229">
        <v>1.6799999999999999E-2</v>
      </c>
      <c r="AP54" s="228">
        <v>422.27</v>
      </c>
      <c r="AQ54" s="228">
        <v>424.43</v>
      </c>
      <c r="AR54" s="228">
        <v>0</v>
      </c>
      <c r="AS54" s="228">
        <v>408</v>
      </c>
      <c r="AT54" s="228">
        <v>225</v>
      </c>
      <c r="AU54" s="228">
        <v>182</v>
      </c>
      <c r="AV54" s="229">
        <v>0.80779999999999996</v>
      </c>
      <c r="AW54" s="228">
        <v>388</v>
      </c>
      <c r="AX54" s="228">
        <v>217</v>
      </c>
      <c r="AY54" s="228">
        <v>171</v>
      </c>
      <c r="AZ54" s="229">
        <v>0.78690000000000004</v>
      </c>
      <c r="BA54" s="228">
        <v>18</v>
      </c>
      <c r="BB54" s="228">
        <v>8</v>
      </c>
      <c r="BC54" s="228">
        <v>11</v>
      </c>
      <c r="BD54" s="229">
        <v>1.3793</v>
      </c>
      <c r="BE54" s="228">
        <v>1</v>
      </c>
      <c r="BF54" s="228">
        <v>0</v>
      </c>
      <c r="BG54" s="228">
        <v>1</v>
      </c>
      <c r="BH54" s="229">
        <v>1.2</v>
      </c>
      <c r="BI54" s="228">
        <v>964</v>
      </c>
      <c r="BJ54" s="228">
        <v>544</v>
      </c>
      <c r="BK54" s="228">
        <v>420</v>
      </c>
      <c r="BL54" s="229">
        <v>0.77129999999999999</v>
      </c>
      <c r="BM54" s="228">
        <v>384</v>
      </c>
      <c r="BN54" s="228">
        <v>189</v>
      </c>
      <c r="BO54" s="228">
        <v>195</v>
      </c>
      <c r="BP54" s="229">
        <v>1.0284</v>
      </c>
      <c r="BQ54" s="230">
        <v>1755</v>
      </c>
      <c r="BR54" s="228">
        <v>959</v>
      </c>
      <c r="BS54" s="228">
        <v>797</v>
      </c>
      <c r="BT54" s="229">
        <v>0.83069999999999999</v>
      </c>
      <c r="BU54" s="230">
        <v>3712162</v>
      </c>
      <c r="BV54" s="230">
        <v>2705581</v>
      </c>
      <c r="BW54" s="230">
        <v>1006581</v>
      </c>
      <c r="BX54" s="229">
        <v>0.372</v>
      </c>
      <c r="BY54" s="228">
        <v>917</v>
      </c>
      <c r="BZ54" s="228">
        <v>855</v>
      </c>
      <c r="CA54" s="228">
        <v>62</v>
      </c>
      <c r="CB54" s="229">
        <v>7.2700000000000001E-2</v>
      </c>
      <c r="CC54" s="228">
        <v>896</v>
      </c>
      <c r="CD54" s="228">
        <v>837</v>
      </c>
      <c r="CE54" s="228">
        <v>59</v>
      </c>
      <c r="CF54" s="229">
        <v>7.0000000000000007E-2</v>
      </c>
      <c r="CG54" s="228">
        <v>19</v>
      </c>
      <c r="CH54" s="228">
        <v>16</v>
      </c>
      <c r="CI54" s="228">
        <v>3</v>
      </c>
      <c r="CJ54" s="229">
        <v>0.20330000000000001</v>
      </c>
      <c r="CK54" s="228">
        <v>2</v>
      </c>
      <c r="CL54" s="228">
        <v>1</v>
      </c>
      <c r="CM54" s="228">
        <v>0</v>
      </c>
      <c r="CN54" s="229">
        <v>0.1875</v>
      </c>
      <c r="CO54" s="228">
        <v>278</v>
      </c>
      <c r="CP54" s="228">
        <v>231</v>
      </c>
      <c r="CQ54" s="228">
        <v>47</v>
      </c>
      <c r="CR54" s="229">
        <v>0.20449999999999999</v>
      </c>
      <c r="CS54" s="228">
        <v>213</v>
      </c>
      <c r="CT54" s="228">
        <v>195</v>
      </c>
      <c r="CU54" s="228">
        <v>18</v>
      </c>
      <c r="CV54" s="229">
        <v>9.0700000000000003E-2</v>
      </c>
      <c r="CW54" s="230">
        <v>1408</v>
      </c>
      <c r="CX54" s="230">
        <v>1281</v>
      </c>
      <c r="CY54" s="228">
        <v>127</v>
      </c>
      <c r="CZ54" s="229">
        <v>9.9199999999999997E-2</v>
      </c>
      <c r="DA54" s="228">
        <v>29.16</v>
      </c>
      <c r="DB54" s="228">
        <v>28.77</v>
      </c>
      <c r="DC54" s="228">
        <v>0.39</v>
      </c>
      <c r="DD54" s="228">
        <v>0.39</v>
      </c>
      <c r="DE54" s="228">
        <v>39.93</v>
      </c>
      <c r="DF54" s="228">
        <v>39.94</v>
      </c>
      <c r="DG54" s="228">
        <v>-10.77</v>
      </c>
      <c r="DH54" s="228">
        <v>-0.01</v>
      </c>
      <c r="DI54" s="228">
        <v>29.3</v>
      </c>
      <c r="DJ54" s="228">
        <v>28.59</v>
      </c>
      <c r="DK54" s="228">
        <v>0.71</v>
      </c>
      <c r="DL54" s="228">
        <v>0.71</v>
      </c>
      <c r="DM54" s="228">
        <v>28.82</v>
      </c>
      <c r="DN54" s="228">
        <v>29.27</v>
      </c>
      <c r="DO54" s="228">
        <v>-0.45</v>
      </c>
      <c r="DP54" s="228">
        <v>-0.45</v>
      </c>
      <c r="DQ54" s="228">
        <v>0.77</v>
      </c>
      <c r="DR54" s="228">
        <v>0.85</v>
      </c>
      <c r="DS54" s="228">
        <v>-0.08</v>
      </c>
      <c r="DT54" s="229">
        <v>-9.4100000000000003E-2</v>
      </c>
      <c r="DU54" s="228">
        <v>420</v>
      </c>
      <c r="DV54" s="228">
        <v>400</v>
      </c>
      <c r="DW54" s="228">
        <v>0.4</v>
      </c>
      <c r="DX54" s="228">
        <v>0.35</v>
      </c>
      <c r="DY54" s="228">
        <v>0.05</v>
      </c>
      <c r="DZ54" s="229">
        <v>0.1429</v>
      </c>
      <c r="EA54" s="229">
        <v>2.29E-2</v>
      </c>
      <c r="EB54" s="230">
        <v>410850</v>
      </c>
      <c r="EC54" s="229">
        <v>5.4999999999999997E-3</v>
      </c>
      <c r="ED54" s="229">
        <v>2.29E-2</v>
      </c>
      <c r="EE54" s="228">
        <v>2.16</v>
      </c>
      <c r="EF54" s="229">
        <v>5.1000000000000004E-3</v>
      </c>
      <c r="EG54" s="230">
        <v>2261951</v>
      </c>
      <c r="EH54" s="230">
        <v>1569763</v>
      </c>
      <c r="EI54" s="229">
        <v>0.441</v>
      </c>
      <c r="EJ54" s="229">
        <v>0.60929999999999995</v>
      </c>
      <c r="EK54" s="228">
        <v>997.84</v>
      </c>
      <c r="EL54" s="228">
        <v>375.42</v>
      </c>
      <c r="EM54" s="228">
        <v>405.62</v>
      </c>
      <c r="EN54" s="228">
        <v>17.22</v>
      </c>
      <c r="EO54" s="231">
        <v>1778.88</v>
      </c>
      <c r="EP54" s="228">
        <v>963</v>
      </c>
      <c r="EQ54" s="228">
        <v>815.88</v>
      </c>
      <c r="ER54" s="229">
        <v>0.84719999999999995</v>
      </c>
      <c r="ES54" s="228">
        <v>284.70999999999998</v>
      </c>
      <c r="ET54" s="228">
        <v>200.71</v>
      </c>
      <c r="EU54" s="228">
        <v>917.04</v>
      </c>
      <c r="EV54" s="231">
        <v>112112283</v>
      </c>
      <c r="EW54" s="231">
        <v>1402.46</v>
      </c>
      <c r="EX54" s="231">
        <v>1254.8599999999999</v>
      </c>
      <c r="EY54" s="228">
        <v>147.6</v>
      </c>
      <c r="EZ54" s="229">
        <v>0.1176</v>
      </c>
      <c r="FA54" s="229">
        <v>0.2959</v>
      </c>
      <c r="FB54" s="227" t="s">
        <v>555</v>
      </c>
      <c r="FC54">
        <f t="shared" si="0"/>
        <v>21</v>
      </c>
    </row>
    <row r="55" spans="1:159" ht="17.25" thickBot="1" x14ac:dyDescent="0.3">
      <c r="A55" s="226">
        <v>46029</v>
      </c>
      <c r="B55" s="227" t="s">
        <v>170</v>
      </c>
      <c r="C55" s="227" t="s">
        <v>205</v>
      </c>
      <c r="D55" s="228">
        <v>100</v>
      </c>
      <c r="E55" s="228">
        <v>20</v>
      </c>
      <c r="F55" s="231">
        <v>6657.5</v>
      </c>
      <c r="G55" s="231">
        <v>6676.5</v>
      </c>
      <c r="H55" s="228">
        <v>-19</v>
      </c>
      <c r="I55" s="229">
        <v>-2.8E-3</v>
      </c>
      <c r="J55" s="231">
        <v>6642.5</v>
      </c>
      <c r="K55" s="231">
        <v>6642.5</v>
      </c>
      <c r="L55" s="228">
        <v>0</v>
      </c>
      <c r="M55" s="229">
        <v>0</v>
      </c>
      <c r="N55" s="231">
        <v>6657.5</v>
      </c>
      <c r="O55" s="231">
        <v>6676.5</v>
      </c>
      <c r="P55" s="228">
        <v>-19</v>
      </c>
      <c r="Q55" s="229">
        <v>-2.8E-3</v>
      </c>
      <c r="R55" s="231">
        <v>6694.5</v>
      </c>
      <c r="S55" s="231">
        <v>6711</v>
      </c>
      <c r="T55" s="228">
        <v>-16.5</v>
      </c>
      <c r="U55" s="229">
        <v>-2.5000000000000001E-3</v>
      </c>
      <c r="V55" s="231">
        <v>6742</v>
      </c>
      <c r="W55" s="231">
        <v>6753</v>
      </c>
      <c r="X55" s="228">
        <v>-11</v>
      </c>
      <c r="Y55" s="229">
        <v>-1.6000000000000001E-3</v>
      </c>
      <c r="Z55" s="228">
        <v>15</v>
      </c>
      <c r="AA55" s="228">
        <v>34</v>
      </c>
      <c r="AB55" s="228">
        <v>-19</v>
      </c>
      <c r="AC55" s="229">
        <v>2.3E-3</v>
      </c>
      <c r="AD55" s="228">
        <v>15</v>
      </c>
      <c r="AE55" s="228">
        <v>34</v>
      </c>
      <c r="AF55" s="228">
        <v>-19</v>
      </c>
      <c r="AG55" s="229">
        <v>2.3E-3</v>
      </c>
      <c r="AH55" s="228">
        <v>52</v>
      </c>
      <c r="AI55" s="228">
        <v>68.5</v>
      </c>
      <c r="AJ55" s="228">
        <v>-16.5</v>
      </c>
      <c r="AK55" s="229">
        <v>7.7999999999999996E-3</v>
      </c>
      <c r="AL55" s="228">
        <v>99.5</v>
      </c>
      <c r="AM55" s="228">
        <v>110.5</v>
      </c>
      <c r="AN55" s="228">
        <v>-11</v>
      </c>
      <c r="AO55" s="229">
        <v>1.4999999999999999E-2</v>
      </c>
      <c r="AP55" s="231">
        <v>6679.57</v>
      </c>
      <c r="AQ55" s="231">
        <v>6720.06</v>
      </c>
      <c r="AR55" s="228">
        <v>0</v>
      </c>
      <c r="AS55" s="228">
        <v>318</v>
      </c>
      <c r="AT55" s="228">
        <v>626</v>
      </c>
      <c r="AU55" s="228">
        <v>-309</v>
      </c>
      <c r="AV55" s="229">
        <v>-0.49270000000000003</v>
      </c>
      <c r="AW55" s="228">
        <v>305</v>
      </c>
      <c r="AX55" s="228">
        <v>597</v>
      </c>
      <c r="AY55" s="228">
        <v>-292</v>
      </c>
      <c r="AZ55" s="229">
        <v>-0.48899999999999999</v>
      </c>
      <c r="BA55" s="228">
        <v>11</v>
      </c>
      <c r="BB55" s="228">
        <v>25</v>
      </c>
      <c r="BC55" s="228">
        <v>-15</v>
      </c>
      <c r="BD55" s="229">
        <v>-0.57179999999999997</v>
      </c>
      <c r="BE55" s="228">
        <v>1</v>
      </c>
      <c r="BF55" s="228">
        <v>3</v>
      </c>
      <c r="BG55" s="228">
        <v>-2</v>
      </c>
      <c r="BH55" s="229">
        <v>-0.56000000000000005</v>
      </c>
      <c r="BI55" s="230">
        <v>2214</v>
      </c>
      <c r="BJ55" s="230">
        <v>6545</v>
      </c>
      <c r="BK55" s="230">
        <v>-4331</v>
      </c>
      <c r="BL55" s="229">
        <v>-0.66169999999999995</v>
      </c>
      <c r="BM55" s="228">
        <v>639</v>
      </c>
      <c r="BN55" s="230">
        <v>1459</v>
      </c>
      <c r="BO55" s="228">
        <v>-821</v>
      </c>
      <c r="BP55" s="229">
        <v>-0.56230000000000002</v>
      </c>
      <c r="BQ55" s="230">
        <v>3171</v>
      </c>
      <c r="BR55" s="230">
        <v>8631</v>
      </c>
      <c r="BS55" s="230">
        <v>-5460</v>
      </c>
      <c r="BT55" s="229">
        <v>-0.63260000000000005</v>
      </c>
      <c r="BU55" s="230">
        <v>461952</v>
      </c>
      <c r="BV55" s="230">
        <v>748740</v>
      </c>
      <c r="BW55" s="230">
        <v>-286788</v>
      </c>
      <c r="BX55" s="229">
        <v>-0.38300000000000001</v>
      </c>
      <c r="BY55" s="230">
        <v>2275</v>
      </c>
      <c r="BZ55" s="230">
        <v>2305</v>
      </c>
      <c r="CA55" s="228">
        <v>-30</v>
      </c>
      <c r="CB55" s="229">
        <v>-1.29E-2</v>
      </c>
      <c r="CC55" s="230">
        <v>2235</v>
      </c>
      <c r="CD55" s="230">
        <v>2265</v>
      </c>
      <c r="CE55" s="228">
        <v>-30</v>
      </c>
      <c r="CF55" s="229">
        <v>-1.34E-2</v>
      </c>
      <c r="CG55" s="228">
        <v>38</v>
      </c>
      <c r="CH55" s="228">
        <v>37</v>
      </c>
      <c r="CI55" s="228">
        <v>0</v>
      </c>
      <c r="CJ55" s="229">
        <v>5.3E-3</v>
      </c>
      <c r="CK55" s="228">
        <v>2</v>
      </c>
      <c r="CL55" s="228">
        <v>2</v>
      </c>
      <c r="CM55" s="228">
        <v>0</v>
      </c>
      <c r="CN55" s="229">
        <v>0.21429999999999999</v>
      </c>
      <c r="CO55" s="228">
        <v>828</v>
      </c>
      <c r="CP55" s="228">
        <v>746</v>
      </c>
      <c r="CQ55" s="228">
        <v>83</v>
      </c>
      <c r="CR55" s="229">
        <v>0.1108</v>
      </c>
      <c r="CS55" s="228">
        <v>528</v>
      </c>
      <c r="CT55" s="228">
        <v>491</v>
      </c>
      <c r="CU55" s="228">
        <v>37</v>
      </c>
      <c r="CV55" s="229">
        <v>7.5800000000000006E-2</v>
      </c>
      <c r="CW55" s="230">
        <v>3632</v>
      </c>
      <c r="CX55" s="230">
        <v>3541</v>
      </c>
      <c r="CY55" s="228">
        <v>90</v>
      </c>
      <c r="CZ55" s="229">
        <v>2.5499999999999998E-2</v>
      </c>
      <c r="DA55" s="228">
        <v>22.5</v>
      </c>
      <c r="DB55" s="228">
        <v>22.46</v>
      </c>
      <c r="DC55" s="228">
        <v>0.04</v>
      </c>
      <c r="DD55" s="228">
        <v>0.04</v>
      </c>
      <c r="DE55" s="228">
        <v>30.15</v>
      </c>
      <c r="DF55" s="228">
        <v>30.22</v>
      </c>
      <c r="DG55" s="228">
        <v>-7.65</v>
      </c>
      <c r="DH55" s="228">
        <v>-7.0000000000000007E-2</v>
      </c>
      <c r="DI55" s="228">
        <v>22.51</v>
      </c>
      <c r="DJ55" s="228">
        <v>22.34</v>
      </c>
      <c r="DK55" s="228">
        <v>0.17</v>
      </c>
      <c r="DL55" s="228">
        <v>0.17</v>
      </c>
      <c r="DM55" s="228">
        <v>22.46</v>
      </c>
      <c r="DN55" s="228">
        <v>22.99</v>
      </c>
      <c r="DO55" s="228">
        <v>-0.53</v>
      </c>
      <c r="DP55" s="228">
        <v>-0.53</v>
      </c>
      <c r="DQ55" s="228">
        <v>0.64</v>
      </c>
      <c r="DR55" s="228">
        <v>0.66</v>
      </c>
      <c r="DS55" s="228">
        <v>-0.02</v>
      </c>
      <c r="DT55" s="229">
        <v>-3.0300000000000001E-2</v>
      </c>
      <c r="DU55" s="231">
        <v>7000</v>
      </c>
      <c r="DV55" s="231">
        <v>6200</v>
      </c>
      <c r="DW55" s="228">
        <v>0.28999999999999998</v>
      </c>
      <c r="DX55" s="228">
        <v>0.22</v>
      </c>
      <c r="DY55" s="228">
        <v>7.0000000000000007E-2</v>
      </c>
      <c r="DZ55" s="229">
        <v>0.31819999999999998</v>
      </c>
      <c r="EA55" s="229">
        <v>1.7500000000000002E-2</v>
      </c>
      <c r="EB55" s="230">
        <v>59000</v>
      </c>
      <c r="EC55" s="229">
        <v>5.5999999999999999E-3</v>
      </c>
      <c r="ED55" s="229">
        <v>1.7500000000000002E-2</v>
      </c>
      <c r="EE55" s="228">
        <v>40.49</v>
      </c>
      <c r="EF55" s="229">
        <v>6.1000000000000004E-3</v>
      </c>
      <c r="EG55" s="230">
        <v>233655</v>
      </c>
      <c r="EH55" s="230">
        <v>275479</v>
      </c>
      <c r="EI55" s="229">
        <v>-0.15179999999999999</v>
      </c>
      <c r="EJ55" s="229">
        <v>0.50580000000000003</v>
      </c>
      <c r="EK55" s="231">
        <v>2303.1999999999998</v>
      </c>
      <c r="EL55" s="228">
        <v>625.9</v>
      </c>
      <c r="EM55" s="228">
        <v>318.77</v>
      </c>
      <c r="EN55" s="228">
        <v>36.700000000000003</v>
      </c>
      <c r="EO55" s="231">
        <v>3247.87</v>
      </c>
      <c r="EP55" s="231">
        <v>8775.67</v>
      </c>
      <c r="EQ55" s="231">
        <v>-5527.8</v>
      </c>
      <c r="ER55" s="229">
        <v>-0.62990000000000002</v>
      </c>
      <c r="ES55" s="228">
        <v>846.44</v>
      </c>
      <c r="ET55" s="228">
        <v>498.89</v>
      </c>
      <c r="EU55" s="231">
        <v>2275.31</v>
      </c>
      <c r="EV55" s="231">
        <v>14898112</v>
      </c>
      <c r="EW55" s="231">
        <v>3620.64</v>
      </c>
      <c r="EX55" s="231">
        <v>3536.9</v>
      </c>
      <c r="EY55" s="228">
        <v>83.74</v>
      </c>
      <c r="EZ55" s="229">
        <v>2.3699999999999999E-2</v>
      </c>
      <c r="FA55" s="229">
        <v>0.36609999999999998</v>
      </c>
      <c r="FB55" s="227" t="s">
        <v>568</v>
      </c>
      <c r="FC55">
        <f t="shared" si="0"/>
        <v>40</v>
      </c>
    </row>
    <row r="56" spans="1:159" ht="17.25" thickBot="1" x14ac:dyDescent="0.3">
      <c r="A56" s="226">
        <v>46029</v>
      </c>
      <c r="B56" s="227" t="s">
        <v>184</v>
      </c>
      <c r="C56" s="227" t="s">
        <v>512</v>
      </c>
      <c r="D56" s="228">
        <v>50</v>
      </c>
      <c r="E56" s="228">
        <v>20</v>
      </c>
      <c r="F56" s="231">
        <v>11827</v>
      </c>
      <c r="G56" s="231">
        <v>11739</v>
      </c>
      <c r="H56" s="228">
        <v>88</v>
      </c>
      <c r="I56" s="229">
        <v>7.4999999999999997E-3</v>
      </c>
      <c r="J56" s="231">
        <v>11770</v>
      </c>
      <c r="K56" s="231">
        <v>11726</v>
      </c>
      <c r="L56" s="228">
        <v>44</v>
      </c>
      <c r="M56" s="229">
        <v>3.8E-3</v>
      </c>
      <c r="N56" s="231">
        <v>11827</v>
      </c>
      <c r="O56" s="231">
        <v>11739</v>
      </c>
      <c r="P56" s="228">
        <v>88</v>
      </c>
      <c r="Q56" s="229">
        <v>7.4999999999999997E-3</v>
      </c>
      <c r="R56" s="231">
        <v>11900</v>
      </c>
      <c r="S56" s="231">
        <v>11817</v>
      </c>
      <c r="T56" s="228">
        <v>83</v>
      </c>
      <c r="U56" s="229">
        <v>7.0000000000000001E-3</v>
      </c>
      <c r="V56" s="231">
        <v>11970</v>
      </c>
      <c r="W56" s="231">
        <v>11879</v>
      </c>
      <c r="X56" s="228">
        <v>91</v>
      </c>
      <c r="Y56" s="229">
        <v>7.7000000000000002E-3</v>
      </c>
      <c r="Z56" s="228">
        <v>57</v>
      </c>
      <c r="AA56" s="228">
        <v>13</v>
      </c>
      <c r="AB56" s="228">
        <v>44</v>
      </c>
      <c r="AC56" s="229">
        <v>4.7999999999999996E-3</v>
      </c>
      <c r="AD56" s="228">
        <v>57</v>
      </c>
      <c r="AE56" s="228">
        <v>13</v>
      </c>
      <c r="AF56" s="228">
        <v>44</v>
      </c>
      <c r="AG56" s="229">
        <v>4.7999999999999996E-3</v>
      </c>
      <c r="AH56" s="228">
        <v>130</v>
      </c>
      <c r="AI56" s="228">
        <v>91</v>
      </c>
      <c r="AJ56" s="228">
        <v>39</v>
      </c>
      <c r="AK56" s="229">
        <v>1.0999999999999999E-2</v>
      </c>
      <c r="AL56" s="228">
        <v>200</v>
      </c>
      <c r="AM56" s="228">
        <v>153</v>
      </c>
      <c r="AN56" s="228">
        <v>47</v>
      </c>
      <c r="AO56" s="229">
        <v>1.7000000000000001E-2</v>
      </c>
      <c r="AP56" s="231">
        <v>11781.25</v>
      </c>
      <c r="AQ56" s="231">
        <v>11848.6</v>
      </c>
      <c r="AR56" s="228">
        <v>0</v>
      </c>
      <c r="AS56" s="230">
        <v>1306</v>
      </c>
      <c r="AT56" s="230">
        <v>1138</v>
      </c>
      <c r="AU56" s="228">
        <v>168</v>
      </c>
      <c r="AV56" s="229">
        <v>0.14729999999999999</v>
      </c>
      <c r="AW56" s="230">
        <v>1182</v>
      </c>
      <c r="AX56" s="230">
        <v>1022</v>
      </c>
      <c r="AY56" s="228">
        <v>160</v>
      </c>
      <c r="AZ56" s="229">
        <v>0.157</v>
      </c>
      <c r="BA56" s="228">
        <v>107</v>
      </c>
      <c r="BB56" s="228">
        <v>92</v>
      </c>
      <c r="BC56" s="228">
        <v>15</v>
      </c>
      <c r="BD56" s="229">
        <v>0.16550000000000001</v>
      </c>
      <c r="BE56" s="228">
        <v>16</v>
      </c>
      <c r="BF56" s="228">
        <v>24</v>
      </c>
      <c r="BG56" s="228">
        <v>-8</v>
      </c>
      <c r="BH56" s="229">
        <v>-0.3342</v>
      </c>
      <c r="BI56" s="230">
        <v>5794</v>
      </c>
      <c r="BJ56" s="230">
        <v>3817</v>
      </c>
      <c r="BK56" s="230">
        <v>1977</v>
      </c>
      <c r="BL56" s="229">
        <v>0.51790000000000003</v>
      </c>
      <c r="BM56" s="230">
        <v>4076</v>
      </c>
      <c r="BN56" s="230">
        <v>3045</v>
      </c>
      <c r="BO56" s="230">
        <v>1031</v>
      </c>
      <c r="BP56" s="229">
        <v>0.33850000000000002</v>
      </c>
      <c r="BQ56" s="230">
        <v>11176</v>
      </c>
      <c r="BR56" s="230">
        <v>8001</v>
      </c>
      <c r="BS56" s="230">
        <v>3175</v>
      </c>
      <c r="BT56" s="229">
        <v>0.39689999999999998</v>
      </c>
      <c r="BU56" s="230">
        <v>973222</v>
      </c>
      <c r="BV56" s="230">
        <v>571630</v>
      </c>
      <c r="BW56" s="230">
        <v>401592</v>
      </c>
      <c r="BX56" s="229">
        <v>0.70250000000000001</v>
      </c>
      <c r="BY56" s="230">
        <v>3581</v>
      </c>
      <c r="BZ56" s="230">
        <v>3580</v>
      </c>
      <c r="CA56" s="228">
        <v>1</v>
      </c>
      <c r="CB56" s="229">
        <v>2.0000000000000001E-4</v>
      </c>
      <c r="CC56" s="230">
        <v>3302</v>
      </c>
      <c r="CD56" s="230">
        <v>3324</v>
      </c>
      <c r="CE56" s="228">
        <v>-22</v>
      </c>
      <c r="CF56" s="229">
        <v>-6.6E-3</v>
      </c>
      <c r="CG56" s="228">
        <v>248</v>
      </c>
      <c r="CH56" s="228">
        <v>229</v>
      </c>
      <c r="CI56" s="228">
        <v>19</v>
      </c>
      <c r="CJ56" s="229">
        <v>8.2699999999999996E-2</v>
      </c>
      <c r="CK56" s="228">
        <v>30</v>
      </c>
      <c r="CL56" s="228">
        <v>27</v>
      </c>
      <c r="CM56" s="228">
        <v>4</v>
      </c>
      <c r="CN56" s="229">
        <v>0.13750000000000001</v>
      </c>
      <c r="CO56" s="230">
        <v>3575</v>
      </c>
      <c r="CP56" s="230">
        <v>3444</v>
      </c>
      <c r="CQ56" s="228">
        <v>131</v>
      </c>
      <c r="CR56" s="229">
        <v>3.7999999999999999E-2</v>
      </c>
      <c r="CS56" s="230">
        <v>2122</v>
      </c>
      <c r="CT56" s="230">
        <v>1994</v>
      </c>
      <c r="CU56" s="228">
        <v>128</v>
      </c>
      <c r="CV56" s="229">
        <v>6.4299999999999996E-2</v>
      </c>
      <c r="CW56" s="230">
        <v>9278</v>
      </c>
      <c r="CX56" s="230">
        <v>9018</v>
      </c>
      <c r="CY56" s="228">
        <v>260</v>
      </c>
      <c r="CZ56" s="229">
        <v>2.8799999999999999E-2</v>
      </c>
      <c r="DA56" s="228">
        <v>44.04</v>
      </c>
      <c r="DB56" s="228">
        <v>45.59</v>
      </c>
      <c r="DC56" s="228">
        <v>-1.55</v>
      </c>
      <c r="DD56" s="228">
        <v>-1.55</v>
      </c>
      <c r="DE56" s="228">
        <v>44.48</v>
      </c>
      <c r="DF56" s="228">
        <v>44.58</v>
      </c>
      <c r="DG56" s="228">
        <v>-0.44</v>
      </c>
      <c r="DH56" s="228">
        <v>-0.1</v>
      </c>
      <c r="DI56" s="228">
        <v>43.71</v>
      </c>
      <c r="DJ56" s="228">
        <v>45.81</v>
      </c>
      <c r="DK56" s="228">
        <v>-2.1</v>
      </c>
      <c r="DL56" s="228">
        <v>-2.1</v>
      </c>
      <c r="DM56" s="228">
        <v>44.51</v>
      </c>
      <c r="DN56" s="228">
        <v>45.32</v>
      </c>
      <c r="DO56" s="228">
        <v>-0.81</v>
      </c>
      <c r="DP56" s="228">
        <v>-0.81</v>
      </c>
      <c r="DQ56" s="228">
        <v>0.59</v>
      </c>
      <c r="DR56" s="228">
        <v>0.57999999999999996</v>
      </c>
      <c r="DS56" s="228">
        <v>0.01</v>
      </c>
      <c r="DT56" s="229">
        <v>1.72E-2</v>
      </c>
      <c r="DU56" s="231">
        <v>13000</v>
      </c>
      <c r="DV56" s="231">
        <v>11000</v>
      </c>
      <c r="DW56" s="228">
        <v>0.7</v>
      </c>
      <c r="DX56" s="228">
        <v>0.8</v>
      </c>
      <c r="DY56" s="228">
        <v>-0.1</v>
      </c>
      <c r="DZ56" s="229">
        <v>-0.125</v>
      </c>
      <c r="EA56" s="229">
        <v>7.7899999999999997E-2</v>
      </c>
      <c r="EB56" s="230">
        <v>216550</v>
      </c>
      <c r="EC56" s="229">
        <v>6.1999999999999998E-3</v>
      </c>
      <c r="ED56" s="229">
        <v>7.7899999999999997E-2</v>
      </c>
      <c r="EE56" s="228">
        <v>67.349999999999994</v>
      </c>
      <c r="EF56" s="229">
        <v>5.7000000000000002E-3</v>
      </c>
      <c r="EG56" s="230">
        <v>356438</v>
      </c>
      <c r="EH56" s="230">
        <v>217266</v>
      </c>
      <c r="EI56" s="229">
        <v>0.64059999999999995</v>
      </c>
      <c r="EJ56" s="229">
        <v>0.36620000000000003</v>
      </c>
      <c r="EK56" s="231">
        <v>6324.39</v>
      </c>
      <c r="EL56" s="231">
        <v>3946.24</v>
      </c>
      <c r="EM56" s="231">
        <v>1301.69</v>
      </c>
      <c r="EN56" s="228">
        <v>191.06</v>
      </c>
      <c r="EO56" s="231">
        <v>11572.32</v>
      </c>
      <c r="EP56" s="231">
        <v>8360.7000000000007</v>
      </c>
      <c r="EQ56" s="231">
        <v>3211.62</v>
      </c>
      <c r="ER56" s="229">
        <v>0.3841</v>
      </c>
      <c r="ES56" s="231">
        <v>4020.59</v>
      </c>
      <c r="ET56" s="231">
        <v>2066.41</v>
      </c>
      <c r="EU56" s="231">
        <v>3582.52</v>
      </c>
      <c r="EV56" s="231">
        <v>6452220</v>
      </c>
      <c r="EW56" s="231">
        <v>9669.52</v>
      </c>
      <c r="EX56" s="231">
        <v>9397.65</v>
      </c>
      <c r="EY56" s="228">
        <v>271.87</v>
      </c>
      <c r="EZ56" s="229">
        <v>2.8899999999999999E-2</v>
      </c>
      <c r="FA56" s="229">
        <v>1.2159</v>
      </c>
      <c r="FB56" s="227" t="s">
        <v>555</v>
      </c>
      <c r="FC56">
        <f t="shared" si="0"/>
        <v>279</v>
      </c>
    </row>
    <row r="57" spans="1:159" ht="17.25" thickBot="1" x14ac:dyDescent="0.3">
      <c r="A57" s="226">
        <v>46029</v>
      </c>
      <c r="B57" s="227" t="s">
        <v>206</v>
      </c>
      <c r="C57" s="227" t="s">
        <v>207</v>
      </c>
      <c r="D57" s="228">
        <v>825</v>
      </c>
      <c r="E57" s="228">
        <v>20</v>
      </c>
      <c r="F57" s="228">
        <v>706.45</v>
      </c>
      <c r="G57" s="228">
        <v>708.2</v>
      </c>
      <c r="H57" s="228">
        <v>-1.75</v>
      </c>
      <c r="I57" s="229">
        <v>-2.5000000000000001E-3</v>
      </c>
      <c r="J57" s="228">
        <v>703.25</v>
      </c>
      <c r="K57" s="228">
        <v>706.3</v>
      </c>
      <c r="L57" s="228">
        <v>-3.05</v>
      </c>
      <c r="M57" s="229">
        <v>-4.3E-3</v>
      </c>
      <c r="N57" s="228">
        <v>706.45</v>
      </c>
      <c r="O57" s="228">
        <v>708.2</v>
      </c>
      <c r="P57" s="228">
        <v>-1.75</v>
      </c>
      <c r="Q57" s="229">
        <v>-2.5000000000000001E-3</v>
      </c>
      <c r="R57" s="228">
        <v>710.8</v>
      </c>
      <c r="S57" s="228">
        <v>712.8</v>
      </c>
      <c r="T57" s="228">
        <v>-2</v>
      </c>
      <c r="U57" s="229">
        <v>-2.8E-3</v>
      </c>
      <c r="V57" s="228">
        <v>714.75</v>
      </c>
      <c r="W57" s="228">
        <v>716.75</v>
      </c>
      <c r="X57" s="228">
        <v>-2</v>
      </c>
      <c r="Y57" s="229">
        <v>-2.8E-3</v>
      </c>
      <c r="Z57" s="228">
        <v>3.2</v>
      </c>
      <c r="AA57" s="228">
        <v>1.9</v>
      </c>
      <c r="AB57" s="228">
        <v>1.3</v>
      </c>
      <c r="AC57" s="229">
        <v>4.5999999999999999E-3</v>
      </c>
      <c r="AD57" s="228">
        <v>3.2</v>
      </c>
      <c r="AE57" s="228">
        <v>1.9</v>
      </c>
      <c r="AF57" s="228">
        <v>1.3</v>
      </c>
      <c r="AG57" s="229">
        <v>4.5999999999999999E-3</v>
      </c>
      <c r="AH57" s="228">
        <v>7.55</v>
      </c>
      <c r="AI57" s="228">
        <v>6.5</v>
      </c>
      <c r="AJ57" s="228">
        <v>1.05</v>
      </c>
      <c r="AK57" s="229">
        <v>1.0699999999999999E-2</v>
      </c>
      <c r="AL57" s="228">
        <v>11.5</v>
      </c>
      <c r="AM57" s="228">
        <v>10.45</v>
      </c>
      <c r="AN57" s="228">
        <v>1.05</v>
      </c>
      <c r="AO57" s="229">
        <v>1.6400000000000001E-2</v>
      </c>
      <c r="AP57" s="228">
        <v>701.94</v>
      </c>
      <c r="AQ57" s="228">
        <v>705.6</v>
      </c>
      <c r="AR57" s="228">
        <v>0</v>
      </c>
      <c r="AS57" s="228">
        <v>411</v>
      </c>
      <c r="AT57" s="228">
        <v>422</v>
      </c>
      <c r="AU57" s="228">
        <v>-11</v>
      </c>
      <c r="AV57" s="229">
        <v>-2.6499999999999999E-2</v>
      </c>
      <c r="AW57" s="228">
        <v>369</v>
      </c>
      <c r="AX57" s="228">
        <v>400</v>
      </c>
      <c r="AY57" s="228">
        <v>-31</v>
      </c>
      <c r="AZ57" s="229">
        <v>-7.6799999999999993E-2</v>
      </c>
      <c r="BA57" s="228">
        <v>35</v>
      </c>
      <c r="BB57" s="228">
        <v>21</v>
      </c>
      <c r="BC57" s="228">
        <v>14</v>
      </c>
      <c r="BD57" s="229">
        <v>0.69120000000000004</v>
      </c>
      <c r="BE57" s="228">
        <v>7</v>
      </c>
      <c r="BF57" s="228">
        <v>2</v>
      </c>
      <c r="BG57" s="228">
        <v>5</v>
      </c>
      <c r="BH57" s="229">
        <v>2.6</v>
      </c>
      <c r="BI57" s="230">
        <v>1165</v>
      </c>
      <c r="BJ57" s="230">
        <v>1355</v>
      </c>
      <c r="BK57" s="228">
        <v>-190</v>
      </c>
      <c r="BL57" s="229">
        <v>-0.14000000000000001</v>
      </c>
      <c r="BM57" s="228">
        <v>447</v>
      </c>
      <c r="BN57" s="228">
        <v>387</v>
      </c>
      <c r="BO57" s="228">
        <v>60</v>
      </c>
      <c r="BP57" s="229">
        <v>0.1555</v>
      </c>
      <c r="BQ57" s="230">
        <v>2024</v>
      </c>
      <c r="BR57" s="230">
        <v>2165</v>
      </c>
      <c r="BS57" s="228">
        <v>-141</v>
      </c>
      <c r="BT57" s="229">
        <v>-6.5000000000000002E-2</v>
      </c>
      <c r="BU57" s="230">
        <v>2750549</v>
      </c>
      <c r="BV57" s="230">
        <v>2506438</v>
      </c>
      <c r="BW57" s="230">
        <v>244111</v>
      </c>
      <c r="BX57" s="229">
        <v>9.74E-2</v>
      </c>
      <c r="BY57" s="230">
        <v>3548</v>
      </c>
      <c r="BZ57" s="230">
        <v>3535</v>
      </c>
      <c r="CA57" s="228">
        <v>12</v>
      </c>
      <c r="CB57" s="229">
        <v>3.5000000000000001E-3</v>
      </c>
      <c r="CC57" s="230">
        <v>3452</v>
      </c>
      <c r="CD57" s="230">
        <v>3455</v>
      </c>
      <c r="CE57" s="228">
        <v>-3</v>
      </c>
      <c r="CF57" s="229">
        <v>-8.9999999999999998E-4</v>
      </c>
      <c r="CG57" s="228">
        <v>89</v>
      </c>
      <c r="CH57" s="228">
        <v>76</v>
      </c>
      <c r="CI57" s="228">
        <v>12</v>
      </c>
      <c r="CJ57" s="229">
        <v>0.16270000000000001</v>
      </c>
      <c r="CK57" s="228">
        <v>7</v>
      </c>
      <c r="CL57" s="228">
        <v>4</v>
      </c>
      <c r="CM57" s="228">
        <v>3</v>
      </c>
      <c r="CN57" s="229">
        <v>0.66669999999999996</v>
      </c>
      <c r="CO57" s="230">
        <v>1049</v>
      </c>
      <c r="CP57" s="228">
        <v>986</v>
      </c>
      <c r="CQ57" s="228">
        <v>63</v>
      </c>
      <c r="CR57" s="229">
        <v>6.3700000000000007E-2</v>
      </c>
      <c r="CS57" s="228">
        <v>789</v>
      </c>
      <c r="CT57" s="228">
        <v>788</v>
      </c>
      <c r="CU57" s="228">
        <v>1</v>
      </c>
      <c r="CV57" s="229">
        <v>1E-3</v>
      </c>
      <c r="CW57" s="230">
        <v>5385</v>
      </c>
      <c r="CX57" s="230">
        <v>5309</v>
      </c>
      <c r="CY57" s="228">
        <v>76</v>
      </c>
      <c r="CZ57" s="229">
        <v>1.43E-2</v>
      </c>
      <c r="DA57" s="228">
        <v>26.6</v>
      </c>
      <c r="DB57" s="228">
        <v>26.29</v>
      </c>
      <c r="DC57" s="228">
        <v>0.31</v>
      </c>
      <c r="DD57" s="228">
        <v>0.31</v>
      </c>
      <c r="DE57" s="228">
        <v>34.200000000000003</v>
      </c>
      <c r="DF57" s="228">
        <v>34.28</v>
      </c>
      <c r="DG57" s="228">
        <v>-7.6</v>
      </c>
      <c r="DH57" s="228">
        <v>-0.08</v>
      </c>
      <c r="DI57" s="228">
        <v>26.23</v>
      </c>
      <c r="DJ57" s="228">
        <v>26.14</v>
      </c>
      <c r="DK57" s="228">
        <v>0.09</v>
      </c>
      <c r="DL57" s="228">
        <v>0.09</v>
      </c>
      <c r="DM57" s="228">
        <v>27.54</v>
      </c>
      <c r="DN57" s="228">
        <v>26.82</v>
      </c>
      <c r="DO57" s="228">
        <v>0.72</v>
      </c>
      <c r="DP57" s="228">
        <v>0.72</v>
      </c>
      <c r="DQ57" s="228">
        <v>0.75</v>
      </c>
      <c r="DR57" s="228">
        <v>0.8</v>
      </c>
      <c r="DS57" s="228">
        <v>-0.05</v>
      </c>
      <c r="DT57" s="229">
        <v>-6.25E-2</v>
      </c>
      <c r="DU57" s="228">
        <v>700</v>
      </c>
      <c r="DV57" s="228">
        <v>700</v>
      </c>
      <c r="DW57" s="228">
        <v>0.38</v>
      </c>
      <c r="DX57" s="228">
        <v>0.28999999999999998</v>
      </c>
      <c r="DY57" s="228">
        <v>0.09</v>
      </c>
      <c r="DZ57" s="229">
        <v>0.31030000000000002</v>
      </c>
      <c r="EA57" s="229">
        <v>2.7E-2</v>
      </c>
      <c r="EB57" s="230">
        <v>1139325</v>
      </c>
      <c r="EC57" s="229">
        <v>6.1999999999999998E-3</v>
      </c>
      <c r="ED57" s="229">
        <v>2.7E-2</v>
      </c>
      <c r="EE57" s="228">
        <v>3.66</v>
      </c>
      <c r="EF57" s="229">
        <v>5.1999999999999998E-3</v>
      </c>
      <c r="EG57" s="230">
        <v>1307825</v>
      </c>
      <c r="EH57" s="230">
        <v>1062789</v>
      </c>
      <c r="EI57" s="229">
        <v>0.2306</v>
      </c>
      <c r="EJ57" s="229">
        <v>0.47549999999999998</v>
      </c>
      <c r="EK57" s="231">
        <v>1205.05</v>
      </c>
      <c r="EL57" s="228">
        <v>438.78</v>
      </c>
      <c r="EM57" s="228">
        <v>408.82</v>
      </c>
      <c r="EN57" s="228">
        <v>76.44</v>
      </c>
      <c r="EO57" s="231">
        <v>2052.65</v>
      </c>
      <c r="EP57" s="231">
        <v>2228.36</v>
      </c>
      <c r="EQ57" s="228">
        <v>-175.71</v>
      </c>
      <c r="ER57" s="229">
        <v>-7.8899999999999998E-2</v>
      </c>
      <c r="ES57" s="231">
        <v>1073.67</v>
      </c>
      <c r="ET57" s="228">
        <v>778.18</v>
      </c>
      <c r="EU57" s="231">
        <v>3548.2</v>
      </c>
      <c r="EV57" s="231">
        <v>96058266</v>
      </c>
      <c r="EW57" s="231">
        <v>5400.05</v>
      </c>
      <c r="EX57" s="231">
        <v>5330.45</v>
      </c>
      <c r="EY57" s="228">
        <v>69.599999999999994</v>
      </c>
      <c r="EZ57" s="229">
        <v>1.3100000000000001E-2</v>
      </c>
      <c r="FA57" s="229">
        <v>0.79359999999999997</v>
      </c>
      <c r="FB57" s="227" t="s">
        <v>567</v>
      </c>
      <c r="FC57">
        <f t="shared" si="0"/>
        <v>96</v>
      </c>
    </row>
    <row r="58" spans="1:159" ht="17.25" thickBot="1" x14ac:dyDescent="0.3">
      <c r="A58" s="226">
        <v>46029</v>
      </c>
      <c r="B58" s="227" t="s">
        <v>615</v>
      </c>
      <c r="C58" s="227" t="s">
        <v>583</v>
      </c>
      <c r="D58" s="228">
        <v>150</v>
      </c>
      <c r="E58" s="228">
        <v>20</v>
      </c>
      <c r="F58" s="231">
        <v>3857.7</v>
      </c>
      <c r="G58" s="231">
        <v>3681.6</v>
      </c>
      <c r="H58" s="228">
        <v>176.1</v>
      </c>
      <c r="I58" s="229">
        <v>4.7800000000000002E-2</v>
      </c>
      <c r="J58" s="231">
        <v>3841.6</v>
      </c>
      <c r="K58" s="231">
        <v>3663.7</v>
      </c>
      <c r="L58" s="228">
        <v>177.9</v>
      </c>
      <c r="M58" s="229">
        <v>4.8599999999999997E-2</v>
      </c>
      <c r="N58" s="231">
        <v>3857.7</v>
      </c>
      <c r="O58" s="231">
        <v>3681.6</v>
      </c>
      <c r="P58" s="228">
        <v>176.1</v>
      </c>
      <c r="Q58" s="229">
        <v>4.7800000000000002E-2</v>
      </c>
      <c r="R58" s="231">
        <v>3864.2</v>
      </c>
      <c r="S58" s="231">
        <v>3694.2</v>
      </c>
      <c r="T58" s="228">
        <v>170</v>
      </c>
      <c r="U58" s="229">
        <v>4.5999999999999999E-2</v>
      </c>
      <c r="V58" s="231">
        <v>3871.8</v>
      </c>
      <c r="W58" s="231">
        <v>3705.7</v>
      </c>
      <c r="X58" s="228">
        <v>166.1</v>
      </c>
      <c r="Y58" s="229">
        <v>4.48E-2</v>
      </c>
      <c r="Z58" s="228">
        <v>16.100000000000001</v>
      </c>
      <c r="AA58" s="228">
        <v>17.899999999999999</v>
      </c>
      <c r="AB58" s="228">
        <v>-1.8</v>
      </c>
      <c r="AC58" s="229">
        <v>4.1999999999999997E-3</v>
      </c>
      <c r="AD58" s="228">
        <v>16.100000000000001</v>
      </c>
      <c r="AE58" s="228">
        <v>17.899999999999999</v>
      </c>
      <c r="AF58" s="228">
        <v>-1.8</v>
      </c>
      <c r="AG58" s="229">
        <v>4.1999999999999997E-3</v>
      </c>
      <c r="AH58" s="228">
        <v>22.6</v>
      </c>
      <c r="AI58" s="228">
        <v>30.5</v>
      </c>
      <c r="AJ58" s="228">
        <v>-7.9</v>
      </c>
      <c r="AK58" s="229">
        <v>5.8999999999999999E-3</v>
      </c>
      <c r="AL58" s="228">
        <v>30.2</v>
      </c>
      <c r="AM58" s="228">
        <v>42</v>
      </c>
      <c r="AN58" s="228">
        <v>-11.8</v>
      </c>
      <c r="AO58" s="229">
        <v>7.9000000000000008E-3</v>
      </c>
      <c r="AP58" s="231">
        <v>3808.87</v>
      </c>
      <c r="AQ58" s="231">
        <v>3813.44</v>
      </c>
      <c r="AR58" s="228">
        <v>0</v>
      </c>
      <c r="AS58" s="228">
        <v>830</v>
      </c>
      <c r="AT58" s="228">
        <v>352</v>
      </c>
      <c r="AU58" s="228">
        <v>478</v>
      </c>
      <c r="AV58" s="229">
        <v>1.3555999999999999</v>
      </c>
      <c r="AW58" s="228">
        <v>768</v>
      </c>
      <c r="AX58" s="228">
        <v>332</v>
      </c>
      <c r="AY58" s="228">
        <v>435</v>
      </c>
      <c r="AZ58" s="229">
        <v>1.3098000000000001</v>
      </c>
      <c r="BA58" s="228">
        <v>51</v>
      </c>
      <c r="BB58" s="228">
        <v>17</v>
      </c>
      <c r="BC58" s="228">
        <v>34</v>
      </c>
      <c r="BD58" s="229">
        <v>2.0524</v>
      </c>
      <c r="BE58" s="228">
        <v>12</v>
      </c>
      <c r="BF58" s="228">
        <v>4</v>
      </c>
      <c r="BG58" s="228">
        <v>9</v>
      </c>
      <c r="BH58" s="229">
        <v>2.3871000000000002</v>
      </c>
      <c r="BI58" s="230">
        <v>4759</v>
      </c>
      <c r="BJ58" s="230">
        <v>1143</v>
      </c>
      <c r="BK58" s="230">
        <v>3616</v>
      </c>
      <c r="BL58" s="229">
        <v>3.1629999999999998</v>
      </c>
      <c r="BM58" s="230">
        <v>1341</v>
      </c>
      <c r="BN58" s="228">
        <v>595</v>
      </c>
      <c r="BO58" s="228">
        <v>746</v>
      </c>
      <c r="BP58" s="229">
        <v>1.2544</v>
      </c>
      <c r="BQ58" s="230">
        <v>6930</v>
      </c>
      <c r="BR58" s="230">
        <v>2090</v>
      </c>
      <c r="BS58" s="230">
        <v>4840</v>
      </c>
      <c r="BT58" s="229">
        <v>2.3151999999999999</v>
      </c>
      <c r="BU58" s="230">
        <v>1413734</v>
      </c>
      <c r="BV58" s="230">
        <v>626733</v>
      </c>
      <c r="BW58" s="230">
        <v>787001</v>
      </c>
      <c r="BX58" s="229">
        <v>1.2557</v>
      </c>
      <c r="BY58" s="230">
        <v>2126</v>
      </c>
      <c r="BZ58" s="230">
        <v>2211</v>
      </c>
      <c r="CA58" s="228">
        <v>-85</v>
      </c>
      <c r="CB58" s="229">
        <v>-3.8399999999999997E-2</v>
      </c>
      <c r="CC58" s="230">
        <v>2061</v>
      </c>
      <c r="CD58" s="230">
        <v>2136</v>
      </c>
      <c r="CE58" s="228">
        <v>-75</v>
      </c>
      <c r="CF58" s="229">
        <v>-3.5099999999999999E-2</v>
      </c>
      <c r="CG58" s="228">
        <v>57</v>
      </c>
      <c r="CH58" s="228">
        <v>63</v>
      </c>
      <c r="CI58" s="228">
        <v>-6</v>
      </c>
      <c r="CJ58" s="229">
        <v>-9.4100000000000003E-2</v>
      </c>
      <c r="CK58" s="228">
        <v>8</v>
      </c>
      <c r="CL58" s="228">
        <v>12</v>
      </c>
      <c r="CM58" s="228">
        <v>-4</v>
      </c>
      <c r="CN58" s="229">
        <v>-0.34499999999999997</v>
      </c>
      <c r="CO58" s="228">
        <v>778</v>
      </c>
      <c r="CP58" s="228">
        <v>703</v>
      </c>
      <c r="CQ58" s="228">
        <v>76</v>
      </c>
      <c r="CR58" s="229">
        <v>0.1075</v>
      </c>
      <c r="CS58" s="228">
        <v>625</v>
      </c>
      <c r="CT58" s="228">
        <v>567</v>
      </c>
      <c r="CU58" s="228">
        <v>58</v>
      </c>
      <c r="CV58" s="229">
        <v>0.10199999999999999</v>
      </c>
      <c r="CW58" s="230">
        <v>3529</v>
      </c>
      <c r="CX58" s="230">
        <v>3480</v>
      </c>
      <c r="CY58" s="228">
        <v>48</v>
      </c>
      <c r="CZ58" s="229">
        <v>1.3899999999999999E-2</v>
      </c>
      <c r="DA58" s="228">
        <v>32.58</v>
      </c>
      <c r="DB58" s="228">
        <v>31.84</v>
      </c>
      <c r="DC58" s="228">
        <v>0.74</v>
      </c>
      <c r="DD58" s="228">
        <v>0.74</v>
      </c>
      <c r="DE58" s="228">
        <v>30.8</v>
      </c>
      <c r="DF58" s="228">
        <v>30.2</v>
      </c>
      <c r="DG58" s="228">
        <v>1.78</v>
      </c>
      <c r="DH58" s="228">
        <v>0.6</v>
      </c>
      <c r="DI58" s="228">
        <v>32.270000000000003</v>
      </c>
      <c r="DJ58" s="228">
        <v>31.87</v>
      </c>
      <c r="DK58" s="228">
        <v>0.4</v>
      </c>
      <c r="DL58" s="228">
        <v>0.4</v>
      </c>
      <c r="DM58" s="228">
        <v>33.67</v>
      </c>
      <c r="DN58" s="228">
        <v>31.78</v>
      </c>
      <c r="DO58" s="228">
        <v>1.89</v>
      </c>
      <c r="DP58" s="228">
        <v>1.89</v>
      </c>
      <c r="DQ58" s="228">
        <v>0.8</v>
      </c>
      <c r="DR58" s="228">
        <v>0.81</v>
      </c>
      <c r="DS58" s="228">
        <v>-0.01</v>
      </c>
      <c r="DT58" s="229">
        <v>-1.23E-2</v>
      </c>
      <c r="DU58" s="231">
        <v>3800</v>
      </c>
      <c r="DV58" s="231">
        <v>3800</v>
      </c>
      <c r="DW58" s="228">
        <v>0.28000000000000003</v>
      </c>
      <c r="DX58" s="228">
        <v>0.52</v>
      </c>
      <c r="DY58" s="228">
        <v>-0.24</v>
      </c>
      <c r="DZ58" s="229">
        <v>-0.46150000000000002</v>
      </c>
      <c r="EA58" s="229">
        <v>3.0499999999999999E-2</v>
      </c>
      <c r="EB58" s="230">
        <v>194100</v>
      </c>
      <c r="EC58" s="229">
        <v>1.6999999999999999E-3</v>
      </c>
      <c r="ED58" s="229">
        <v>3.0499999999999999E-2</v>
      </c>
      <c r="EE58" s="228">
        <v>4.57</v>
      </c>
      <c r="EF58" s="229">
        <v>1.1999999999999999E-3</v>
      </c>
      <c r="EG58" s="230">
        <v>423955</v>
      </c>
      <c r="EH58" s="230">
        <v>349784</v>
      </c>
      <c r="EI58" s="229">
        <v>0.21199999999999999</v>
      </c>
      <c r="EJ58" s="229">
        <v>0.2999</v>
      </c>
      <c r="EK58" s="231">
        <v>4962.83</v>
      </c>
      <c r="EL58" s="231">
        <v>1280.3</v>
      </c>
      <c r="EM58" s="228">
        <v>819.86</v>
      </c>
      <c r="EN58" s="228">
        <v>57.28</v>
      </c>
      <c r="EO58" s="231">
        <v>7062.99</v>
      </c>
      <c r="EP58" s="231">
        <v>2042.34</v>
      </c>
      <c r="EQ58" s="231">
        <v>5020.6499999999996</v>
      </c>
      <c r="ER58" s="229">
        <v>2.4582999999999999</v>
      </c>
      <c r="ES58" s="228">
        <v>801.48</v>
      </c>
      <c r="ET58" s="228">
        <v>589.54</v>
      </c>
      <c r="EU58" s="231">
        <v>2125.9299999999998</v>
      </c>
      <c r="EV58" s="231">
        <v>18750186</v>
      </c>
      <c r="EW58" s="231">
        <v>3516.95</v>
      </c>
      <c r="EX58" s="231">
        <v>3353.54</v>
      </c>
      <c r="EY58" s="228">
        <v>163.41</v>
      </c>
      <c r="EZ58" s="229">
        <v>4.87E-2</v>
      </c>
      <c r="FA58" s="229">
        <v>0.4879</v>
      </c>
      <c r="FB58" s="227" t="s">
        <v>556</v>
      </c>
      <c r="FC58">
        <f t="shared" si="0"/>
        <v>65</v>
      </c>
    </row>
    <row r="59" spans="1:159" ht="17.25" thickBot="1" x14ac:dyDescent="0.3">
      <c r="A59" s="226">
        <v>46029</v>
      </c>
      <c r="B59" s="227" t="s">
        <v>170</v>
      </c>
      <c r="C59" s="227" t="s">
        <v>208</v>
      </c>
      <c r="D59" s="228">
        <v>625</v>
      </c>
      <c r="E59" s="228">
        <v>20</v>
      </c>
      <c r="F59" s="231">
        <v>1246.2</v>
      </c>
      <c r="G59" s="231">
        <v>1259</v>
      </c>
      <c r="H59" s="228">
        <v>-12.8</v>
      </c>
      <c r="I59" s="229">
        <v>-1.0200000000000001E-2</v>
      </c>
      <c r="J59" s="231">
        <v>1242.8</v>
      </c>
      <c r="K59" s="231">
        <v>1256.2</v>
      </c>
      <c r="L59" s="228">
        <v>-13.4</v>
      </c>
      <c r="M59" s="229">
        <v>-1.0699999999999999E-2</v>
      </c>
      <c r="N59" s="231">
        <v>1246.2</v>
      </c>
      <c r="O59" s="231">
        <v>1259</v>
      </c>
      <c r="P59" s="228">
        <v>-12.8</v>
      </c>
      <c r="Q59" s="229">
        <v>-1.0200000000000001E-2</v>
      </c>
      <c r="R59" s="231">
        <v>1253</v>
      </c>
      <c r="S59" s="231">
        <v>1263.7</v>
      </c>
      <c r="T59" s="228">
        <v>-10.7</v>
      </c>
      <c r="U59" s="229">
        <v>-8.5000000000000006E-3</v>
      </c>
      <c r="V59" s="231">
        <v>1258.7</v>
      </c>
      <c r="W59" s="231">
        <v>1266.3</v>
      </c>
      <c r="X59" s="228">
        <v>-7.6</v>
      </c>
      <c r="Y59" s="229">
        <v>-6.0000000000000001E-3</v>
      </c>
      <c r="Z59" s="228">
        <v>3.4</v>
      </c>
      <c r="AA59" s="228">
        <v>2.8</v>
      </c>
      <c r="AB59" s="228">
        <v>0.6</v>
      </c>
      <c r="AC59" s="229">
        <v>2.7000000000000001E-3</v>
      </c>
      <c r="AD59" s="228">
        <v>3.4</v>
      </c>
      <c r="AE59" s="228">
        <v>2.8</v>
      </c>
      <c r="AF59" s="228">
        <v>0.6</v>
      </c>
      <c r="AG59" s="229">
        <v>2.7000000000000001E-3</v>
      </c>
      <c r="AH59" s="228">
        <v>10.199999999999999</v>
      </c>
      <c r="AI59" s="228">
        <v>7.5</v>
      </c>
      <c r="AJ59" s="228">
        <v>2.7</v>
      </c>
      <c r="AK59" s="229">
        <v>8.2000000000000007E-3</v>
      </c>
      <c r="AL59" s="228">
        <v>15.9</v>
      </c>
      <c r="AM59" s="228">
        <v>10.1</v>
      </c>
      <c r="AN59" s="228">
        <v>5.8</v>
      </c>
      <c r="AO59" s="229">
        <v>1.2800000000000001E-2</v>
      </c>
      <c r="AP59" s="231">
        <v>1252.81</v>
      </c>
      <c r="AQ59" s="231">
        <v>1259.96</v>
      </c>
      <c r="AR59" s="228">
        <v>0</v>
      </c>
      <c r="AS59" s="228">
        <v>353</v>
      </c>
      <c r="AT59" s="228">
        <v>168</v>
      </c>
      <c r="AU59" s="228">
        <v>185</v>
      </c>
      <c r="AV59" s="229">
        <v>1.1049</v>
      </c>
      <c r="AW59" s="228">
        <v>340</v>
      </c>
      <c r="AX59" s="228">
        <v>162</v>
      </c>
      <c r="AY59" s="228">
        <v>178</v>
      </c>
      <c r="AZ59" s="229">
        <v>1.0940000000000001</v>
      </c>
      <c r="BA59" s="228">
        <v>12</v>
      </c>
      <c r="BB59" s="228">
        <v>5</v>
      </c>
      <c r="BC59" s="228">
        <v>7</v>
      </c>
      <c r="BD59" s="229">
        <v>1.3906000000000001</v>
      </c>
      <c r="BE59" s="228">
        <v>1</v>
      </c>
      <c r="BF59" s="228">
        <v>0</v>
      </c>
      <c r="BG59" s="228">
        <v>1</v>
      </c>
      <c r="BH59" s="229">
        <v>1.8332999999999999</v>
      </c>
      <c r="BI59" s="228">
        <v>866</v>
      </c>
      <c r="BJ59" s="228">
        <v>422</v>
      </c>
      <c r="BK59" s="228">
        <v>444</v>
      </c>
      <c r="BL59" s="229">
        <v>1.052</v>
      </c>
      <c r="BM59" s="228">
        <v>342</v>
      </c>
      <c r="BN59" s="228">
        <v>147</v>
      </c>
      <c r="BO59" s="228">
        <v>195</v>
      </c>
      <c r="BP59" s="229">
        <v>1.3236000000000001</v>
      </c>
      <c r="BQ59" s="230">
        <v>1561</v>
      </c>
      <c r="BR59" s="228">
        <v>737</v>
      </c>
      <c r="BS59" s="228">
        <v>824</v>
      </c>
      <c r="BT59" s="229">
        <v>1.1183000000000001</v>
      </c>
      <c r="BU59" s="230">
        <v>1232629</v>
      </c>
      <c r="BV59" s="230">
        <v>554219</v>
      </c>
      <c r="BW59" s="230">
        <v>678410</v>
      </c>
      <c r="BX59" s="229">
        <v>1.2241</v>
      </c>
      <c r="BY59" s="230">
        <v>1687</v>
      </c>
      <c r="BZ59" s="230">
        <v>1612</v>
      </c>
      <c r="CA59" s="228">
        <v>74</v>
      </c>
      <c r="CB59" s="229">
        <v>4.6100000000000002E-2</v>
      </c>
      <c r="CC59" s="230">
        <v>1661</v>
      </c>
      <c r="CD59" s="230">
        <v>1591</v>
      </c>
      <c r="CE59" s="228">
        <v>70</v>
      </c>
      <c r="CF59" s="229">
        <v>4.41E-2</v>
      </c>
      <c r="CG59" s="228">
        <v>22</v>
      </c>
      <c r="CH59" s="228">
        <v>19</v>
      </c>
      <c r="CI59" s="228">
        <v>3</v>
      </c>
      <c r="CJ59" s="229">
        <v>0.17280000000000001</v>
      </c>
      <c r="CK59" s="228">
        <v>3</v>
      </c>
      <c r="CL59" s="228">
        <v>2</v>
      </c>
      <c r="CM59" s="228">
        <v>1</v>
      </c>
      <c r="CN59" s="229">
        <v>0.52</v>
      </c>
      <c r="CO59" s="228">
        <v>674</v>
      </c>
      <c r="CP59" s="228">
        <v>627</v>
      </c>
      <c r="CQ59" s="228">
        <v>47</v>
      </c>
      <c r="CR59" s="229">
        <v>7.51E-2</v>
      </c>
      <c r="CS59" s="228">
        <v>442</v>
      </c>
      <c r="CT59" s="228">
        <v>433</v>
      </c>
      <c r="CU59" s="228">
        <v>9</v>
      </c>
      <c r="CV59" s="229">
        <v>2.07E-2</v>
      </c>
      <c r="CW59" s="230">
        <v>2803</v>
      </c>
      <c r="CX59" s="230">
        <v>2672</v>
      </c>
      <c r="CY59" s="228">
        <v>130</v>
      </c>
      <c r="CZ59" s="229">
        <v>4.8800000000000003E-2</v>
      </c>
      <c r="DA59" s="228">
        <v>23.05</v>
      </c>
      <c r="DB59" s="228">
        <v>21.35</v>
      </c>
      <c r="DC59" s="228">
        <v>1.7</v>
      </c>
      <c r="DD59" s="228">
        <v>1.7</v>
      </c>
      <c r="DE59" s="228">
        <v>23.44</v>
      </c>
      <c r="DF59" s="228">
        <v>23.46</v>
      </c>
      <c r="DG59" s="228">
        <v>-0.39</v>
      </c>
      <c r="DH59" s="228">
        <v>-0.02</v>
      </c>
      <c r="DI59" s="228">
        <v>22.65</v>
      </c>
      <c r="DJ59" s="228">
        <v>20.91</v>
      </c>
      <c r="DK59" s="228">
        <v>1.74</v>
      </c>
      <c r="DL59" s="228">
        <v>1.74</v>
      </c>
      <c r="DM59" s="228">
        <v>24.05</v>
      </c>
      <c r="DN59" s="228">
        <v>22.59</v>
      </c>
      <c r="DO59" s="228">
        <v>1.46</v>
      </c>
      <c r="DP59" s="228">
        <v>1.46</v>
      </c>
      <c r="DQ59" s="228">
        <v>0.66</v>
      </c>
      <c r="DR59" s="228">
        <v>0.69</v>
      </c>
      <c r="DS59" s="228">
        <v>-0.03</v>
      </c>
      <c r="DT59" s="229">
        <v>-4.3499999999999997E-2</v>
      </c>
      <c r="DU59" s="231">
        <v>1300</v>
      </c>
      <c r="DV59" s="231">
        <v>1250</v>
      </c>
      <c r="DW59" s="228">
        <v>0.4</v>
      </c>
      <c r="DX59" s="228">
        <v>0.35</v>
      </c>
      <c r="DY59" s="228">
        <v>0.05</v>
      </c>
      <c r="DZ59" s="229">
        <v>0.1429</v>
      </c>
      <c r="EA59" s="229">
        <v>1.49E-2</v>
      </c>
      <c r="EB59" s="230">
        <v>167500</v>
      </c>
      <c r="EC59" s="229">
        <v>5.4999999999999997E-3</v>
      </c>
      <c r="ED59" s="229">
        <v>1.49E-2</v>
      </c>
      <c r="EE59" s="228">
        <v>7.15</v>
      </c>
      <c r="EF59" s="229">
        <v>5.7000000000000002E-3</v>
      </c>
      <c r="EG59" s="230">
        <v>748350</v>
      </c>
      <c r="EH59" s="230">
        <v>278794</v>
      </c>
      <c r="EI59" s="229">
        <v>1.6841999999999999</v>
      </c>
      <c r="EJ59" s="229">
        <v>0.60709999999999997</v>
      </c>
      <c r="EK59" s="228">
        <v>904.43</v>
      </c>
      <c r="EL59" s="228">
        <v>342.66</v>
      </c>
      <c r="EM59" s="228">
        <v>355.09</v>
      </c>
      <c r="EN59" s="228">
        <v>24.5</v>
      </c>
      <c r="EO59" s="231">
        <v>1602.19</v>
      </c>
      <c r="EP59" s="228">
        <v>756.87</v>
      </c>
      <c r="EQ59" s="228">
        <v>845.31</v>
      </c>
      <c r="ER59" s="229">
        <v>1.1169</v>
      </c>
      <c r="ES59" s="228">
        <v>707.43</v>
      </c>
      <c r="ET59" s="228">
        <v>428.22</v>
      </c>
      <c r="EU59" s="231">
        <v>1686.73</v>
      </c>
      <c r="EV59" s="231">
        <v>91531454</v>
      </c>
      <c r="EW59" s="231">
        <v>2822.38</v>
      </c>
      <c r="EX59" s="231">
        <v>2707.58</v>
      </c>
      <c r="EY59" s="228">
        <v>114.8</v>
      </c>
      <c r="EZ59" s="229">
        <v>4.24E-2</v>
      </c>
      <c r="FA59" s="229">
        <v>0.2457</v>
      </c>
      <c r="FB59" s="227" t="s">
        <v>567</v>
      </c>
      <c r="FC59">
        <f t="shared" si="0"/>
        <v>26</v>
      </c>
    </row>
    <row r="60" spans="1:159" ht="17.25" thickBot="1" x14ac:dyDescent="0.3">
      <c r="A60" s="226">
        <v>46029</v>
      </c>
      <c r="B60" s="227" t="s">
        <v>162</v>
      </c>
      <c r="C60" s="227" t="s">
        <v>209</v>
      </c>
      <c r="D60" s="228">
        <v>100</v>
      </c>
      <c r="E60" s="228">
        <v>20</v>
      </c>
      <c r="F60" s="231">
        <v>7617</v>
      </c>
      <c r="G60" s="231">
        <v>7557</v>
      </c>
      <c r="H60" s="228">
        <v>60</v>
      </c>
      <c r="I60" s="229">
        <v>7.9000000000000008E-3</v>
      </c>
      <c r="J60" s="231">
        <v>7582.5</v>
      </c>
      <c r="K60" s="231">
        <v>7522.5</v>
      </c>
      <c r="L60" s="228">
        <v>60</v>
      </c>
      <c r="M60" s="229">
        <v>8.0000000000000002E-3</v>
      </c>
      <c r="N60" s="231">
        <v>7617</v>
      </c>
      <c r="O60" s="231">
        <v>7557</v>
      </c>
      <c r="P60" s="228">
        <v>60</v>
      </c>
      <c r="Q60" s="229">
        <v>7.9000000000000008E-3</v>
      </c>
      <c r="R60" s="231">
        <v>7658.5</v>
      </c>
      <c r="S60" s="231">
        <v>7601.5</v>
      </c>
      <c r="T60" s="228">
        <v>57</v>
      </c>
      <c r="U60" s="229">
        <v>7.4999999999999997E-3</v>
      </c>
      <c r="V60" s="231">
        <v>7699.5</v>
      </c>
      <c r="W60" s="231">
        <v>7635.5</v>
      </c>
      <c r="X60" s="228">
        <v>64</v>
      </c>
      <c r="Y60" s="229">
        <v>8.3999999999999995E-3</v>
      </c>
      <c r="Z60" s="228">
        <v>34.5</v>
      </c>
      <c r="AA60" s="228">
        <v>34.5</v>
      </c>
      <c r="AB60" s="228">
        <v>0</v>
      </c>
      <c r="AC60" s="229">
        <v>4.4999999999999997E-3</v>
      </c>
      <c r="AD60" s="228">
        <v>34.5</v>
      </c>
      <c r="AE60" s="228">
        <v>34.5</v>
      </c>
      <c r="AF60" s="228">
        <v>0</v>
      </c>
      <c r="AG60" s="229">
        <v>4.4999999999999997E-3</v>
      </c>
      <c r="AH60" s="228">
        <v>76</v>
      </c>
      <c r="AI60" s="228">
        <v>79</v>
      </c>
      <c r="AJ60" s="228">
        <v>-3</v>
      </c>
      <c r="AK60" s="229">
        <v>0.01</v>
      </c>
      <c r="AL60" s="228">
        <v>117</v>
      </c>
      <c r="AM60" s="228">
        <v>113</v>
      </c>
      <c r="AN60" s="228">
        <v>4</v>
      </c>
      <c r="AO60" s="229">
        <v>1.54E-2</v>
      </c>
      <c r="AP60" s="231">
        <v>7583.52</v>
      </c>
      <c r="AQ60" s="231">
        <v>7630.25</v>
      </c>
      <c r="AR60" s="228">
        <v>0</v>
      </c>
      <c r="AS60" s="228">
        <v>292</v>
      </c>
      <c r="AT60" s="228">
        <v>343</v>
      </c>
      <c r="AU60" s="228">
        <v>-51</v>
      </c>
      <c r="AV60" s="229">
        <v>-0.1489</v>
      </c>
      <c r="AW60" s="228">
        <v>280</v>
      </c>
      <c r="AX60" s="228">
        <v>332</v>
      </c>
      <c r="AY60" s="228">
        <v>-52</v>
      </c>
      <c r="AZ60" s="229">
        <v>-0.15620000000000001</v>
      </c>
      <c r="BA60" s="228">
        <v>9</v>
      </c>
      <c r="BB60" s="228">
        <v>10</v>
      </c>
      <c r="BC60" s="228">
        <v>-1</v>
      </c>
      <c r="BD60" s="229">
        <v>-9.0200000000000002E-2</v>
      </c>
      <c r="BE60" s="228">
        <v>3</v>
      </c>
      <c r="BF60" s="228">
        <v>2</v>
      </c>
      <c r="BG60" s="228">
        <v>2</v>
      </c>
      <c r="BH60" s="229">
        <v>1.05</v>
      </c>
      <c r="BI60" s="230">
        <v>1285</v>
      </c>
      <c r="BJ60" s="230">
        <v>2015</v>
      </c>
      <c r="BK60" s="228">
        <v>-731</v>
      </c>
      <c r="BL60" s="229">
        <v>-0.36259999999999998</v>
      </c>
      <c r="BM60" s="230">
        <v>1061</v>
      </c>
      <c r="BN60" s="230">
        <v>1345</v>
      </c>
      <c r="BO60" s="228">
        <v>-283</v>
      </c>
      <c r="BP60" s="229">
        <v>-0.21060000000000001</v>
      </c>
      <c r="BQ60" s="230">
        <v>2638</v>
      </c>
      <c r="BR60" s="230">
        <v>3703</v>
      </c>
      <c r="BS60" s="230">
        <v>-1065</v>
      </c>
      <c r="BT60" s="229">
        <v>-0.28760000000000002</v>
      </c>
      <c r="BU60" s="230">
        <v>417705</v>
      </c>
      <c r="BV60" s="230">
        <v>404727</v>
      </c>
      <c r="BW60" s="230">
        <v>12978</v>
      </c>
      <c r="BX60" s="229">
        <v>3.2099999999999997E-2</v>
      </c>
      <c r="BY60" s="230">
        <v>2320</v>
      </c>
      <c r="BZ60" s="230">
        <v>2298</v>
      </c>
      <c r="CA60" s="228">
        <v>22</v>
      </c>
      <c r="CB60" s="229">
        <v>9.5999999999999992E-3</v>
      </c>
      <c r="CC60" s="230">
        <v>2265</v>
      </c>
      <c r="CD60" s="230">
        <v>2248</v>
      </c>
      <c r="CE60" s="228">
        <v>17</v>
      </c>
      <c r="CF60" s="229">
        <v>7.7000000000000002E-3</v>
      </c>
      <c r="CG60" s="228">
        <v>41</v>
      </c>
      <c r="CH60" s="228">
        <v>38</v>
      </c>
      <c r="CI60" s="228">
        <v>3</v>
      </c>
      <c r="CJ60" s="229">
        <v>8.2799999999999999E-2</v>
      </c>
      <c r="CK60" s="228">
        <v>14</v>
      </c>
      <c r="CL60" s="228">
        <v>12</v>
      </c>
      <c r="CM60" s="228">
        <v>2</v>
      </c>
      <c r="CN60" s="229">
        <v>0.125</v>
      </c>
      <c r="CO60" s="228">
        <v>985</v>
      </c>
      <c r="CP60" s="228">
        <v>918</v>
      </c>
      <c r="CQ60" s="228">
        <v>67</v>
      </c>
      <c r="CR60" s="229">
        <v>7.2499999999999995E-2</v>
      </c>
      <c r="CS60" s="230">
        <v>1090</v>
      </c>
      <c r="CT60" s="228">
        <v>959</v>
      </c>
      <c r="CU60" s="228">
        <v>131</v>
      </c>
      <c r="CV60" s="229">
        <v>0.1363</v>
      </c>
      <c r="CW60" s="230">
        <v>4394</v>
      </c>
      <c r="CX60" s="230">
        <v>4175</v>
      </c>
      <c r="CY60" s="228">
        <v>219</v>
      </c>
      <c r="CZ60" s="229">
        <v>5.2499999999999998E-2</v>
      </c>
      <c r="DA60" s="228">
        <v>21.22</v>
      </c>
      <c r="DB60" s="228">
        <v>20.41</v>
      </c>
      <c r="DC60" s="228">
        <v>0.81</v>
      </c>
      <c r="DD60" s="228">
        <v>0.81</v>
      </c>
      <c r="DE60" s="228">
        <v>26.66</v>
      </c>
      <c r="DF60" s="228">
        <v>26.7</v>
      </c>
      <c r="DG60" s="228">
        <v>-5.44</v>
      </c>
      <c r="DH60" s="228">
        <v>-0.04</v>
      </c>
      <c r="DI60" s="228">
        <v>20.36</v>
      </c>
      <c r="DJ60" s="228">
        <v>19.829999999999998</v>
      </c>
      <c r="DK60" s="228">
        <v>0.53</v>
      </c>
      <c r="DL60" s="228">
        <v>0.53</v>
      </c>
      <c r="DM60" s="228">
        <v>22.26</v>
      </c>
      <c r="DN60" s="228">
        <v>21.28</v>
      </c>
      <c r="DO60" s="228">
        <v>0.98</v>
      </c>
      <c r="DP60" s="228">
        <v>0.98</v>
      </c>
      <c r="DQ60" s="228">
        <v>1.1100000000000001</v>
      </c>
      <c r="DR60" s="228">
        <v>1.04</v>
      </c>
      <c r="DS60" s="228">
        <v>7.0000000000000007E-2</v>
      </c>
      <c r="DT60" s="229">
        <v>6.7299999999999999E-2</v>
      </c>
      <c r="DU60" s="231">
        <v>8100</v>
      </c>
      <c r="DV60" s="231">
        <v>7000</v>
      </c>
      <c r="DW60" s="228">
        <v>0.83</v>
      </c>
      <c r="DX60" s="228">
        <v>0.67</v>
      </c>
      <c r="DY60" s="228">
        <v>0.16</v>
      </c>
      <c r="DZ60" s="229">
        <v>0.23880000000000001</v>
      </c>
      <c r="EA60" s="229">
        <v>2.35E-2</v>
      </c>
      <c r="EB60" s="230">
        <v>65500</v>
      </c>
      <c r="EC60" s="229">
        <v>5.4000000000000003E-3</v>
      </c>
      <c r="ED60" s="229">
        <v>2.35E-2</v>
      </c>
      <c r="EE60" s="228">
        <v>46.73</v>
      </c>
      <c r="EF60" s="229">
        <v>6.1999999999999998E-3</v>
      </c>
      <c r="EG60" s="230">
        <v>284719</v>
      </c>
      <c r="EH60" s="230">
        <v>216677</v>
      </c>
      <c r="EI60" s="229">
        <v>0.314</v>
      </c>
      <c r="EJ60" s="229">
        <v>0.68159999999999998</v>
      </c>
      <c r="EK60" s="231">
        <v>1318.79</v>
      </c>
      <c r="EL60" s="231">
        <v>1036.0999999999999</v>
      </c>
      <c r="EM60" s="228">
        <v>290.92</v>
      </c>
      <c r="EN60" s="228">
        <v>51.08</v>
      </c>
      <c r="EO60" s="231">
        <v>2645.81</v>
      </c>
      <c r="EP60" s="231">
        <v>3706.99</v>
      </c>
      <c r="EQ60" s="231">
        <v>-1061.18</v>
      </c>
      <c r="ER60" s="229">
        <v>-0.2863</v>
      </c>
      <c r="ES60" s="228">
        <v>984.42</v>
      </c>
      <c r="ET60" s="231">
        <v>1030.51</v>
      </c>
      <c r="EU60" s="231">
        <v>2320.36</v>
      </c>
      <c r="EV60" s="231">
        <v>19199175</v>
      </c>
      <c r="EW60" s="231">
        <v>4335.29</v>
      </c>
      <c r="EX60" s="231">
        <v>4097.88</v>
      </c>
      <c r="EY60" s="228">
        <v>237.41</v>
      </c>
      <c r="EZ60" s="229">
        <v>5.79E-2</v>
      </c>
      <c r="FA60" s="229">
        <v>0.30049999999999999</v>
      </c>
      <c r="FB60" s="227" t="s">
        <v>555</v>
      </c>
      <c r="FC60">
        <f t="shared" si="0"/>
        <v>55</v>
      </c>
    </row>
    <row r="61" spans="1:159" ht="17.25" thickBot="1" x14ac:dyDescent="0.3">
      <c r="A61" s="226">
        <v>46029</v>
      </c>
      <c r="B61" s="227" t="s">
        <v>615</v>
      </c>
      <c r="C61" s="227" t="s">
        <v>667</v>
      </c>
      <c r="D61" s="228">
        <v>2425</v>
      </c>
      <c r="E61" s="228">
        <v>20</v>
      </c>
      <c r="F61" s="228">
        <v>282.39999999999998</v>
      </c>
      <c r="G61" s="228">
        <v>279.60000000000002</v>
      </c>
      <c r="H61" s="228">
        <v>2.8</v>
      </c>
      <c r="I61" s="229">
        <v>0.01</v>
      </c>
      <c r="J61" s="228">
        <v>280.95</v>
      </c>
      <c r="K61" s="228">
        <v>279.05</v>
      </c>
      <c r="L61" s="228">
        <v>1.9</v>
      </c>
      <c r="M61" s="229">
        <v>6.7999999999999996E-3</v>
      </c>
      <c r="N61" s="228">
        <v>282.39999999999998</v>
      </c>
      <c r="O61" s="228">
        <v>279.60000000000002</v>
      </c>
      <c r="P61" s="228">
        <v>2.8</v>
      </c>
      <c r="Q61" s="229">
        <v>0.01</v>
      </c>
      <c r="R61" s="228">
        <v>284</v>
      </c>
      <c r="S61" s="228">
        <v>281.2</v>
      </c>
      <c r="T61" s="228">
        <v>2.8</v>
      </c>
      <c r="U61" s="229">
        <v>0.01</v>
      </c>
      <c r="V61" s="228">
        <v>285.64999999999998</v>
      </c>
      <c r="W61" s="228">
        <v>282.7</v>
      </c>
      <c r="X61" s="228">
        <v>2.95</v>
      </c>
      <c r="Y61" s="229">
        <v>1.04E-2</v>
      </c>
      <c r="Z61" s="228">
        <v>1.45</v>
      </c>
      <c r="AA61" s="228">
        <v>0.55000000000000004</v>
      </c>
      <c r="AB61" s="228">
        <v>0.9</v>
      </c>
      <c r="AC61" s="229">
        <v>5.1999999999999998E-3</v>
      </c>
      <c r="AD61" s="228">
        <v>1.45</v>
      </c>
      <c r="AE61" s="228">
        <v>0.55000000000000004</v>
      </c>
      <c r="AF61" s="228">
        <v>0.9</v>
      </c>
      <c r="AG61" s="229">
        <v>5.1999999999999998E-3</v>
      </c>
      <c r="AH61" s="228">
        <v>3.05</v>
      </c>
      <c r="AI61" s="228">
        <v>2.15</v>
      </c>
      <c r="AJ61" s="228">
        <v>0.9</v>
      </c>
      <c r="AK61" s="229">
        <v>1.09E-2</v>
      </c>
      <c r="AL61" s="228">
        <v>4.7</v>
      </c>
      <c r="AM61" s="228">
        <v>3.65</v>
      </c>
      <c r="AN61" s="228">
        <v>1.05</v>
      </c>
      <c r="AO61" s="229">
        <v>1.67E-2</v>
      </c>
      <c r="AP61" s="228">
        <v>282.8</v>
      </c>
      <c r="AQ61" s="228">
        <v>284.48</v>
      </c>
      <c r="AR61" s="228">
        <v>0</v>
      </c>
      <c r="AS61" s="230">
        <v>1007</v>
      </c>
      <c r="AT61" s="228">
        <v>553</v>
      </c>
      <c r="AU61" s="228">
        <v>455</v>
      </c>
      <c r="AV61" s="229">
        <v>0.82330000000000003</v>
      </c>
      <c r="AW61" s="228">
        <v>945</v>
      </c>
      <c r="AX61" s="228">
        <v>510</v>
      </c>
      <c r="AY61" s="228">
        <v>434</v>
      </c>
      <c r="AZ61" s="229">
        <v>0.85140000000000005</v>
      </c>
      <c r="BA61" s="228">
        <v>55</v>
      </c>
      <c r="BB61" s="228">
        <v>35</v>
      </c>
      <c r="BC61" s="228">
        <v>20</v>
      </c>
      <c r="BD61" s="229">
        <v>0.55859999999999999</v>
      </c>
      <c r="BE61" s="228">
        <v>8</v>
      </c>
      <c r="BF61" s="228">
        <v>7</v>
      </c>
      <c r="BG61" s="228">
        <v>1</v>
      </c>
      <c r="BH61" s="229">
        <v>0.1143</v>
      </c>
      <c r="BI61" s="230">
        <v>2342</v>
      </c>
      <c r="BJ61" s="230">
        <v>1455</v>
      </c>
      <c r="BK61" s="228">
        <v>887</v>
      </c>
      <c r="BL61" s="229">
        <v>0.60980000000000001</v>
      </c>
      <c r="BM61" s="230">
        <v>1382</v>
      </c>
      <c r="BN61" s="230">
        <v>1024</v>
      </c>
      <c r="BO61" s="228">
        <v>358</v>
      </c>
      <c r="BP61" s="229">
        <v>0.3498</v>
      </c>
      <c r="BQ61" s="230">
        <v>4732</v>
      </c>
      <c r="BR61" s="230">
        <v>3031</v>
      </c>
      <c r="BS61" s="230">
        <v>1700</v>
      </c>
      <c r="BT61" s="229">
        <v>0.56089999999999995</v>
      </c>
      <c r="BU61" s="230">
        <v>38787927</v>
      </c>
      <c r="BV61" s="230">
        <v>39289548</v>
      </c>
      <c r="BW61" s="230">
        <v>-501621</v>
      </c>
      <c r="BX61" s="229">
        <v>-1.2800000000000001E-2</v>
      </c>
      <c r="BY61" s="230">
        <v>8144</v>
      </c>
      <c r="BZ61" s="230">
        <v>7919</v>
      </c>
      <c r="CA61" s="228">
        <v>225</v>
      </c>
      <c r="CB61" s="229">
        <v>2.8400000000000002E-2</v>
      </c>
      <c r="CC61" s="230">
        <v>7985</v>
      </c>
      <c r="CD61" s="230">
        <v>7770</v>
      </c>
      <c r="CE61" s="228">
        <v>215</v>
      </c>
      <c r="CF61" s="229">
        <v>2.7699999999999999E-2</v>
      </c>
      <c r="CG61" s="228">
        <v>149</v>
      </c>
      <c r="CH61" s="228">
        <v>139</v>
      </c>
      <c r="CI61" s="228">
        <v>10</v>
      </c>
      <c r="CJ61" s="229">
        <v>7.1099999999999997E-2</v>
      </c>
      <c r="CK61" s="228">
        <v>11</v>
      </c>
      <c r="CL61" s="228">
        <v>11</v>
      </c>
      <c r="CM61" s="228">
        <v>0</v>
      </c>
      <c r="CN61" s="229">
        <v>1.2800000000000001E-2</v>
      </c>
      <c r="CO61" s="230">
        <v>1314</v>
      </c>
      <c r="CP61" s="230">
        <v>1225</v>
      </c>
      <c r="CQ61" s="228">
        <v>90</v>
      </c>
      <c r="CR61" s="229">
        <v>7.3099999999999998E-2</v>
      </c>
      <c r="CS61" s="228">
        <v>961</v>
      </c>
      <c r="CT61" s="228">
        <v>912</v>
      </c>
      <c r="CU61" s="228">
        <v>49</v>
      </c>
      <c r="CV61" s="229">
        <v>5.3400000000000003E-2</v>
      </c>
      <c r="CW61" s="230">
        <v>10419</v>
      </c>
      <c r="CX61" s="230">
        <v>10056</v>
      </c>
      <c r="CY61" s="228">
        <v>363</v>
      </c>
      <c r="CZ61" s="229">
        <v>3.61E-2</v>
      </c>
      <c r="DA61" s="228">
        <v>32.83</v>
      </c>
      <c r="DB61" s="228">
        <v>32.29</v>
      </c>
      <c r="DC61" s="228">
        <v>0.54</v>
      </c>
      <c r="DD61" s="228">
        <v>0.54</v>
      </c>
      <c r="DE61" s="228">
        <v>42.7</v>
      </c>
      <c r="DF61" s="228">
        <v>42.79</v>
      </c>
      <c r="DG61" s="228">
        <v>-9.8699999999999992</v>
      </c>
      <c r="DH61" s="228">
        <v>-0.09</v>
      </c>
      <c r="DI61" s="228">
        <v>32.81</v>
      </c>
      <c r="DJ61" s="228">
        <v>32.28</v>
      </c>
      <c r="DK61" s="228">
        <v>0.53</v>
      </c>
      <c r="DL61" s="228">
        <v>0.53</v>
      </c>
      <c r="DM61" s="228">
        <v>32.869999999999997</v>
      </c>
      <c r="DN61" s="228">
        <v>32.299999999999997</v>
      </c>
      <c r="DO61" s="228">
        <v>0.56999999999999995</v>
      </c>
      <c r="DP61" s="228">
        <v>0.56999999999999995</v>
      </c>
      <c r="DQ61" s="228">
        <v>0.73</v>
      </c>
      <c r="DR61" s="228">
        <v>0.74</v>
      </c>
      <c r="DS61" s="228">
        <v>-0.01</v>
      </c>
      <c r="DT61" s="229">
        <v>-1.35E-2</v>
      </c>
      <c r="DU61" s="228">
        <v>300</v>
      </c>
      <c r="DV61" s="228">
        <v>280</v>
      </c>
      <c r="DW61" s="228">
        <v>0.59</v>
      </c>
      <c r="DX61" s="228">
        <v>0.7</v>
      </c>
      <c r="DY61" s="228">
        <v>-0.11</v>
      </c>
      <c r="DZ61" s="229">
        <v>-0.15709999999999999</v>
      </c>
      <c r="EA61" s="229">
        <v>1.9599999999999999E-2</v>
      </c>
      <c r="EB61" s="230">
        <v>5288925</v>
      </c>
      <c r="EC61" s="229">
        <v>5.7000000000000002E-3</v>
      </c>
      <c r="ED61" s="229">
        <v>1.9599999999999999E-2</v>
      </c>
      <c r="EE61" s="228">
        <v>1.68</v>
      </c>
      <c r="EF61" s="229">
        <v>5.8999999999999999E-3</v>
      </c>
      <c r="EG61" s="230">
        <v>24259820</v>
      </c>
      <c r="EH61" s="230">
        <v>28329135</v>
      </c>
      <c r="EI61" s="229">
        <v>-0.14360000000000001</v>
      </c>
      <c r="EJ61" s="229">
        <v>0.62539999999999996</v>
      </c>
      <c r="EK61" s="231">
        <v>2482.3000000000002</v>
      </c>
      <c r="EL61" s="231">
        <v>1369.7</v>
      </c>
      <c r="EM61" s="231">
        <v>1009.22</v>
      </c>
      <c r="EN61" s="228">
        <v>69.599999999999994</v>
      </c>
      <c r="EO61" s="231">
        <v>4861.22</v>
      </c>
      <c r="EP61" s="231">
        <v>3080.11</v>
      </c>
      <c r="EQ61" s="231">
        <v>1781.1</v>
      </c>
      <c r="ER61" s="229">
        <v>0.57830000000000004</v>
      </c>
      <c r="ES61" s="231">
        <v>1388.9</v>
      </c>
      <c r="ET61" s="228">
        <v>943.69</v>
      </c>
      <c r="EU61" s="231">
        <v>8145.19</v>
      </c>
      <c r="EV61" s="231">
        <v>1251309857</v>
      </c>
      <c r="EW61" s="231">
        <v>10477.780000000001</v>
      </c>
      <c r="EX61" s="231">
        <v>10034.200000000001</v>
      </c>
      <c r="EY61" s="228">
        <v>443.58</v>
      </c>
      <c r="EZ61" s="229">
        <v>4.4200000000000003E-2</v>
      </c>
      <c r="FA61" s="229">
        <v>0.2949</v>
      </c>
      <c r="FB61" s="227" t="s">
        <v>555</v>
      </c>
      <c r="FC61">
        <f t="shared" si="0"/>
        <v>159</v>
      </c>
    </row>
    <row r="62" spans="1:159" ht="17.25" thickBot="1" x14ac:dyDescent="0.3">
      <c r="A62" s="226">
        <v>46029</v>
      </c>
      <c r="B62" s="227" t="s">
        <v>162</v>
      </c>
      <c r="C62" s="227" t="s">
        <v>211</v>
      </c>
      <c r="D62" s="228">
        <v>1800</v>
      </c>
      <c r="E62" s="228">
        <v>20</v>
      </c>
      <c r="F62" s="228">
        <v>360.35</v>
      </c>
      <c r="G62" s="228">
        <v>364.9</v>
      </c>
      <c r="H62" s="228">
        <v>-4.55</v>
      </c>
      <c r="I62" s="229">
        <v>-1.2500000000000001E-2</v>
      </c>
      <c r="J62" s="228">
        <v>359.4</v>
      </c>
      <c r="K62" s="228">
        <v>363.8</v>
      </c>
      <c r="L62" s="228">
        <v>-4.4000000000000004</v>
      </c>
      <c r="M62" s="229">
        <v>-1.21E-2</v>
      </c>
      <c r="N62" s="228">
        <v>360.35</v>
      </c>
      <c r="O62" s="228">
        <v>364.9</v>
      </c>
      <c r="P62" s="228">
        <v>-4.55</v>
      </c>
      <c r="Q62" s="229">
        <v>-1.2500000000000001E-2</v>
      </c>
      <c r="R62" s="228">
        <v>362.9</v>
      </c>
      <c r="S62" s="228">
        <v>367.1</v>
      </c>
      <c r="T62" s="228">
        <v>-4.2</v>
      </c>
      <c r="U62" s="229">
        <v>-1.14E-2</v>
      </c>
      <c r="V62" s="228">
        <v>364.75</v>
      </c>
      <c r="W62" s="228">
        <v>369.65</v>
      </c>
      <c r="X62" s="228">
        <v>-4.9000000000000004</v>
      </c>
      <c r="Y62" s="229">
        <v>-1.3299999999999999E-2</v>
      </c>
      <c r="Z62" s="228">
        <v>0.95</v>
      </c>
      <c r="AA62" s="228">
        <v>1.1000000000000001</v>
      </c>
      <c r="AB62" s="228">
        <v>-0.15</v>
      </c>
      <c r="AC62" s="229">
        <v>2.5999999999999999E-3</v>
      </c>
      <c r="AD62" s="228">
        <v>0.95</v>
      </c>
      <c r="AE62" s="228">
        <v>1.1000000000000001</v>
      </c>
      <c r="AF62" s="228">
        <v>-0.15</v>
      </c>
      <c r="AG62" s="229">
        <v>2.5999999999999999E-3</v>
      </c>
      <c r="AH62" s="228">
        <v>3.5</v>
      </c>
      <c r="AI62" s="228">
        <v>3.3</v>
      </c>
      <c r="AJ62" s="228">
        <v>0.2</v>
      </c>
      <c r="AK62" s="229">
        <v>9.7000000000000003E-3</v>
      </c>
      <c r="AL62" s="228">
        <v>5.35</v>
      </c>
      <c r="AM62" s="228">
        <v>5.85</v>
      </c>
      <c r="AN62" s="228">
        <v>-0.5</v>
      </c>
      <c r="AO62" s="229">
        <v>1.49E-2</v>
      </c>
      <c r="AP62" s="228">
        <v>361.11</v>
      </c>
      <c r="AQ62" s="228">
        <v>363.66</v>
      </c>
      <c r="AR62" s="228">
        <v>0</v>
      </c>
      <c r="AS62" s="228">
        <v>194</v>
      </c>
      <c r="AT62" s="228">
        <v>143</v>
      </c>
      <c r="AU62" s="228">
        <v>51</v>
      </c>
      <c r="AV62" s="229">
        <v>0.35499999999999998</v>
      </c>
      <c r="AW62" s="228">
        <v>161</v>
      </c>
      <c r="AX62" s="228">
        <v>125</v>
      </c>
      <c r="AY62" s="228">
        <v>36</v>
      </c>
      <c r="AZ62" s="229">
        <v>0.28439999999999999</v>
      </c>
      <c r="BA62" s="228">
        <v>31</v>
      </c>
      <c r="BB62" s="228">
        <v>17</v>
      </c>
      <c r="BC62" s="228">
        <v>14</v>
      </c>
      <c r="BD62" s="229">
        <v>0.80520000000000003</v>
      </c>
      <c r="BE62" s="228">
        <v>3</v>
      </c>
      <c r="BF62" s="228">
        <v>1</v>
      </c>
      <c r="BG62" s="228">
        <v>1</v>
      </c>
      <c r="BH62" s="229">
        <v>1.2941</v>
      </c>
      <c r="BI62" s="228">
        <v>407</v>
      </c>
      <c r="BJ62" s="228">
        <v>405</v>
      </c>
      <c r="BK62" s="228">
        <v>2</v>
      </c>
      <c r="BL62" s="229">
        <v>4.3E-3</v>
      </c>
      <c r="BM62" s="228">
        <v>171</v>
      </c>
      <c r="BN62" s="228">
        <v>156</v>
      </c>
      <c r="BO62" s="228">
        <v>15</v>
      </c>
      <c r="BP62" s="229">
        <v>9.7699999999999995E-2</v>
      </c>
      <c r="BQ62" s="228">
        <v>772</v>
      </c>
      <c r="BR62" s="228">
        <v>704</v>
      </c>
      <c r="BS62" s="228">
        <v>68</v>
      </c>
      <c r="BT62" s="229">
        <v>9.64E-2</v>
      </c>
      <c r="BU62" s="230">
        <v>1178201</v>
      </c>
      <c r="BV62" s="230">
        <v>1002588</v>
      </c>
      <c r="BW62" s="230">
        <v>175613</v>
      </c>
      <c r="BX62" s="229">
        <v>0.17519999999999999</v>
      </c>
      <c r="BY62" s="230">
        <v>1188</v>
      </c>
      <c r="BZ62" s="230">
        <v>1145</v>
      </c>
      <c r="CA62" s="228">
        <v>44</v>
      </c>
      <c r="CB62" s="229">
        <v>3.8199999999999998E-2</v>
      </c>
      <c r="CC62" s="230">
        <v>1104</v>
      </c>
      <c r="CD62" s="230">
        <v>1078</v>
      </c>
      <c r="CE62" s="228">
        <v>25</v>
      </c>
      <c r="CF62" s="229">
        <v>2.35E-2</v>
      </c>
      <c r="CG62" s="228">
        <v>79</v>
      </c>
      <c r="CH62" s="228">
        <v>62</v>
      </c>
      <c r="CI62" s="228">
        <v>17</v>
      </c>
      <c r="CJ62" s="229">
        <v>0.2712</v>
      </c>
      <c r="CK62" s="228">
        <v>6</v>
      </c>
      <c r="CL62" s="228">
        <v>4</v>
      </c>
      <c r="CM62" s="228">
        <v>2</v>
      </c>
      <c r="CN62" s="229">
        <v>0.35289999999999999</v>
      </c>
      <c r="CO62" s="228">
        <v>541</v>
      </c>
      <c r="CP62" s="228">
        <v>472</v>
      </c>
      <c r="CQ62" s="228">
        <v>69</v>
      </c>
      <c r="CR62" s="229">
        <v>0.1464</v>
      </c>
      <c r="CS62" s="228">
        <v>345</v>
      </c>
      <c r="CT62" s="228">
        <v>300</v>
      </c>
      <c r="CU62" s="228">
        <v>44</v>
      </c>
      <c r="CV62" s="229">
        <v>0.14829999999999999</v>
      </c>
      <c r="CW62" s="230">
        <v>2074</v>
      </c>
      <c r="CX62" s="230">
        <v>1917</v>
      </c>
      <c r="CY62" s="228">
        <v>157</v>
      </c>
      <c r="CZ62" s="229">
        <v>8.2100000000000006E-2</v>
      </c>
      <c r="DA62" s="228">
        <v>24.75</v>
      </c>
      <c r="DB62" s="228">
        <v>23.82</v>
      </c>
      <c r="DC62" s="228">
        <v>0.93</v>
      </c>
      <c r="DD62" s="228">
        <v>0.93</v>
      </c>
      <c r="DE62" s="228">
        <v>32.72</v>
      </c>
      <c r="DF62" s="228">
        <v>32.76</v>
      </c>
      <c r="DG62" s="228">
        <v>-7.97</v>
      </c>
      <c r="DH62" s="228">
        <v>-0.04</v>
      </c>
      <c r="DI62" s="228">
        <v>24.91</v>
      </c>
      <c r="DJ62" s="228">
        <v>23.95</v>
      </c>
      <c r="DK62" s="228">
        <v>0.96</v>
      </c>
      <c r="DL62" s="228">
        <v>0.96</v>
      </c>
      <c r="DM62" s="228">
        <v>24.38</v>
      </c>
      <c r="DN62" s="228">
        <v>23.47</v>
      </c>
      <c r="DO62" s="228">
        <v>0.91</v>
      </c>
      <c r="DP62" s="228">
        <v>0.91</v>
      </c>
      <c r="DQ62" s="228">
        <v>0.64</v>
      </c>
      <c r="DR62" s="228">
        <v>0.64</v>
      </c>
      <c r="DS62" s="228">
        <v>0</v>
      </c>
      <c r="DT62" s="229">
        <v>0</v>
      </c>
      <c r="DU62" s="228">
        <v>380</v>
      </c>
      <c r="DV62" s="228">
        <v>360</v>
      </c>
      <c r="DW62" s="228">
        <v>0.42</v>
      </c>
      <c r="DX62" s="228">
        <v>0.39</v>
      </c>
      <c r="DY62" s="228">
        <v>0.03</v>
      </c>
      <c r="DZ62" s="229">
        <v>7.6899999999999996E-2</v>
      </c>
      <c r="EA62" s="229">
        <v>7.1300000000000002E-2</v>
      </c>
      <c r="EB62" s="230">
        <v>1841400</v>
      </c>
      <c r="EC62" s="229">
        <v>7.1000000000000004E-3</v>
      </c>
      <c r="ED62" s="229">
        <v>7.1300000000000002E-2</v>
      </c>
      <c r="EE62" s="228">
        <v>2.5499999999999998</v>
      </c>
      <c r="EF62" s="229">
        <v>7.1000000000000004E-3</v>
      </c>
      <c r="EG62" s="230">
        <v>529719</v>
      </c>
      <c r="EH62" s="230">
        <v>352410</v>
      </c>
      <c r="EI62" s="229">
        <v>0.50309999999999999</v>
      </c>
      <c r="EJ62" s="229">
        <v>0.4496</v>
      </c>
      <c r="EK62" s="228">
        <v>426.4</v>
      </c>
      <c r="EL62" s="228">
        <v>172.72</v>
      </c>
      <c r="EM62" s="228">
        <v>195</v>
      </c>
      <c r="EN62" s="228">
        <v>21.88</v>
      </c>
      <c r="EO62" s="228">
        <v>794.11</v>
      </c>
      <c r="EP62" s="228">
        <v>732.49</v>
      </c>
      <c r="EQ62" s="228">
        <v>61.62</v>
      </c>
      <c r="ER62" s="229">
        <v>8.4099999999999994E-2</v>
      </c>
      <c r="ES62" s="228">
        <v>572.57000000000005</v>
      </c>
      <c r="ET62" s="228">
        <v>349.6</v>
      </c>
      <c r="EU62" s="231">
        <v>1188.92</v>
      </c>
      <c r="EV62" s="231">
        <v>68856800</v>
      </c>
      <c r="EW62" s="231">
        <v>2111.09</v>
      </c>
      <c r="EX62" s="231">
        <v>1966.43</v>
      </c>
      <c r="EY62" s="228">
        <v>144.66</v>
      </c>
      <c r="EZ62" s="229">
        <v>7.3599999999999999E-2</v>
      </c>
      <c r="FA62" s="229">
        <v>0.83599999999999997</v>
      </c>
      <c r="FB62" s="227" t="s">
        <v>567</v>
      </c>
      <c r="FC62">
        <f t="shared" si="0"/>
        <v>84</v>
      </c>
    </row>
    <row r="63" spans="1:159" ht="17.25" thickBot="1" x14ac:dyDescent="0.3">
      <c r="A63" s="226">
        <v>46029</v>
      </c>
      <c r="B63" s="227" t="s">
        <v>172</v>
      </c>
      <c r="C63" s="227" t="s">
        <v>212</v>
      </c>
      <c r="D63" s="228">
        <v>5000</v>
      </c>
      <c r="E63" s="228">
        <v>20</v>
      </c>
      <c r="F63" s="228">
        <v>258.89999999999998</v>
      </c>
      <c r="G63" s="228">
        <v>258.05</v>
      </c>
      <c r="H63" s="228">
        <v>0.85</v>
      </c>
      <c r="I63" s="229">
        <v>3.3E-3</v>
      </c>
      <c r="J63" s="228">
        <v>258.55</v>
      </c>
      <c r="K63" s="228">
        <v>256.7</v>
      </c>
      <c r="L63" s="228">
        <v>1.85</v>
      </c>
      <c r="M63" s="229">
        <v>7.1999999999999998E-3</v>
      </c>
      <c r="N63" s="228">
        <v>258.89999999999998</v>
      </c>
      <c r="O63" s="228">
        <v>258.05</v>
      </c>
      <c r="P63" s="228">
        <v>0.85</v>
      </c>
      <c r="Q63" s="229">
        <v>3.3E-3</v>
      </c>
      <c r="R63" s="228">
        <v>260.05</v>
      </c>
      <c r="S63" s="228">
        <v>259.55</v>
      </c>
      <c r="T63" s="228">
        <v>0.5</v>
      </c>
      <c r="U63" s="229">
        <v>1.9E-3</v>
      </c>
      <c r="V63" s="228">
        <v>260.85000000000002</v>
      </c>
      <c r="W63" s="228">
        <v>260.05</v>
      </c>
      <c r="X63" s="228">
        <v>0.8</v>
      </c>
      <c r="Y63" s="229">
        <v>3.0999999999999999E-3</v>
      </c>
      <c r="Z63" s="228">
        <v>0.35</v>
      </c>
      <c r="AA63" s="228">
        <v>1.35</v>
      </c>
      <c r="AB63" s="228">
        <v>-1</v>
      </c>
      <c r="AC63" s="229">
        <v>1.4E-3</v>
      </c>
      <c r="AD63" s="228">
        <v>0.35</v>
      </c>
      <c r="AE63" s="228">
        <v>1.35</v>
      </c>
      <c r="AF63" s="228">
        <v>-1</v>
      </c>
      <c r="AG63" s="229">
        <v>1.4E-3</v>
      </c>
      <c r="AH63" s="228">
        <v>1.5</v>
      </c>
      <c r="AI63" s="228">
        <v>2.85</v>
      </c>
      <c r="AJ63" s="228">
        <v>-1.35</v>
      </c>
      <c r="AK63" s="229">
        <v>5.7999999999999996E-3</v>
      </c>
      <c r="AL63" s="228">
        <v>2.2999999999999998</v>
      </c>
      <c r="AM63" s="228">
        <v>3.35</v>
      </c>
      <c r="AN63" s="228">
        <v>-1.05</v>
      </c>
      <c r="AO63" s="229">
        <v>8.8999999999999999E-3</v>
      </c>
      <c r="AP63" s="228">
        <v>257.37</v>
      </c>
      <c r="AQ63" s="228">
        <v>258.27999999999997</v>
      </c>
      <c r="AR63" s="228">
        <v>0</v>
      </c>
      <c r="AS63" s="228">
        <v>498</v>
      </c>
      <c r="AT63" s="228">
        <v>976</v>
      </c>
      <c r="AU63" s="228">
        <v>-478</v>
      </c>
      <c r="AV63" s="229">
        <v>-0.48949999999999999</v>
      </c>
      <c r="AW63" s="228">
        <v>467</v>
      </c>
      <c r="AX63" s="228">
        <v>908</v>
      </c>
      <c r="AY63" s="228">
        <v>-442</v>
      </c>
      <c r="AZ63" s="229">
        <v>-0.48620000000000002</v>
      </c>
      <c r="BA63" s="228">
        <v>26</v>
      </c>
      <c r="BB63" s="228">
        <v>54</v>
      </c>
      <c r="BC63" s="228">
        <v>-28</v>
      </c>
      <c r="BD63" s="229">
        <v>-0.52139999999999997</v>
      </c>
      <c r="BE63" s="228">
        <v>6</v>
      </c>
      <c r="BF63" s="228">
        <v>13</v>
      </c>
      <c r="BG63" s="228">
        <v>-8</v>
      </c>
      <c r="BH63" s="229">
        <v>-0.58250000000000002</v>
      </c>
      <c r="BI63" s="230">
        <v>1272</v>
      </c>
      <c r="BJ63" s="230">
        <v>1875</v>
      </c>
      <c r="BK63" s="228">
        <v>-602</v>
      </c>
      <c r="BL63" s="229">
        <v>-0.32129999999999997</v>
      </c>
      <c r="BM63" s="228">
        <v>574</v>
      </c>
      <c r="BN63" s="230">
        <v>1071</v>
      </c>
      <c r="BO63" s="228">
        <v>-498</v>
      </c>
      <c r="BP63" s="229">
        <v>-0.46450000000000002</v>
      </c>
      <c r="BQ63" s="230">
        <v>2344</v>
      </c>
      <c r="BR63" s="230">
        <v>3922</v>
      </c>
      <c r="BS63" s="230">
        <v>-1578</v>
      </c>
      <c r="BT63" s="229">
        <v>-0.40229999999999999</v>
      </c>
      <c r="BU63" s="230">
        <v>7148378</v>
      </c>
      <c r="BV63" s="230">
        <v>10949514</v>
      </c>
      <c r="BW63" s="230">
        <v>-3801136</v>
      </c>
      <c r="BX63" s="229">
        <v>-0.34720000000000001</v>
      </c>
      <c r="BY63" s="230">
        <v>1455</v>
      </c>
      <c r="BZ63" s="230">
        <v>1493</v>
      </c>
      <c r="CA63" s="228">
        <v>-38</v>
      </c>
      <c r="CB63" s="229">
        <v>-2.5499999999999998E-2</v>
      </c>
      <c r="CC63" s="230">
        <v>1375</v>
      </c>
      <c r="CD63" s="230">
        <v>1418</v>
      </c>
      <c r="CE63" s="228">
        <v>-44</v>
      </c>
      <c r="CF63" s="229">
        <v>-3.09E-2</v>
      </c>
      <c r="CG63" s="228">
        <v>56</v>
      </c>
      <c r="CH63" s="228">
        <v>52</v>
      </c>
      <c r="CI63" s="228">
        <v>4</v>
      </c>
      <c r="CJ63" s="229">
        <v>7.9799999999999996E-2</v>
      </c>
      <c r="CK63" s="228">
        <v>24</v>
      </c>
      <c r="CL63" s="228">
        <v>22</v>
      </c>
      <c r="CM63" s="228">
        <v>2</v>
      </c>
      <c r="CN63" s="229">
        <v>6.9400000000000003E-2</v>
      </c>
      <c r="CO63" s="228">
        <v>828</v>
      </c>
      <c r="CP63" s="228">
        <v>798</v>
      </c>
      <c r="CQ63" s="228">
        <v>31</v>
      </c>
      <c r="CR63" s="229">
        <v>3.85E-2</v>
      </c>
      <c r="CS63" s="228">
        <v>631</v>
      </c>
      <c r="CT63" s="228">
        <v>595</v>
      </c>
      <c r="CU63" s="228">
        <v>36</v>
      </c>
      <c r="CV63" s="229">
        <v>6.0299999999999999E-2</v>
      </c>
      <c r="CW63" s="230">
        <v>2914</v>
      </c>
      <c r="CX63" s="230">
        <v>2885</v>
      </c>
      <c r="CY63" s="228">
        <v>28</v>
      </c>
      <c r="CZ63" s="229">
        <v>9.9000000000000008E-3</v>
      </c>
      <c r="DA63" s="228">
        <v>25.8</v>
      </c>
      <c r="DB63" s="228">
        <v>25.65</v>
      </c>
      <c r="DC63" s="228">
        <v>0.15</v>
      </c>
      <c r="DD63" s="228">
        <v>0.15</v>
      </c>
      <c r="DE63" s="228">
        <v>27.98</v>
      </c>
      <c r="DF63" s="228">
        <v>28.03</v>
      </c>
      <c r="DG63" s="228">
        <v>-2.1800000000000002</v>
      </c>
      <c r="DH63" s="228">
        <v>-0.05</v>
      </c>
      <c r="DI63" s="228">
        <v>25.87</v>
      </c>
      <c r="DJ63" s="228">
        <v>25.62</v>
      </c>
      <c r="DK63" s="228">
        <v>0.25</v>
      </c>
      <c r="DL63" s="228">
        <v>0.25</v>
      </c>
      <c r="DM63" s="228">
        <v>25.66</v>
      </c>
      <c r="DN63" s="228">
        <v>25.7</v>
      </c>
      <c r="DO63" s="228">
        <v>-0.04</v>
      </c>
      <c r="DP63" s="228">
        <v>-0.04</v>
      </c>
      <c r="DQ63" s="228">
        <v>0.76</v>
      </c>
      <c r="DR63" s="228">
        <v>0.75</v>
      </c>
      <c r="DS63" s="228">
        <v>0.01</v>
      </c>
      <c r="DT63" s="229">
        <v>1.3299999999999999E-2</v>
      </c>
      <c r="DU63" s="228">
        <v>270</v>
      </c>
      <c r="DV63" s="228">
        <v>260</v>
      </c>
      <c r="DW63" s="228">
        <v>0.45</v>
      </c>
      <c r="DX63" s="228">
        <v>0.56999999999999995</v>
      </c>
      <c r="DY63" s="228">
        <v>-0.12</v>
      </c>
      <c r="DZ63" s="229">
        <v>-0.21049999999999999</v>
      </c>
      <c r="EA63" s="229">
        <v>5.5E-2</v>
      </c>
      <c r="EB63" s="230">
        <v>2870000</v>
      </c>
      <c r="EC63" s="229">
        <v>4.4000000000000003E-3</v>
      </c>
      <c r="ED63" s="229">
        <v>5.5E-2</v>
      </c>
      <c r="EE63" s="228">
        <v>0.91</v>
      </c>
      <c r="EF63" s="229">
        <v>3.5000000000000001E-3</v>
      </c>
      <c r="EG63" s="230">
        <v>3842213</v>
      </c>
      <c r="EH63" s="230">
        <v>6876556</v>
      </c>
      <c r="EI63" s="229">
        <v>-0.44130000000000003</v>
      </c>
      <c r="EJ63" s="229">
        <v>0.53749999999999998</v>
      </c>
      <c r="EK63" s="231">
        <v>1336.23</v>
      </c>
      <c r="EL63" s="228">
        <v>570.59</v>
      </c>
      <c r="EM63" s="228">
        <v>495.46</v>
      </c>
      <c r="EN63" s="228">
        <v>36.78</v>
      </c>
      <c r="EO63" s="231">
        <v>2402.2800000000002</v>
      </c>
      <c r="EP63" s="231">
        <v>4027.8</v>
      </c>
      <c r="EQ63" s="231">
        <v>-1625.52</v>
      </c>
      <c r="ER63" s="229">
        <v>-0.40360000000000001</v>
      </c>
      <c r="ES63" s="228">
        <v>870.05</v>
      </c>
      <c r="ET63" s="228">
        <v>618.48</v>
      </c>
      <c r="EU63" s="231">
        <v>1454.93</v>
      </c>
      <c r="EV63" s="231">
        <v>320636733</v>
      </c>
      <c r="EW63" s="231">
        <v>2943.46</v>
      </c>
      <c r="EX63" s="231">
        <v>2911.24</v>
      </c>
      <c r="EY63" s="228">
        <v>32.22</v>
      </c>
      <c r="EZ63" s="229">
        <v>1.11E-2</v>
      </c>
      <c r="FA63" s="229">
        <v>0.35099999999999998</v>
      </c>
      <c r="FB63" s="227" t="s">
        <v>556</v>
      </c>
      <c r="FC63">
        <f t="shared" si="0"/>
        <v>80</v>
      </c>
    </row>
    <row r="64" spans="1:159" ht="17.25" thickBot="1" x14ac:dyDescent="0.3">
      <c r="A64" s="226">
        <v>46029</v>
      </c>
      <c r="B64" s="227" t="s">
        <v>181</v>
      </c>
      <c r="C64" s="227" t="s">
        <v>480</v>
      </c>
      <c r="D64" s="228">
        <v>60</v>
      </c>
      <c r="E64" s="228">
        <v>20</v>
      </c>
      <c r="F64" s="231">
        <v>27955.3</v>
      </c>
      <c r="G64" s="231">
        <v>28041.1</v>
      </c>
      <c r="H64" s="228">
        <v>-85.8</v>
      </c>
      <c r="I64" s="229">
        <v>-3.0999999999999999E-3</v>
      </c>
      <c r="J64" s="231">
        <v>27853.35</v>
      </c>
      <c r="K64" s="231">
        <v>27945.1</v>
      </c>
      <c r="L64" s="228">
        <v>-91.75</v>
      </c>
      <c r="M64" s="229">
        <v>-3.3E-3</v>
      </c>
      <c r="N64" s="231">
        <v>27955.3</v>
      </c>
      <c r="O64" s="231">
        <v>28041.1</v>
      </c>
      <c r="P64" s="228">
        <v>-85.8</v>
      </c>
      <c r="Q64" s="229">
        <v>-3.0999999999999999E-3</v>
      </c>
      <c r="R64" s="231">
        <v>28000</v>
      </c>
      <c r="S64" s="231">
        <v>28000</v>
      </c>
      <c r="T64" s="228">
        <v>0</v>
      </c>
      <c r="U64" s="229">
        <v>0</v>
      </c>
      <c r="V64" s="228">
        <v>0</v>
      </c>
      <c r="W64" s="228">
        <v>0</v>
      </c>
      <c r="X64" s="228">
        <v>0</v>
      </c>
      <c r="Y64" s="229">
        <v>0</v>
      </c>
      <c r="Z64" s="228">
        <v>101.95</v>
      </c>
      <c r="AA64" s="228">
        <v>96</v>
      </c>
      <c r="AB64" s="228">
        <v>5.95</v>
      </c>
      <c r="AC64" s="229">
        <v>3.7000000000000002E-3</v>
      </c>
      <c r="AD64" s="228">
        <v>101.95</v>
      </c>
      <c r="AE64" s="228">
        <v>96</v>
      </c>
      <c r="AF64" s="228">
        <v>5.95</v>
      </c>
      <c r="AG64" s="229">
        <v>3.7000000000000002E-3</v>
      </c>
      <c r="AH64" s="228">
        <v>146.65</v>
      </c>
      <c r="AI64" s="228">
        <v>54.9</v>
      </c>
      <c r="AJ64" s="228">
        <v>91.75</v>
      </c>
      <c r="AK64" s="229">
        <v>5.3E-3</v>
      </c>
      <c r="AL64" s="228">
        <v>0</v>
      </c>
      <c r="AM64" s="228">
        <v>0</v>
      </c>
      <c r="AN64" s="228">
        <v>0</v>
      </c>
      <c r="AO64" s="229">
        <v>0</v>
      </c>
      <c r="AP64" s="231">
        <v>27929.09</v>
      </c>
      <c r="AQ64" s="231">
        <v>28000</v>
      </c>
      <c r="AR64" s="228">
        <v>0</v>
      </c>
      <c r="AS64" s="228">
        <v>36</v>
      </c>
      <c r="AT64" s="228">
        <v>41</v>
      </c>
      <c r="AU64" s="228">
        <v>-6</v>
      </c>
      <c r="AV64" s="229">
        <v>-0.14169999999999999</v>
      </c>
      <c r="AW64" s="228">
        <v>36</v>
      </c>
      <c r="AX64" s="228">
        <v>41</v>
      </c>
      <c r="AY64" s="228">
        <v>-6</v>
      </c>
      <c r="AZ64" s="229">
        <v>-0.13819999999999999</v>
      </c>
      <c r="BA64" s="228">
        <v>0</v>
      </c>
      <c r="BB64" s="228">
        <v>0</v>
      </c>
      <c r="BC64" s="228">
        <v>0</v>
      </c>
      <c r="BD64" s="229">
        <v>-1</v>
      </c>
      <c r="BE64" s="228">
        <v>0</v>
      </c>
      <c r="BF64" s="228">
        <v>0</v>
      </c>
      <c r="BG64" s="228">
        <v>0</v>
      </c>
      <c r="BH64" s="229">
        <v>0</v>
      </c>
      <c r="BI64" s="230">
        <v>2243</v>
      </c>
      <c r="BJ64" s="230">
        <v>4718</v>
      </c>
      <c r="BK64" s="230">
        <v>-2474</v>
      </c>
      <c r="BL64" s="229">
        <v>-0.52449999999999997</v>
      </c>
      <c r="BM64" s="230">
        <v>2330</v>
      </c>
      <c r="BN64" s="230">
        <v>3591</v>
      </c>
      <c r="BO64" s="230">
        <v>-1261</v>
      </c>
      <c r="BP64" s="229">
        <v>-0.35120000000000001</v>
      </c>
      <c r="BQ64" s="230">
        <v>4609</v>
      </c>
      <c r="BR64" s="230">
        <v>8350</v>
      </c>
      <c r="BS64" s="230">
        <v>-3742</v>
      </c>
      <c r="BT64" s="229">
        <v>-0.4481</v>
      </c>
      <c r="BU64" s="228">
        <v>0</v>
      </c>
      <c r="BV64" s="228">
        <v>0</v>
      </c>
      <c r="BW64" s="228">
        <v>0</v>
      </c>
      <c r="BX64" s="229">
        <v>0</v>
      </c>
      <c r="BY64" s="228">
        <v>90</v>
      </c>
      <c r="BZ64" s="228">
        <v>89</v>
      </c>
      <c r="CA64" s="228">
        <v>0</v>
      </c>
      <c r="CB64" s="229">
        <v>1.9E-3</v>
      </c>
      <c r="CC64" s="228">
        <v>89</v>
      </c>
      <c r="CD64" s="228">
        <v>89</v>
      </c>
      <c r="CE64" s="228">
        <v>0</v>
      </c>
      <c r="CF64" s="229">
        <v>1.9E-3</v>
      </c>
      <c r="CG64" s="228">
        <v>1</v>
      </c>
      <c r="CH64" s="228">
        <v>1</v>
      </c>
      <c r="CI64" s="228">
        <v>0</v>
      </c>
      <c r="CJ64" s="229">
        <v>0</v>
      </c>
      <c r="CK64" s="228">
        <v>0</v>
      </c>
      <c r="CL64" s="228">
        <v>0</v>
      </c>
      <c r="CM64" s="228">
        <v>0</v>
      </c>
      <c r="CN64" s="229">
        <v>0</v>
      </c>
      <c r="CO64" s="230">
        <v>1398</v>
      </c>
      <c r="CP64" s="230">
        <v>1514</v>
      </c>
      <c r="CQ64" s="228">
        <v>-117</v>
      </c>
      <c r="CR64" s="229">
        <v>-7.6999999999999999E-2</v>
      </c>
      <c r="CS64" s="230">
        <v>1055</v>
      </c>
      <c r="CT64" s="230">
        <v>1134</v>
      </c>
      <c r="CU64" s="228">
        <v>-80</v>
      </c>
      <c r="CV64" s="229">
        <v>-7.0199999999999999E-2</v>
      </c>
      <c r="CW64" s="230">
        <v>2542</v>
      </c>
      <c r="CX64" s="230">
        <v>2738</v>
      </c>
      <c r="CY64" s="228">
        <v>-196</v>
      </c>
      <c r="CZ64" s="229">
        <v>-7.1599999999999997E-2</v>
      </c>
      <c r="DA64" s="228">
        <v>10.210000000000001</v>
      </c>
      <c r="DB64" s="228">
        <v>10.56</v>
      </c>
      <c r="DC64" s="228">
        <v>-0.35</v>
      </c>
      <c r="DD64" s="228">
        <v>-0.35</v>
      </c>
      <c r="DE64" s="228">
        <v>16.190000000000001</v>
      </c>
      <c r="DF64" s="228">
        <v>16.22</v>
      </c>
      <c r="DG64" s="228">
        <v>-5.98</v>
      </c>
      <c r="DH64" s="228">
        <v>-0.03</v>
      </c>
      <c r="DI64" s="228">
        <v>9.9499999999999993</v>
      </c>
      <c r="DJ64" s="228">
        <v>10.39</v>
      </c>
      <c r="DK64" s="228">
        <v>-0.44</v>
      </c>
      <c r="DL64" s="228">
        <v>-0.44</v>
      </c>
      <c r="DM64" s="228">
        <v>10.45</v>
      </c>
      <c r="DN64" s="228">
        <v>10.77</v>
      </c>
      <c r="DO64" s="228">
        <v>-0.32</v>
      </c>
      <c r="DP64" s="228">
        <v>-0.32</v>
      </c>
      <c r="DQ64" s="228">
        <v>0.75</v>
      </c>
      <c r="DR64" s="228">
        <v>0.75</v>
      </c>
      <c r="DS64" s="228">
        <v>0</v>
      </c>
      <c r="DT64" s="229">
        <v>0</v>
      </c>
      <c r="DU64" s="231">
        <v>28200</v>
      </c>
      <c r="DV64" s="231">
        <v>28000</v>
      </c>
      <c r="DW64" s="228">
        <v>1.04</v>
      </c>
      <c r="DX64" s="228">
        <v>0.76</v>
      </c>
      <c r="DY64" s="228">
        <v>0.28000000000000003</v>
      </c>
      <c r="DZ64" s="229">
        <v>0.36840000000000001</v>
      </c>
      <c r="EA64" s="229">
        <v>5.5999999999999999E-3</v>
      </c>
      <c r="EB64" s="228">
        <v>180</v>
      </c>
      <c r="EC64" s="229">
        <v>1.6000000000000001E-3</v>
      </c>
      <c r="ED64" s="229">
        <v>5.5999999999999999E-3</v>
      </c>
      <c r="EE64" s="228">
        <v>70.91</v>
      </c>
      <c r="EF64" s="229">
        <v>2.5000000000000001E-3</v>
      </c>
      <c r="EG64" s="228">
        <v>0</v>
      </c>
      <c r="EH64" s="228">
        <v>0</v>
      </c>
      <c r="EI64" s="229">
        <v>0</v>
      </c>
      <c r="EJ64" s="229">
        <v>0</v>
      </c>
      <c r="EK64" s="231">
        <v>2274.41</v>
      </c>
      <c r="EL64" s="231">
        <v>2322.67</v>
      </c>
      <c r="EM64" s="228">
        <v>35.53</v>
      </c>
      <c r="EN64" s="228">
        <v>0</v>
      </c>
      <c r="EO64" s="231">
        <v>4632.6099999999997</v>
      </c>
      <c r="EP64" s="231">
        <v>8443.82</v>
      </c>
      <c r="EQ64" s="231">
        <v>-3811.21</v>
      </c>
      <c r="ER64" s="229">
        <v>-0.45140000000000002</v>
      </c>
      <c r="ES64" s="231">
        <v>1414.02</v>
      </c>
      <c r="ET64" s="231">
        <v>1039.47</v>
      </c>
      <c r="EU64" s="228">
        <v>89.57</v>
      </c>
      <c r="EV64" s="228">
        <v>0</v>
      </c>
      <c r="EW64" s="231">
        <v>2543.06</v>
      </c>
      <c r="EX64" s="231">
        <v>2740.25</v>
      </c>
      <c r="EY64" s="228">
        <v>-197.19</v>
      </c>
      <c r="EZ64" s="229">
        <v>-7.1999999999999995E-2</v>
      </c>
      <c r="FA64" s="229">
        <v>0</v>
      </c>
      <c r="FB64" s="227" t="s">
        <v>567</v>
      </c>
      <c r="FC64">
        <f t="shared" si="0"/>
        <v>1</v>
      </c>
    </row>
    <row r="65" spans="1:159" ht="17.25" thickBot="1" x14ac:dyDescent="0.3">
      <c r="A65" s="226">
        <v>46029</v>
      </c>
      <c r="B65" s="227" t="s">
        <v>170</v>
      </c>
      <c r="C65" s="227" t="s">
        <v>677</v>
      </c>
      <c r="D65" s="228">
        <v>775</v>
      </c>
      <c r="E65" s="228">
        <v>20</v>
      </c>
      <c r="F65" s="228">
        <v>942.6</v>
      </c>
      <c r="G65" s="228">
        <v>947.5</v>
      </c>
      <c r="H65" s="228">
        <v>-4.9000000000000004</v>
      </c>
      <c r="I65" s="229">
        <v>-5.1999999999999998E-3</v>
      </c>
      <c r="J65" s="228">
        <v>940.85</v>
      </c>
      <c r="K65" s="228">
        <v>945</v>
      </c>
      <c r="L65" s="228">
        <v>-4.1500000000000004</v>
      </c>
      <c r="M65" s="229">
        <v>-4.4000000000000003E-3</v>
      </c>
      <c r="N65" s="228">
        <v>942.6</v>
      </c>
      <c r="O65" s="228">
        <v>947.5</v>
      </c>
      <c r="P65" s="228">
        <v>-4.9000000000000004</v>
      </c>
      <c r="Q65" s="229">
        <v>-5.1999999999999998E-3</v>
      </c>
      <c r="R65" s="228">
        <v>948.3</v>
      </c>
      <c r="S65" s="228">
        <v>952.55</v>
      </c>
      <c r="T65" s="228">
        <v>-4.25</v>
      </c>
      <c r="U65" s="229">
        <v>-4.4999999999999997E-3</v>
      </c>
      <c r="V65" s="228">
        <v>955.9</v>
      </c>
      <c r="W65" s="228">
        <v>958.35</v>
      </c>
      <c r="X65" s="228">
        <v>-2.4500000000000002</v>
      </c>
      <c r="Y65" s="229">
        <v>-2.5999999999999999E-3</v>
      </c>
      <c r="Z65" s="228">
        <v>1.75</v>
      </c>
      <c r="AA65" s="228">
        <v>2.5</v>
      </c>
      <c r="AB65" s="228">
        <v>-0.75</v>
      </c>
      <c r="AC65" s="229">
        <v>1.9E-3</v>
      </c>
      <c r="AD65" s="228">
        <v>1.75</v>
      </c>
      <c r="AE65" s="228">
        <v>2.5</v>
      </c>
      <c r="AF65" s="228">
        <v>-0.75</v>
      </c>
      <c r="AG65" s="229">
        <v>1.9E-3</v>
      </c>
      <c r="AH65" s="228">
        <v>7.45</v>
      </c>
      <c r="AI65" s="228">
        <v>7.55</v>
      </c>
      <c r="AJ65" s="228">
        <v>-0.1</v>
      </c>
      <c r="AK65" s="229">
        <v>7.9000000000000008E-3</v>
      </c>
      <c r="AL65" s="228">
        <v>15.05</v>
      </c>
      <c r="AM65" s="228">
        <v>13.35</v>
      </c>
      <c r="AN65" s="228">
        <v>1.7</v>
      </c>
      <c r="AO65" s="229">
        <v>1.6E-2</v>
      </c>
      <c r="AP65" s="228">
        <v>944.69</v>
      </c>
      <c r="AQ65" s="228">
        <v>951.05</v>
      </c>
      <c r="AR65" s="228">
        <v>0</v>
      </c>
      <c r="AS65" s="228">
        <v>225</v>
      </c>
      <c r="AT65" s="228">
        <v>473</v>
      </c>
      <c r="AU65" s="228">
        <v>-249</v>
      </c>
      <c r="AV65" s="229">
        <v>-0.52549999999999997</v>
      </c>
      <c r="AW65" s="228">
        <v>211</v>
      </c>
      <c r="AX65" s="228">
        <v>449</v>
      </c>
      <c r="AY65" s="228">
        <v>-237</v>
      </c>
      <c r="AZ65" s="229">
        <v>-0.52949999999999997</v>
      </c>
      <c r="BA65" s="228">
        <v>10</v>
      </c>
      <c r="BB65" s="228">
        <v>20</v>
      </c>
      <c r="BC65" s="228">
        <v>-10</v>
      </c>
      <c r="BD65" s="229">
        <v>-0.49819999999999998</v>
      </c>
      <c r="BE65" s="228">
        <v>4</v>
      </c>
      <c r="BF65" s="228">
        <v>5</v>
      </c>
      <c r="BG65" s="228">
        <v>-1</v>
      </c>
      <c r="BH65" s="229">
        <v>-0.27939999999999998</v>
      </c>
      <c r="BI65" s="228">
        <v>489</v>
      </c>
      <c r="BJ65" s="230">
        <v>1458</v>
      </c>
      <c r="BK65" s="228">
        <v>-968</v>
      </c>
      <c r="BL65" s="229">
        <v>-0.66420000000000001</v>
      </c>
      <c r="BM65" s="228">
        <v>153</v>
      </c>
      <c r="BN65" s="228">
        <v>281</v>
      </c>
      <c r="BO65" s="228">
        <v>-128</v>
      </c>
      <c r="BP65" s="229">
        <v>-0.4551</v>
      </c>
      <c r="BQ65" s="228">
        <v>867</v>
      </c>
      <c r="BR65" s="230">
        <v>2212</v>
      </c>
      <c r="BS65" s="230">
        <v>-1345</v>
      </c>
      <c r="BT65" s="229">
        <v>-0.60799999999999998</v>
      </c>
      <c r="BU65" s="230">
        <v>2090584</v>
      </c>
      <c r="BV65" s="230">
        <v>3983966</v>
      </c>
      <c r="BW65" s="230">
        <v>-1893382</v>
      </c>
      <c r="BX65" s="229">
        <v>-0.4753</v>
      </c>
      <c r="BY65" s="230">
        <v>1080</v>
      </c>
      <c r="BZ65" s="230">
        <v>1089</v>
      </c>
      <c r="CA65" s="228">
        <v>-9</v>
      </c>
      <c r="CB65" s="229">
        <v>-8.0999999999999996E-3</v>
      </c>
      <c r="CC65" s="230">
        <v>1061</v>
      </c>
      <c r="CD65" s="230">
        <v>1071</v>
      </c>
      <c r="CE65" s="228">
        <v>-10</v>
      </c>
      <c r="CF65" s="229">
        <v>-9.1999999999999998E-3</v>
      </c>
      <c r="CG65" s="228">
        <v>17</v>
      </c>
      <c r="CH65" s="228">
        <v>14</v>
      </c>
      <c r="CI65" s="228">
        <v>3</v>
      </c>
      <c r="CJ65" s="229">
        <v>0.20300000000000001</v>
      </c>
      <c r="CK65" s="228">
        <v>2</v>
      </c>
      <c r="CL65" s="228">
        <v>4</v>
      </c>
      <c r="CM65" s="228">
        <v>-2</v>
      </c>
      <c r="CN65" s="229">
        <v>-0.49059999999999998</v>
      </c>
      <c r="CO65" s="228">
        <v>303</v>
      </c>
      <c r="CP65" s="228">
        <v>283</v>
      </c>
      <c r="CQ65" s="228">
        <v>20</v>
      </c>
      <c r="CR65" s="229">
        <v>6.9599999999999995E-2</v>
      </c>
      <c r="CS65" s="228">
        <v>198</v>
      </c>
      <c r="CT65" s="228">
        <v>182</v>
      </c>
      <c r="CU65" s="228">
        <v>16</v>
      </c>
      <c r="CV65" s="229">
        <v>8.5699999999999998E-2</v>
      </c>
      <c r="CW65" s="230">
        <v>1581</v>
      </c>
      <c r="CX65" s="230">
        <v>1555</v>
      </c>
      <c r="CY65" s="228">
        <v>27</v>
      </c>
      <c r="CZ65" s="229">
        <v>1.7100000000000001E-2</v>
      </c>
      <c r="DA65" s="228">
        <v>25.72</v>
      </c>
      <c r="DB65" s="228">
        <v>26.02</v>
      </c>
      <c r="DC65" s="228">
        <v>-0.3</v>
      </c>
      <c r="DD65" s="228">
        <v>-0.3</v>
      </c>
      <c r="DE65" s="228">
        <v>35.020000000000003</v>
      </c>
      <c r="DF65" s="228">
        <v>35.1</v>
      </c>
      <c r="DG65" s="228">
        <v>-9.3000000000000007</v>
      </c>
      <c r="DH65" s="228">
        <v>-0.08</v>
      </c>
      <c r="DI65" s="228">
        <v>25.83</v>
      </c>
      <c r="DJ65" s="228">
        <v>25.96</v>
      </c>
      <c r="DK65" s="228">
        <v>-0.13</v>
      </c>
      <c r="DL65" s="228">
        <v>-0.13</v>
      </c>
      <c r="DM65" s="228">
        <v>25.38</v>
      </c>
      <c r="DN65" s="228">
        <v>26.32</v>
      </c>
      <c r="DO65" s="228">
        <v>-0.94</v>
      </c>
      <c r="DP65" s="228">
        <v>-0.94</v>
      </c>
      <c r="DQ65" s="228">
        <v>0.65</v>
      </c>
      <c r="DR65" s="228">
        <v>0.64</v>
      </c>
      <c r="DS65" s="228">
        <v>0.01</v>
      </c>
      <c r="DT65" s="229">
        <v>1.5599999999999999E-2</v>
      </c>
      <c r="DU65" s="231">
        <v>1000</v>
      </c>
      <c r="DV65" s="228">
        <v>900</v>
      </c>
      <c r="DW65" s="228">
        <v>0.31</v>
      </c>
      <c r="DX65" s="228">
        <v>0.19</v>
      </c>
      <c r="DY65" s="228">
        <v>0.12</v>
      </c>
      <c r="DZ65" s="229">
        <v>0.63160000000000005</v>
      </c>
      <c r="EA65" s="229">
        <v>1.7899999999999999E-2</v>
      </c>
      <c r="EB65" s="230">
        <v>193750</v>
      </c>
      <c r="EC65" s="229">
        <v>6.0000000000000001E-3</v>
      </c>
      <c r="ED65" s="229">
        <v>1.7899999999999999E-2</v>
      </c>
      <c r="EE65" s="228">
        <v>6.36</v>
      </c>
      <c r="EF65" s="229">
        <v>6.7000000000000002E-3</v>
      </c>
      <c r="EG65" s="230">
        <v>1203393</v>
      </c>
      <c r="EH65" s="230">
        <v>2472393</v>
      </c>
      <c r="EI65" s="229">
        <v>-0.51329999999999998</v>
      </c>
      <c r="EJ65" s="229">
        <v>0.5756</v>
      </c>
      <c r="EK65" s="228">
        <v>511.59</v>
      </c>
      <c r="EL65" s="228">
        <v>148.6</v>
      </c>
      <c r="EM65" s="228">
        <v>225.16</v>
      </c>
      <c r="EN65" s="228">
        <v>36.020000000000003</v>
      </c>
      <c r="EO65" s="228">
        <v>885.35</v>
      </c>
      <c r="EP65" s="231">
        <v>2244.9</v>
      </c>
      <c r="EQ65" s="231">
        <v>-1359.55</v>
      </c>
      <c r="ER65" s="229">
        <v>-0.60560000000000003</v>
      </c>
      <c r="ES65" s="228">
        <v>309.94</v>
      </c>
      <c r="ET65" s="228">
        <v>188.83</v>
      </c>
      <c r="EU65" s="231">
        <v>1080.27</v>
      </c>
      <c r="EV65" s="231">
        <v>77949604</v>
      </c>
      <c r="EW65" s="231">
        <v>1579.05</v>
      </c>
      <c r="EX65" s="231">
        <v>1557.3</v>
      </c>
      <c r="EY65" s="228">
        <v>21.75</v>
      </c>
      <c r="EZ65" s="229">
        <v>1.4E-2</v>
      </c>
      <c r="FA65" s="229">
        <v>0.2152</v>
      </c>
      <c r="FB65" s="227" t="s">
        <v>568</v>
      </c>
      <c r="FC65">
        <f t="shared" si="0"/>
        <v>19</v>
      </c>
    </row>
    <row r="66" spans="1:159" ht="17.25" thickBot="1" x14ac:dyDescent="0.3">
      <c r="A66" s="226">
        <v>46029</v>
      </c>
      <c r="B66" s="227" t="s">
        <v>193</v>
      </c>
      <c r="C66" s="227" t="s">
        <v>213</v>
      </c>
      <c r="D66" s="228">
        <v>3150</v>
      </c>
      <c r="E66" s="228">
        <v>20</v>
      </c>
      <c r="F66" s="228">
        <v>169.05</v>
      </c>
      <c r="G66" s="228">
        <v>170.07</v>
      </c>
      <c r="H66" s="228">
        <v>-1.02</v>
      </c>
      <c r="I66" s="229">
        <v>-6.0000000000000001E-3</v>
      </c>
      <c r="J66" s="228">
        <v>168.48</v>
      </c>
      <c r="K66" s="228">
        <v>169.39</v>
      </c>
      <c r="L66" s="228">
        <v>-0.91</v>
      </c>
      <c r="M66" s="229">
        <v>-5.4000000000000003E-3</v>
      </c>
      <c r="N66" s="228">
        <v>169.05</v>
      </c>
      <c r="O66" s="228">
        <v>170.07</v>
      </c>
      <c r="P66" s="228">
        <v>-1.02</v>
      </c>
      <c r="Q66" s="229">
        <v>-6.0000000000000001E-3</v>
      </c>
      <c r="R66" s="228">
        <v>170.05</v>
      </c>
      <c r="S66" s="228">
        <v>171.13</v>
      </c>
      <c r="T66" s="228">
        <v>-1.08</v>
      </c>
      <c r="U66" s="229">
        <v>-6.3E-3</v>
      </c>
      <c r="V66" s="228">
        <v>170.93</v>
      </c>
      <c r="W66" s="228">
        <v>172.12</v>
      </c>
      <c r="X66" s="228">
        <v>-1.19</v>
      </c>
      <c r="Y66" s="229">
        <v>-6.8999999999999999E-3</v>
      </c>
      <c r="Z66" s="228">
        <v>0.56999999999999995</v>
      </c>
      <c r="AA66" s="228">
        <v>0.68</v>
      </c>
      <c r="AB66" s="228">
        <v>-0.11</v>
      </c>
      <c r="AC66" s="229">
        <v>3.3999999999999998E-3</v>
      </c>
      <c r="AD66" s="228">
        <v>0.56999999999999995</v>
      </c>
      <c r="AE66" s="228">
        <v>0.68</v>
      </c>
      <c r="AF66" s="228">
        <v>-0.11</v>
      </c>
      <c r="AG66" s="229">
        <v>3.3999999999999998E-3</v>
      </c>
      <c r="AH66" s="228">
        <v>1.57</v>
      </c>
      <c r="AI66" s="228">
        <v>1.74</v>
      </c>
      <c r="AJ66" s="228">
        <v>-0.17</v>
      </c>
      <c r="AK66" s="229">
        <v>9.2999999999999992E-3</v>
      </c>
      <c r="AL66" s="228">
        <v>2.4500000000000002</v>
      </c>
      <c r="AM66" s="228">
        <v>2.73</v>
      </c>
      <c r="AN66" s="228">
        <v>-0.28000000000000003</v>
      </c>
      <c r="AO66" s="229">
        <v>1.4500000000000001E-2</v>
      </c>
      <c r="AP66" s="228">
        <v>169.01</v>
      </c>
      <c r="AQ66" s="228">
        <v>169.88</v>
      </c>
      <c r="AR66" s="228">
        <v>0</v>
      </c>
      <c r="AS66" s="228">
        <v>211</v>
      </c>
      <c r="AT66" s="228">
        <v>241</v>
      </c>
      <c r="AU66" s="228">
        <v>-30</v>
      </c>
      <c r="AV66" s="229">
        <v>-0.1244</v>
      </c>
      <c r="AW66" s="228">
        <v>185</v>
      </c>
      <c r="AX66" s="228">
        <v>217</v>
      </c>
      <c r="AY66" s="228">
        <v>-32</v>
      </c>
      <c r="AZ66" s="229">
        <v>-0.14530000000000001</v>
      </c>
      <c r="BA66" s="228">
        <v>21</v>
      </c>
      <c r="BB66" s="228">
        <v>20</v>
      </c>
      <c r="BC66" s="228">
        <v>1</v>
      </c>
      <c r="BD66" s="229">
        <v>2.6200000000000001E-2</v>
      </c>
      <c r="BE66" s="228">
        <v>5</v>
      </c>
      <c r="BF66" s="228">
        <v>4</v>
      </c>
      <c r="BG66" s="228">
        <v>1</v>
      </c>
      <c r="BH66" s="229">
        <v>0.27139999999999997</v>
      </c>
      <c r="BI66" s="228">
        <v>441</v>
      </c>
      <c r="BJ66" s="228">
        <v>435</v>
      </c>
      <c r="BK66" s="228">
        <v>7</v>
      </c>
      <c r="BL66" s="229">
        <v>1.5299999999999999E-2</v>
      </c>
      <c r="BM66" s="228">
        <v>243</v>
      </c>
      <c r="BN66" s="228">
        <v>244</v>
      </c>
      <c r="BO66" s="228">
        <v>-1</v>
      </c>
      <c r="BP66" s="229">
        <v>-4.4000000000000003E-3</v>
      </c>
      <c r="BQ66" s="228">
        <v>895</v>
      </c>
      <c r="BR66" s="228">
        <v>920</v>
      </c>
      <c r="BS66" s="228">
        <v>-24</v>
      </c>
      <c r="BT66" s="229">
        <v>-2.6499999999999999E-2</v>
      </c>
      <c r="BU66" s="230">
        <v>8830104</v>
      </c>
      <c r="BV66" s="230">
        <v>10919565</v>
      </c>
      <c r="BW66" s="230">
        <v>-2089461</v>
      </c>
      <c r="BX66" s="229">
        <v>-0.19139999999999999</v>
      </c>
      <c r="BY66" s="230">
        <v>1533</v>
      </c>
      <c r="BZ66" s="230">
        <v>1475</v>
      </c>
      <c r="CA66" s="228">
        <v>58</v>
      </c>
      <c r="CB66" s="229">
        <v>3.9199999999999999E-2</v>
      </c>
      <c r="CC66" s="230">
        <v>1448</v>
      </c>
      <c r="CD66" s="230">
        <v>1405</v>
      </c>
      <c r="CE66" s="228">
        <v>43</v>
      </c>
      <c r="CF66" s="229">
        <v>3.0499999999999999E-2</v>
      </c>
      <c r="CG66" s="228">
        <v>76</v>
      </c>
      <c r="CH66" s="228">
        <v>64</v>
      </c>
      <c r="CI66" s="228">
        <v>12</v>
      </c>
      <c r="CJ66" s="229">
        <v>0.18540000000000001</v>
      </c>
      <c r="CK66" s="228">
        <v>9</v>
      </c>
      <c r="CL66" s="228">
        <v>6</v>
      </c>
      <c r="CM66" s="228">
        <v>3</v>
      </c>
      <c r="CN66" s="229">
        <v>0.53769999999999996</v>
      </c>
      <c r="CO66" s="228">
        <v>626</v>
      </c>
      <c r="CP66" s="228">
        <v>577</v>
      </c>
      <c r="CQ66" s="228">
        <v>49</v>
      </c>
      <c r="CR66" s="229">
        <v>8.5500000000000007E-2</v>
      </c>
      <c r="CS66" s="228">
        <v>543</v>
      </c>
      <c r="CT66" s="228">
        <v>513</v>
      </c>
      <c r="CU66" s="228">
        <v>30</v>
      </c>
      <c r="CV66" s="229">
        <v>5.9400000000000001E-2</v>
      </c>
      <c r="CW66" s="230">
        <v>2702</v>
      </c>
      <c r="CX66" s="230">
        <v>2565</v>
      </c>
      <c r="CY66" s="228">
        <v>138</v>
      </c>
      <c r="CZ66" s="229">
        <v>5.3699999999999998E-2</v>
      </c>
      <c r="DA66" s="228">
        <v>23.38</v>
      </c>
      <c r="DB66" s="228">
        <v>23</v>
      </c>
      <c r="DC66" s="228">
        <v>0.38</v>
      </c>
      <c r="DD66" s="228">
        <v>0.38</v>
      </c>
      <c r="DE66" s="228">
        <v>33.75</v>
      </c>
      <c r="DF66" s="228">
        <v>33.83</v>
      </c>
      <c r="DG66" s="228">
        <v>-10.37</v>
      </c>
      <c r="DH66" s="228">
        <v>-0.08</v>
      </c>
      <c r="DI66" s="228">
        <v>23.53</v>
      </c>
      <c r="DJ66" s="228">
        <v>23.07</v>
      </c>
      <c r="DK66" s="228">
        <v>0.46</v>
      </c>
      <c r="DL66" s="228">
        <v>0.46</v>
      </c>
      <c r="DM66" s="228">
        <v>23.09</v>
      </c>
      <c r="DN66" s="228">
        <v>22.87</v>
      </c>
      <c r="DO66" s="228">
        <v>0.22</v>
      </c>
      <c r="DP66" s="228">
        <v>0.22</v>
      </c>
      <c r="DQ66" s="228">
        <v>0.87</v>
      </c>
      <c r="DR66" s="228">
        <v>0.89</v>
      </c>
      <c r="DS66" s="228">
        <v>-0.02</v>
      </c>
      <c r="DT66" s="229">
        <v>-2.2499999999999999E-2</v>
      </c>
      <c r="DU66" s="228">
        <v>175</v>
      </c>
      <c r="DV66" s="228">
        <v>170</v>
      </c>
      <c r="DW66" s="228">
        <v>0.55000000000000004</v>
      </c>
      <c r="DX66" s="228">
        <v>0.56000000000000005</v>
      </c>
      <c r="DY66" s="228">
        <v>-0.01</v>
      </c>
      <c r="DZ66" s="229">
        <v>-1.7899999999999999E-2</v>
      </c>
      <c r="EA66" s="229">
        <v>5.5199999999999999E-2</v>
      </c>
      <c r="EB66" s="230">
        <v>4123350</v>
      </c>
      <c r="EC66" s="229">
        <v>5.8999999999999999E-3</v>
      </c>
      <c r="ED66" s="229">
        <v>5.5199999999999999E-2</v>
      </c>
      <c r="EE66" s="228">
        <v>0.87</v>
      </c>
      <c r="EF66" s="229">
        <v>5.1000000000000004E-3</v>
      </c>
      <c r="EG66" s="230">
        <v>5119557</v>
      </c>
      <c r="EH66" s="230">
        <v>6835230</v>
      </c>
      <c r="EI66" s="229">
        <v>-0.251</v>
      </c>
      <c r="EJ66" s="229">
        <v>0.57979999999999998</v>
      </c>
      <c r="EK66" s="228">
        <v>461.86</v>
      </c>
      <c r="EL66" s="228">
        <v>242.71</v>
      </c>
      <c r="EM66" s="228">
        <v>211.15</v>
      </c>
      <c r="EN66" s="228">
        <v>35.19</v>
      </c>
      <c r="EO66" s="228">
        <v>915.72</v>
      </c>
      <c r="EP66" s="228">
        <v>951.87</v>
      </c>
      <c r="EQ66" s="228">
        <v>-36.15</v>
      </c>
      <c r="ER66" s="229">
        <v>-3.7999999999999999E-2</v>
      </c>
      <c r="ES66" s="228">
        <v>662.43</v>
      </c>
      <c r="ET66" s="228">
        <v>557.20000000000005</v>
      </c>
      <c r="EU66" s="231">
        <v>1533.26</v>
      </c>
      <c r="EV66" s="231">
        <v>435694919</v>
      </c>
      <c r="EW66" s="231">
        <v>2752.89</v>
      </c>
      <c r="EX66" s="231">
        <v>2624.38</v>
      </c>
      <c r="EY66" s="228">
        <v>128.51</v>
      </c>
      <c r="EZ66" s="229">
        <v>4.9000000000000002E-2</v>
      </c>
      <c r="FA66" s="229">
        <v>0.3669</v>
      </c>
      <c r="FB66" s="227" t="s">
        <v>567</v>
      </c>
      <c r="FC66">
        <f t="shared" si="0"/>
        <v>85</v>
      </c>
    </row>
    <row r="67" spans="1:159" ht="17.25" thickBot="1" x14ac:dyDescent="0.3">
      <c r="A67" s="226">
        <v>46029</v>
      </c>
      <c r="B67" s="227" t="s">
        <v>170</v>
      </c>
      <c r="C67" s="227" t="s">
        <v>214</v>
      </c>
      <c r="D67" s="228">
        <v>375</v>
      </c>
      <c r="E67" s="228">
        <v>20</v>
      </c>
      <c r="F67" s="231">
        <v>2122.5</v>
      </c>
      <c r="G67" s="231">
        <v>2085.5</v>
      </c>
      <c r="H67" s="228">
        <v>37</v>
      </c>
      <c r="I67" s="229">
        <v>1.77E-2</v>
      </c>
      <c r="J67" s="231">
        <v>2113.1</v>
      </c>
      <c r="K67" s="231">
        <v>2074.6</v>
      </c>
      <c r="L67" s="228">
        <v>38.5</v>
      </c>
      <c r="M67" s="229">
        <v>1.8599999999999998E-2</v>
      </c>
      <c r="N67" s="231">
        <v>2122.5</v>
      </c>
      <c r="O67" s="231">
        <v>2085.5</v>
      </c>
      <c r="P67" s="228">
        <v>37</v>
      </c>
      <c r="Q67" s="229">
        <v>1.77E-2</v>
      </c>
      <c r="R67" s="231">
        <v>2134.1</v>
      </c>
      <c r="S67" s="231">
        <v>2095.9</v>
      </c>
      <c r="T67" s="228">
        <v>38.200000000000003</v>
      </c>
      <c r="U67" s="229">
        <v>1.8200000000000001E-2</v>
      </c>
      <c r="V67" s="231">
        <v>2149.1</v>
      </c>
      <c r="W67" s="231">
        <v>2102.1999999999998</v>
      </c>
      <c r="X67" s="228">
        <v>46.9</v>
      </c>
      <c r="Y67" s="229">
        <v>2.23E-2</v>
      </c>
      <c r="Z67" s="228">
        <v>9.4</v>
      </c>
      <c r="AA67" s="228">
        <v>10.9</v>
      </c>
      <c r="AB67" s="228">
        <v>-1.5</v>
      </c>
      <c r="AC67" s="229">
        <v>4.4000000000000003E-3</v>
      </c>
      <c r="AD67" s="228">
        <v>9.4</v>
      </c>
      <c r="AE67" s="228">
        <v>10.9</v>
      </c>
      <c r="AF67" s="228">
        <v>-1.5</v>
      </c>
      <c r="AG67" s="229">
        <v>4.4000000000000003E-3</v>
      </c>
      <c r="AH67" s="228">
        <v>21</v>
      </c>
      <c r="AI67" s="228">
        <v>21.3</v>
      </c>
      <c r="AJ67" s="228">
        <v>-0.3</v>
      </c>
      <c r="AK67" s="229">
        <v>9.9000000000000008E-3</v>
      </c>
      <c r="AL67" s="228">
        <v>36</v>
      </c>
      <c r="AM67" s="228">
        <v>27.6</v>
      </c>
      <c r="AN67" s="228">
        <v>8.4</v>
      </c>
      <c r="AO67" s="229">
        <v>1.7000000000000001E-2</v>
      </c>
      <c r="AP67" s="231">
        <v>2129.21</v>
      </c>
      <c r="AQ67" s="231">
        <v>2138.37</v>
      </c>
      <c r="AR67" s="228">
        <v>0</v>
      </c>
      <c r="AS67" s="228">
        <v>880</v>
      </c>
      <c r="AT67" s="228">
        <v>278</v>
      </c>
      <c r="AU67" s="228">
        <v>601</v>
      </c>
      <c r="AV67" s="229">
        <v>2.1598000000000002</v>
      </c>
      <c r="AW67" s="228">
        <v>860</v>
      </c>
      <c r="AX67" s="228">
        <v>272</v>
      </c>
      <c r="AY67" s="228">
        <v>588</v>
      </c>
      <c r="AZ67" s="229">
        <v>2.1589999999999998</v>
      </c>
      <c r="BA67" s="228">
        <v>17</v>
      </c>
      <c r="BB67" s="228">
        <v>6</v>
      </c>
      <c r="BC67" s="228">
        <v>11</v>
      </c>
      <c r="BD67" s="229">
        <v>2.0141</v>
      </c>
      <c r="BE67" s="228">
        <v>3</v>
      </c>
      <c r="BF67" s="228">
        <v>1</v>
      </c>
      <c r="BG67" s="228">
        <v>2</v>
      </c>
      <c r="BH67" s="229">
        <v>4</v>
      </c>
      <c r="BI67" s="230">
        <v>3543</v>
      </c>
      <c r="BJ67" s="228">
        <v>579</v>
      </c>
      <c r="BK67" s="230">
        <v>2964</v>
      </c>
      <c r="BL67" s="229">
        <v>5.1177999999999999</v>
      </c>
      <c r="BM67" s="230">
        <v>1163</v>
      </c>
      <c r="BN67" s="228">
        <v>256</v>
      </c>
      <c r="BO67" s="228">
        <v>907</v>
      </c>
      <c r="BP67" s="229">
        <v>3.5449000000000002</v>
      </c>
      <c r="BQ67" s="230">
        <v>5586</v>
      </c>
      <c r="BR67" s="230">
        <v>1114</v>
      </c>
      <c r="BS67" s="230">
        <v>4472</v>
      </c>
      <c r="BT67" s="229">
        <v>4.0164999999999997</v>
      </c>
      <c r="BU67" s="230">
        <v>1308768</v>
      </c>
      <c r="BV67" s="230">
        <v>228808</v>
      </c>
      <c r="BW67" s="230">
        <v>1079960</v>
      </c>
      <c r="BX67" s="229">
        <v>4.7199</v>
      </c>
      <c r="BY67" s="230">
        <v>2403</v>
      </c>
      <c r="BZ67" s="230">
        <v>2430</v>
      </c>
      <c r="CA67" s="228">
        <v>-28</v>
      </c>
      <c r="CB67" s="229">
        <v>-1.1299999999999999E-2</v>
      </c>
      <c r="CC67" s="230">
        <v>2390</v>
      </c>
      <c r="CD67" s="230">
        <v>2418</v>
      </c>
      <c r="CE67" s="228">
        <v>-28</v>
      </c>
      <c r="CF67" s="229">
        <v>-1.18E-2</v>
      </c>
      <c r="CG67" s="228">
        <v>10</v>
      </c>
      <c r="CH67" s="228">
        <v>10</v>
      </c>
      <c r="CI67" s="228">
        <v>0</v>
      </c>
      <c r="CJ67" s="229">
        <v>2.3400000000000001E-2</v>
      </c>
      <c r="CK67" s="228">
        <v>2</v>
      </c>
      <c r="CL67" s="228">
        <v>2</v>
      </c>
      <c r="CM67" s="228">
        <v>1</v>
      </c>
      <c r="CN67" s="229">
        <v>0.40910000000000002</v>
      </c>
      <c r="CO67" s="228">
        <v>673</v>
      </c>
      <c r="CP67" s="228">
        <v>504</v>
      </c>
      <c r="CQ67" s="228">
        <v>170</v>
      </c>
      <c r="CR67" s="229">
        <v>0.3367</v>
      </c>
      <c r="CS67" s="228">
        <v>351</v>
      </c>
      <c r="CT67" s="228">
        <v>286</v>
      </c>
      <c r="CU67" s="228">
        <v>66</v>
      </c>
      <c r="CV67" s="229">
        <v>0.23050000000000001</v>
      </c>
      <c r="CW67" s="230">
        <v>3427</v>
      </c>
      <c r="CX67" s="230">
        <v>3220</v>
      </c>
      <c r="CY67" s="228">
        <v>208</v>
      </c>
      <c r="CZ67" s="229">
        <v>6.4600000000000005E-2</v>
      </c>
      <c r="DA67" s="228">
        <v>26.4</v>
      </c>
      <c r="DB67" s="228">
        <v>25.25</v>
      </c>
      <c r="DC67" s="228">
        <v>1.1499999999999999</v>
      </c>
      <c r="DD67" s="228">
        <v>1.1499999999999999</v>
      </c>
      <c r="DE67" s="228">
        <v>35.299999999999997</v>
      </c>
      <c r="DF67" s="228">
        <v>35.31</v>
      </c>
      <c r="DG67" s="228">
        <v>-8.9</v>
      </c>
      <c r="DH67" s="228">
        <v>-0.01</v>
      </c>
      <c r="DI67" s="228">
        <v>26.46</v>
      </c>
      <c r="DJ67" s="228">
        <v>25.11</v>
      </c>
      <c r="DK67" s="228">
        <v>1.35</v>
      </c>
      <c r="DL67" s="228">
        <v>1.35</v>
      </c>
      <c r="DM67" s="228">
        <v>26.2</v>
      </c>
      <c r="DN67" s="228">
        <v>25.56</v>
      </c>
      <c r="DO67" s="228">
        <v>0.64</v>
      </c>
      <c r="DP67" s="228">
        <v>0.64</v>
      </c>
      <c r="DQ67" s="228">
        <v>0.52</v>
      </c>
      <c r="DR67" s="228">
        <v>0.56999999999999995</v>
      </c>
      <c r="DS67" s="228">
        <v>-0.05</v>
      </c>
      <c r="DT67" s="229">
        <v>-8.77E-2</v>
      </c>
      <c r="DU67" s="231">
        <v>2200</v>
      </c>
      <c r="DV67" s="231">
        <v>2000</v>
      </c>
      <c r="DW67" s="228">
        <v>0.33</v>
      </c>
      <c r="DX67" s="228">
        <v>0.44</v>
      </c>
      <c r="DY67" s="228">
        <v>-0.11</v>
      </c>
      <c r="DZ67" s="229">
        <v>-0.25</v>
      </c>
      <c r="EA67" s="229">
        <v>5.4000000000000003E-3</v>
      </c>
      <c r="EB67" s="230">
        <v>56250</v>
      </c>
      <c r="EC67" s="229">
        <v>5.4999999999999997E-3</v>
      </c>
      <c r="ED67" s="229">
        <v>5.4000000000000003E-3</v>
      </c>
      <c r="EE67" s="228">
        <v>9.16</v>
      </c>
      <c r="EF67" s="229">
        <v>4.3E-3</v>
      </c>
      <c r="EG67" s="230">
        <v>386848</v>
      </c>
      <c r="EH67" s="230">
        <v>95055</v>
      </c>
      <c r="EI67" s="229">
        <v>3.0697000000000001</v>
      </c>
      <c r="EJ67" s="229">
        <v>0.29559999999999997</v>
      </c>
      <c r="EK67" s="231">
        <v>3673.17</v>
      </c>
      <c r="EL67" s="231">
        <v>1138.96</v>
      </c>
      <c r="EM67" s="228">
        <v>882.87</v>
      </c>
      <c r="EN67" s="228">
        <v>31.2</v>
      </c>
      <c r="EO67" s="231">
        <v>5695</v>
      </c>
      <c r="EP67" s="231">
        <v>1105.1099999999999</v>
      </c>
      <c r="EQ67" s="231">
        <v>4589.8900000000003</v>
      </c>
      <c r="ER67" s="229">
        <v>4.1532999999999998</v>
      </c>
      <c r="ES67" s="228">
        <v>682.54</v>
      </c>
      <c r="ET67" s="228">
        <v>328.62</v>
      </c>
      <c r="EU67" s="231">
        <v>2402.7800000000002</v>
      </c>
      <c r="EV67" s="231">
        <v>22585180</v>
      </c>
      <c r="EW67" s="231">
        <v>3413.95</v>
      </c>
      <c r="EX67" s="231">
        <v>3154.4</v>
      </c>
      <c r="EY67" s="228">
        <v>259.55</v>
      </c>
      <c r="EZ67" s="229">
        <v>8.2299999999999998E-2</v>
      </c>
      <c r="FA67" s="229">
        <v>0.71499999999999997</v>
      </c>
      <c r="FB67" s="227" t="s">
        <v>556</v>
      </c>
      <c r="FC67">
        <f t="shared" ref="FC67:FC130" si="1">BY67-CC67</f>
        <v>13</v>
      </c>
    </row>
    <row r="68" spans="1:159" ht="17.25" thickBot="1" x14ac:dyDescent="0.3">
      <c r="A68" s="226">
        <v>46029</v>
      </c>
      <c r="B68" s="227" t="s">
        <v>215</v>
      </c>
      <c r="C68" s="227" t="s">
        <v>631</v>
      </c>
      <c r="D68" s="228">
        <v>6975</v>
      </c>
      <c r="E68" s="228">
        <v>20</v>
      </c>
      <c r="F68" s="228">
        <v>105.03</v>
      </c>
      <c r="G68" s="228">
        <v>105</v>
      </c>
      <c r="H68" s="228">
        <v>0.03</v>
      </c>
      <c r="I68" s="229">
        <v>2.9999999999999997E-4</v>
      </c>
      <c r="J68" s="228">
        <v>104.51</v>
      </c>
      <c r="K68" s="228">
        <v>104.52</v>
      </c>
      <c r="L68" s="228">
        <v>-0.01</v>
      </c>
      <c r="M68" s="229">
        <v>-1E-4</v>
      </c>
      <c r="N68" s="228">
        <v>105.03</v>
      </c>
      <c r="O68" s="228">
        <v>105</v>
      </c>
      <c r="P68" s="228">
        <v>0.03</v>
      </c>
      <c r="Q68" s="229">
        <v>2.9999999999999997E-4</v>
      </c>
      <c r="R68" s="228">
        <v>105.67</v>
      </c>
      <c r="S68" s="228">
        <v>105.58</v>
      </c>
      <c r="T68" s="228">
        <v>0.09</v>
      </c>
      <c r="U68" s="229">
        <v>8.9999999999999998E-4</v>
      </c>
      <c r="V68" s="228">
        <v>106.6</v>
      </c>
      <c r="W68" s="228">
        <v>106.22</v>
      </c>
      <c r="X68" s="228">
        <v>0.38</v>
      </c>
      <c r="Y68" s="229">
        <v>3.5999999999999999E-3</v>
      </c>
      <c r="Z68" s="228">
        <v>0.52</v>
      </c>
      <c r="AA68" s="228">
        <v>0.48</v>
      </c>
      <c r="AB68" s="228">
        <v>0.04</v>
      </c>
      <c r="AC68" s="229">
        <v>5.0000000000000001E-3</v>
      </c>
      <c r="AD68" s="228">
        <v>0.52</v>
      </c>
      <c r="AE68" s="228">
        <v>0.48</v>
      </c>
      <c r="AF68" s="228">
        <v>0.04</v>
      </c>
      <c r="AG68" s="229">
        <v>5.0000000000000001E-3</v>
      </c>
      <c r="AH68" s="228">
        <v>1.1599999999999999</v>
      </c>
      <c r="AI68" s="228">
        <v>1.06</v>
      </c>
      <c r="AJ68" s="228">
        <v>0.1</v>
      </c>
      <c r="AK68" s="229">
        <v>1.11E-2</v>
      </c>
      <c r="AL68" s="228">
        <v>2.09</v>
      </c>
      <c r="AM68" s="228">
        <v>1.7</v>
      </c>
      <c r="AN68" s="228">
        <v>0.39</v>
      </c>
      <c r="AO68" s="229">
        <v>0.02</v>
      </c>
      <c r="AP68" s="228">
        <v>104.91</v>
      </c>
      <c r="AQ68" s="228">
        <v>105.45</v>
      </c>
      <c r="AR68" s="228">
        <v>0</v>
      </c>
      <c r="AS68" s="228">
        <v>274</v>
      </c>
      <c r="AT68" s="228">
        <v>262</v>
      </c>
      <c r="AU68" s="228">
        <v>13</v>
      </c>
      <c r="AV68" s="229">
        <v>4.87E-2</v>
      </c>
      <c r="AW68" s="228">
        <v>261</v>
      </c>
      <c r="AX68" s="228">
        <v>245</v>
      </c>
      <c r="AY68" s="228">
        <v>16</v>
      </c>
      <c r="AZ68" s="229">
        <v>6.3700000000000007E-2</v>
      </c>
      <c r="BA68" s="228">
        <v>13</v>
      </c>
      <c r="BB68" s="228">
        <v>16</v>
      </c>
      <c r="BC68" s="228">
        <v>-3</v>
      </c>
      <c r="BD68" s="229">
        <v>-0.16900000000000001</v>
      </c>
      <c r="BE68" s="228">
        <v>1</v>
      </c>
      <c r="BF68" s="228">
        <v>1</v>
      </c>
      <c r="BG68" s="228">
        <v>0</v>
      </c>
      <c r="BH68" s="229">
        <v>-0.21429999999999999</v>
      </c>
      <c r="BI68" s="228">
        <v>572</v>
      </c>
      <c r="BJ68" s="228">
        <v>545</v>
      </c>
      <c r="BK68" s="228">
        <v>27</v>
      </c>
      <c r="BL68" s="229">
        <v>5.0299999999999997E-2</v>
      </c>
      <c r="BM68" s="228">
        <v>162</v>
      </c>
      <c r="BN68" s="228">
        <v>189</v>
      </c>
      <c r="BO68" s="228">
        <v>-27</v>
      </c>
      <c r="BP68" s="229">
        <v>-0.14349999999999999</v>
      </c>
      <c r="BQ68" s="230">
        <v>1009</v>
      </c>
      <c r="BR68" s="228">
        <v>996</v>
      </c>
      <c r="BS68" s="228">
        <v>13</v>
      </c>
      <c r="BT68" s="229">
        <v>1.3100000000000001E-2</v>
      </c>
      <c r="BU68" s="230">
        <v>11690565</v>
      </c>
      <c r="BV68" s="230">
        <v>5695438</v>
      </c>
      <c r="BW68" s="230">
        <v>5995127</v>
      </c>
      <c r="BX68" s="229">
        <v>1.0526</v>
      </c>
      <c r="BY68" s="230">
        <v>1808</v>
      </c>
      <c r="BZ68" s="230">
        <v>1781</v>
      </c>
      <c r="CA68" s="228">
        <v>27</v>
      </c>
      <c r="CB68" s="229">
        <v>1.52E-2</v>
      </c>
      <c r="CC68" s="230">
        <v>1755</v>
      </c>
      <c r="CD68" s="230">
        <v>1732</v>
      </c>
      <c r="CE68" s="228">
        <v>23</v>
      </c>
      <c r="CF68" s="229">
        <v>1.34E-2</v>
      </c>
      <c r="CG68" s="228">
        <v>47</v>
      </c>
      <c r="CH68" s="228">
        <v>44</v>
      </c>
      <c r="CI68" s="228">
        <v>3</v>
      </c>
      <c r="CJ68" s="229">
        <v>7.1999999999999995E-2</v>
      </c>
      <c r="CK68" s="228">
        <v>6</v>
      </c>
      <c r="CL68" s="228">
        <v>5</v>
      </c>
      <c r="CM68" s="228">
        <v>1</v>
      </c>
      <c r="CN68" s="229">
        <v>0.13239999999999999</v>
      </c>
      <c r="CO68" s="228">
        <v>999</v>
      </c>
      <c r="CP68" s="228">
        <v>945</v>
      </c>
      <c r="CQ68" s="228">
        <v>55</v>
      </c>
      <c r="CR68" s="229">
        <v>5.79E-2</v>
      </c>
      <c r="CS68" s="228">
        <v>562</v>
      </c>
      <c r="CT68" s="228">
        <v>542</v>
      </c>
      <c r="CU68" s="228">
        <v>20</v>
      </c>
      <c r="CV68" s="229">
        <v>3.6900000000000002E-2</v>
      </c>
      <c r="CW68" s="230">
        <v>3369</v>
      </c>
      <c r="CX68" s="230">
        <v>3267</v>
      </c>
      <c r="CY68" s="228">
        <v>102</v>
      </c>
      <c r="CZ68" s="229">
        <v>3.1099999999999999E-2</v>
      </c>
      <c r="DA68" s="228">
        <v>29.98</v>
      </c>
      <c r="DB68" s="228">
        <v>29.85</v>
      </c>
      <c r="DC68" s="228">
        <v>0.13</v>
      </c>
      <c r="DD68" s="228">
        <v>0.13</v>
      </c>
      <c r="DE68" s="228">
        <v>36.32</v>
      </c>
      <c r="DF68" s="228">
        <v>36.409999999999997</v>
      </c>
      <c r="DG68" s="228">
        <v>-6.34</v>
      </c>
      <c r="DH68" s="228">
        <v>-0.09</v>
      </c>
      <c r="DI68" s="228">
        <v>30.25</v>
      </c>
      <c r="DJ68" s="228">
        <v>30.05</v>
      </c>
      <c r="DK68" s="228">
        <v>0.2</v>
      </c>
      <c r="DL68" s="228">
        <v>0.2</v>
      </c>
      <c r="DM68" s="228">
        <v>29.05</v>
      </c>
      <c r="DN68" s="228">
        <v>29.28</v>
      </c>
      <c r="DO68" s="228">
        <v>-0.23</v>
      </c>
      <c r="DP68" s="228">
        <v>-0.23</v>
      </c>
      <c r="DQ68" s="228">
        <v>0.56000000000000005</v>
      </c>
      <c r="DR68" s="228">
        <v>0.56999999999999995</v>
      </c>
      <c r="DS68" s="228">
        <v>-0.01</v>
      </c>
      <c r="DT68" s="229">
        <v>-1.7500000000000002E-2</v>
      </c>
      <c r="DU68" s="228">
        <v>110</v>
      </c>
      <c r="DV68" s="228">
        <v>98</v>
      </c>
      <c r="DW68" s="228">
        <v>0.28000000000000003</v>
      </c>
      <c r="DX68" s="228">
        <v>0.35</v>
      </c>
      <c r="DY68" s="228">
        <v>-7.0000000000000007E-2</v>
      </c>
      <c r="DZ68" s="229">
        <v>-0.2</v>
      </c>
      <c r="EA68" s="229">
        <v>2.9100000000000001E-2</v>
      </c>
      <c r="EB68" s="230">
        <v>4638375</v>
      </c>
      <c r="EC68" s="229">
        <v>6.1000000000000004E-3</v>
      </c>
      <c r="ED68" s="229">
        <v>2.9100000000000001E-2</v>
      </c>
      <c r="EE68" s="228">
        <v>0.54</v>
      </c>
      <c r="EF68" s="229">
        <v>5.1000000000000004E-3</v>
      </c>
      <c r="EG68" s="230">
        <v>6170933</v>
      </c>
      <c r="EH68" s="230">
        <v>2671950</v>
      </c>
      <c r="EI68" s="229">
        <v>1.3095000000000001</v>
      </c>
      <c r="EJ68" s="229">
        <v>0.52790000000000004</v>
      </c>
      <c r="EK68" s="228">
        <v>598.36</v>
      </c>
      <c r="EL68" s="228">
        <v>160.46</v>
      </c>
      <c r="EM68" s="228">
        <v>274.18</v>
      </c>
      <c r="EN68" s="228">
        <v>36.51</v>
      </c>
      <c r="EO68" s="231">
        <v>1033</v>
      </c>
      <c r="EP68" s="231">
        <v>1020.21</v>
      </c>
      <c r="EQ68" s="228">
        <v>12.79</v>
      </c>
      <c r="ER68" s="229">
        <v>1.2500000000000001E-2</v>
      </c>
      <c r="ES68" s="231">
        <v>1035.3800000000001</v>
      </c>
      <c r="ET68" s="228">
        <v>536.91999999999996</v>
      </c>
      <c r="EU68" s="231">
        <v>1807.95</v>
      </c>
      <c r="EV68" s="231">
        <v>534704421</v>
      </c>
      <c r="EW68" s="231">
        <v>3380.25</v>
      </c>
      <c r="EX68" s="231">
        <v>3276.15</v>
      </c>
      <c r="EY68" s="228">
        <v>104.1</v>
      </c>
      <c r="EZ68" s="229">
        <v>3.1800000000000002E-2</v>
      </c>
      <c r="FA68" s="229">
        <v>0.59989999999999999</v>
      </c>
      <c r="FB68" s="227" t="s">
        <v>555</v>
      </c>
      <c r="FC68">
        <f t="shared" si="1"/>
        <v>53</v>
      </c>
    </row>
    <row r="69" spans="1:159" ht="17.25" thickBot="1" x14ac:dyDescent="0.3">
      <c r="A69" s="226">
        <v>46029</v>
      </c>
      <c r="B69" s="227" t="s">
        <v>168</v>
      </c>
      <c r="C69" s="227" t="s">
        <v>217</v>
      </c>
      <c r="D69" s="228">
        <v>500</v>
      </c>
      <c r="E69" s="228">
        <v>20</v>
      </c>
      <c r="F69" s="231">
        <v>1250.5999999999999</v>
      </c>
      <c r="G69" s="231">
        <v>1260.2</v>
      </c>
      <c r="H69" s="228">
        <v>-9.6</v>
      </c>
      <c r="I69" s="229">
        <v>-7.6E-3</v>
      </c>
      <c r="J69" s="231">
        <v>1247.7</v>
      </c>
      <c r="K69" s="231">
        <v>1254</v>
      </c>
      <c r="L69" s="228">
        <v>-6.3</v>
      </c>
      <c r="M69" s="229">
        <v>-5.0000000000000001E-3</v>
      </c>
      <c r="N69" s="231">
        <v>1250.5999999999999</v>
      </c>
      <c r="O69" s="231">
        <v>1260.2</v>
      </c>
      <c r="P69" s="228">
        <v>-9.6</v>
      </c>
      <c r="Q69" s="229">
        <v>-7.6E-3</v>
      </c>
      <c r="R69" s="231">
        <v>1252.5999999999999</v>
      </c>
      <c r="S69" s="231">
        <v>1261</v>
      </c>
      <c r="T69" s="228">
        <v>-8.4</v>
      </c>
      <c r="U69" s="229">
        <v>-6.7000000000000002E-3</v>
      </c>
      <c r="V69" s="231">
        <v>1260.5999999999999</v>
      </c>
      <c r="W69" s="231">
        <v>1235.5999999999999</v>
      </c>
      <c r="X69" s="228">
        <v>25</v>
      </c>
      <c r="Y69" s="229">
        <v>2.0199999999999999E-2</v>
      </c>
      <c r="Z69" s="228">
        <v>2.9</v>
      </c>
      <c r="AA69" s="228">
        <v>6.2</v>
      </c>
      <c r="AB69" s="228">
        <v>-3.3</v>
      </c>
      <c r="AC69" s="229">
        <v>2.3E-3</v>
      </c>
      <c r="AD69" s="228">
        <v>2.9</v>
      </c>
      <c r="AE69" s="228">
        <v>6.2</v>
      </c>
      <c r="AF69" s="228">
        <v>-3.3</v>
      </c>
      <c r="AG69" s="229">
        <v>2.3E-3</v>
      </c>
      <c r="AH69" s="228">
        <v>4.9000000000000004</v>
      </c>
      <c r="AI69" s="228">
        <v>7</v>
      </c>
      <c r="AJ69" s="228">
        <v>-2.1</v>
      </c>
      <c r="AK69" s="229">
        <v>3.8999999999999998E-3</v>
      </c>
      <c r="AL69" s="228">
        <v>12.9</v>
      </c>
      <c r="AM69" s="228">
        <v>-18.399999999999999</v>
      </c>
      <c r="AN69" s="228">
        <v>31.3</v>
      </c>
      <c r="AO69" s="229">
        <v>1.03E-2</v>
      </c>
      <c r="AP69" s="231">
        <v>1255.75</v>
      </c>
      <c r="AQ69" s="231">
        <v>1257.79</v>
      </c>
      <c r="AR69" s="228">
        <v>0</v>
      </c>
      <c r="AS69" s="228">
        <v>399</v>
      </c>
      <c r="AT69" s="228">
        <v>144</v>
      </c>
      <c r="AU69" s="228">
        <v>255</v>
      </c>
      <c r="AV69" s="229">
        <v>1.7664</v>
      </c>
      <c r="AW69" s="228">
        <v>389</v>
      </c>
      <c r="AX69" s="228">
        <v>141</v>
      </c>
      <c r="AY69" s="228">
        <v>248</v>
      </c>
      <c r="AZ69" s="229">
        <v>1.7588999999999999</v>
      </c>
      <c r="BA69" s="228">
        <v>9</v>
      </c>
      <c r="BB69" s="228">
        <v>3</v>
      </c>
      <c r="BC69" s="228">
        <v>6</v>
      </c>
      <c r="BD69" s="229">
        <v>1.9216</v>
      </c>
      <c r="BE69" s="228">
        <v>1</v>
      </c>
      <c r="BF69" s="228">
        <v>0</v>
      </c>
      <c r="BG69" s="228">
        <v>1</v>
      </c>
      <c r="BH69" s="229">
        <v>0</v>
      </c>
      <c r="BI69" s="228">
        <v>782</v>
      </c>
      <c r="BJ69" s="228">
        <v>204</v>
      </c>
      <c r="BK69" s="228">
        <v>578</v>
      </c>
      <c r="BL69" s="229">
        <v>2.8401999999999998</v>
      </c>
      <c r="BM69" s="228">
        <v>233</v>
      </c>
      <c r="BN69" s="228">
        <v>83</v>
      </c>
      <c r="BO69" s="228">
        <v>150</v>
      </c>
      <c r="BP69" s="229">
        <v>1.8141</v>
      </c>
      <c r="BQ69" s="230">
        <v>1413</v>
      </c>
      <c r="BR69" s="228">
        <v>431</v>
      </c>
      <c r="BS69" s="228">
        <v>983</v>
      </c>
      <c r="BT69" s="229">
        <v>2.2831999999999999</v>
      </c>
      <c r="BU69" s="230">
        <v>1690128</v>
      </c>
      <c r="BV69" s="230">
        <v>615200</v>
      </c>
      <c r="BW69" s="230">
        <v>1074928</v>
      </c>
      <c r="BX69" s="229">
        <v>1.7473000000000001</v>
      </c>
      <c r="BY69" s="230">
        <v>1161</v>
      </c>
      <c r="BZ69" s="230">
        <v>1207</v>
      </c>
      <c r="CA69" s="228">
        <v>-46</v>
      </c>
      <c r="CB69" s="229">
        <v>-3.7900000000000003E-2</v>
      </c>
      <c r="CC69" s="230">
        <v>1153</v>
      </c>
      <c r="CD69" s="230">
        <v>1202</v>
      </c>
      <c r="CE69" s="228">
        <v>-49</v>
      </c>
      <c r="CF69" s="229">
        <v>-4.0399999999999998E-2</v>
      </c>
      <c r="CG69" s="228">
        <v>7</v>
      </c>
      <c r="CH69" s="228">
        <v>5</v>
      </c>
      <c r="CI69" s="228">
        <v>2</v>
      </c>
      <c r="CJ69" s="229">
        <v>0.52</v>
      </c>
      <c r="CK69" s="228">
        <v>1</v>
      </c>
      <c r="CL69" s="228">
        <v>0</v>
      </c>
      <c r="CM69" s="228">
        <v>0</v>
      </c>
      <c r="CN69" s="229">
        <v>7</v>
      </c>
      <c r="CO69" s="228">
        <v>240</v>
      </c>
      <c r="CP69" s="228">
        <v>158</v>
      </c>
      <c r="CQ69" s="228">
        <v>81</v>
      </c>
      <c r="CR69" s="229">
        <v>0.51259999999999994</v>
      </c>
      <c r="CS69" s="228">
        <v>157</v>
      </c>
      <c r="CT69" s="228">
        <v>130</v>
      </c>
      <c r="CU69" s="228">
        <v>26</v>
      </c>
      <c r="CV69" s="229">
        <v>0.20130000000000001</v>
      </c>
      <c r="CW69" s="230">
        <v>1557</v>
      </c>
      <c r="CX69" s="230">
        <v>1495</v>
      </c>
      <c r="CY69" s="228">
        <v>62</v>
      </c>
      <c r="CZ69" s="229">
        <v>4.1300000000000003E-2</v>
      </c>
      <c r="DA69" s="228">
        <v>26.65</v>
      </c>
      <c r="DB69" s="228">
        <v>26.86</v>
      </c>
      <c r="DC69" s="228">
        <v>-0.21</v>
      </c>
      <c r="DD69" s="228">
        <v>-0.21</v>
      </c>
      <c r="DE69" s="228">
        <v>28.13</v>
      </c>
      <c r="DF69" s="228">
        <v>28.2</v>
      </c>
      <c r="DG69" s="228">
        <v>-1.48</v>
      </c>
      <c r="DH69" s="228">
        <v>-7.0000000000000007E-2</v>
      </c>
      <c r="DI69" s="228">
        <v>26.61</v>
      </c>
      <c r="DJ69" s="228">
        <v>26.5</v>
      </c>
      <c r="DK69" s="228">
        <v>0.11</v>
      </c>
      <c r="DL69" s="228">
        <v>0.11</v>
      </c>
      <c r="DM69" s="228">
        <v>26.77</v>
      </c>
      <c r="DN69" s="228">
        <v>27.74</v>
      </c>
      <c r="DO69" s="228">
        <v>-0.97</v>
      </c>
      <c r="DP69" s="228">
        <v>-0.97</v>
      </c>
      <c r="DQ69" s="228">
        <v>0.65</v>
      </c>
      <c r="DR69" s="228">
        <v>0.82</v>
      </c>
      <c r="DS69" s="228">
        <v>-0.17</v>
      </c>
      <c r="DT69" s="229">
        <v>-0.20730000000000001</v>
      </c>
      <c r="DU69" s="231">
        <v>1260</v>
      </c>
      <c r="DV69" s="231">
        <v>1200</v>
      </c>
      <c r="DW69" s="228">
        <v>0.3</v>
      </c>
      <c r="DX69" s="228">
        <v>0.41</v>
      </c>
      <c r="DY69" s="228">
        <v>-0.11</v>
      </c>
      <c r="DZ69" s="229">
        <v>-0.26829999999999998</v>
      </c>
      <c r="EA69" s="229">
        <v>6.6E-3</v>
      </c>
      <c r="EB69" s="230">
        <v>38000</v>
      </c>
      <c r="EC69" s="229">
        <v>1.6000000000000001E-3</v>
      </c>
      <c r="ED69" s="229">
        <v>6.6E-3</v>
      </c>
      <c r="EE69" s="228">
        <v>2.04</v>
      </c>
      <c r="EF69" s="229">
        <v>1.6000000000000001E-3</v>
      </c>
      <c r="EG69" s="230">
        <v>859593</v>
      </c>
      <c r="EH69" s="230">
        <v>382797</v>
      </c>
      <c r="EI69" s="229">
        <v>1.2456</v>
      </c>
      <c r="EJ69" s="229">
        <v>0.50860000000000005</v>
      </c>
      <c r="EK69" s="228">
        <v>817.77</v>
      </c>
      <c r="EL69" s="228">
        <v>232</v>
      </c>
      <c r="EM69" s="228">
        <v>400.73</v>
      </c>
      <c r="EN69" s="228">
        <v>23.94</v>
      </c>
      <c r="EO69" s="231">
        <v>1450.5</v>
      </c>
      <c r="EP69" s="228">
        <v>437.03</v>
      </c>
      <c r="EQ69" s="231">
        <v>1013.47</v>
      </c>
      <c r="ER69" s="229">
        <v>2.319</v>
      </c>
      <c r="ES69" s="228">
        <v>245.69</v>
      </c>
      <c r="ET69" s="228">
        <v>149.15</v>
      </c>
      <c r="EU69" s="231">
        <v>1160.8800000000001</v>
      </c>
      <c r="EV69" s="231">
        <v>72031016</v>
      </c>
      <c r="EW69" s="231">
        <v>1555.73</v>
      </c>
      <c r="EX69" s="231">
        <v>1501.89</v>
      </c>
      <c r="EY69" s="228">
        <v>53.84</v>
      </c>
      <c r="EZ69" s="229">
        <v>3.5799999999999998E-2</v>
      </c>
      <c r="FA69" s="229">
        <v>0.1729</v>
      </c>
      <c r="FB69" s="227" t="s">
        <v>568</v>
      </c>
      <c r="FC69">
        <f t="shared" si="1"/>
        <v>8</v>
      </c>
    </row>
    <row r="70" spans="1:159" ht="17.25" thickBot="1" x14ac:dyDescent="0.3">
      <c r="A70" s="226">
        <v>46029</v>
      </c>
      <c r="B70" s="227" t="s">
        <v>206</v>
      </c>
      <c r="C70" s="227" t="s">
        <v>218</v>
      </c>
      <c r="D70" s="228">
        <v>275</v>
      </c>
      <c r="E70" s="228">
        <v>20</v>
      </c>
      <c r="F70" s="231">
        <v>2148.6999999999998</v>
      </c>
      <c r="G70" s="231">
        <v>2134.9</v>
      </c>
      <c r="H70" s="228">
        <v>13.8</v>
      </c>
      <c r="I70" s="229">
        <v>6.4999999999999997E-3</v>
      </c>
      <c r="J70" s="231">
        <v>2138.1999999999998</v>
      </c>
      <c r="K70" s="231">
        <v>2127.9</v>
      </c>
      <c r="L70" s="228">
        <v>10.3</v>
      </c>
      <c r="M70" s="229">
        <v>4.7999999999999996E-3</v>
      </c>
      <c r="N70" s="231">
        <v>2148.6999999999998</v>
      </c>
      <c r="O70" s="231">
        <v>2134.9</v>
      </c>
      <c r="P70" s="228">
        <v>13.8</v>
      </c>
      <c r="Q70" s="229">
        <v>6.4999999999999997E-3</v>
      </c>
      <c r="R70" s="231">
        <v>2160.6999999999998</v>
      </c>
      <c r="S70" s="231">
        <v>2147.4</v>
      </c>
      <c r="T70" s="228">
        <v>13.3</v>
      </c>
      <c r="U70" s="229">
        <v>6.1999999999999998E-3</v>
      </c>
      <c r="V70" s="231">
        <v>2171.8000000000002</v>
      </c>
      <c r="W70" s="231">
        <v>2155.6999999999998</v>
      </c>
      <c r="X70" s="228">
        <v>16.100000000000001</v>
      </c>
      <c r="Y70" s="229">
        <v>7.4999999999999997E-3</v>
      </c>
      <c r="Z70" s="228">
        <v>10.5</v>
      </c>
      <c r="AA70" s="228">
        <v>7</v>
      </c>
      <c r="AB70" s="228">
        <v>3.5</v>
      </c>
      <c r="AC70" s="229">
        <v>4.8999999999999998E-3</v>
      </c>
      <c r="AD70" s="228">
        <v>10.5</v>
      </c>
      <c r="AE70" s="228">
        <v>7</v>
      </c>
      <c r="AF70" s="228">
        <v>3.5</v>
      </c>
      <c r="AG70" s="229">
        <v>4.8999999999999998E-3</v>
      </c>
      <c r="AH70" s="228">
        <v>22.5</v>
      </c>
      <c r="AI70" s="228">
        <v>19.5</v>
      </c>
      <c r="AJ70" s="228">
        <v>3</v>
      </c>
      <c r="AK70" s="229">
        <v>1.0500000000000001E-2</v>
      </c>
      <c r="AL70" s="228">
        <v>33.6</v>
      </c>
      <c r="AM70" s="228">
        <v>27.8</v>
      </c>
      <c r="AN70" s="228">
        <v>5.8</v>
      </c>
      <c r="AO70" s="229">
        <v>1.5699999999999999E-2</v>
      </c>
      <c r="AP70" s="231">
        <v>2143.44</v>
      </c>
      <c r="AQ70" s="231">
        <v>2154.9899999999998</v>
      </c>
      <c r="AR70" s="228">
        <v>0</v>
      </c>
      <c r="AS70" s="228">
        <v>380</v>
      </c>
      <c r="AT70" s="228">
        <v>181</v>
      </c>
      <c r="AU70" s="228">
        <v>199</v>
      </c>
      <c r="AV70" s="229">
        <v>1.0948</v>
      </c>
      <c r="AW70" s="228">
        <v>369</v>
      </c>
      <c r="AX70" s="228">
        <v>173</v>
      </c>
      <c r="AY70" s="228">
        <v>196</v>
      </c>
      <c r="AZ70" s="229">
        <v>1.1363000000000001</v>
      </c>
      <c r="BA70" s="228">
        <v>9</v>
      </c>
      <c r="BB70" s="228">
        <v>8</v>
      </c>
      <c r="BC70" s="228">
        <v>1</v>
      </c>
      <c r="BD70" s="229">
        <v>0.15559999999999999</v>
      </c>
      <c r="BE70" s="228">
        <v>2</v>
      </c>
      <c r="BF70" s="228">
        <v>1</v>
      </c>
      <c r="BG70" s="228">
        <v>1</v>
      </c>
      <c r="BH70" s="229">
        <v>1.5</v>
      </c>
      <c r="BI70" s="228">
        <v>595</v>
      </c>
      <c r="BJ70" s="228">
        <v>447</v>
      </c>
      <c r="BK70" s="228">
        <v>148</v>
      </c>
      <c r="BL70" s="229">
        <v>0.33019999999999999</v>
      </c>
      <c r="BM70" s="228">
        <v>243</v>
      </c>
      <c r="BN70" s="228">
        <v>193</v>
      </c>
      <c r="BO70" s="228">
        <v>50</v>
      </c>
      <c r="BP70" s="229">
        <v>0.25629999999999997</v>
      </c>
      <c r="BQ70" s="230">
        <v>1217</v>
      </c>
      <c r="BR70" s="228">
        <v>822</v>
      </c>
      <c r="BS70" s="228">
        <v>396</v>
      </c>
      <c r="BT70" s="229">
        <v>0.48170000000000002</v>
      </c>
      <c r="BU70" s="230">
        <v>577103</v>
      </c>
      <c r="BV70" s="230">
        <v>431807</v>
      </c>
      <c r="BW70" s="230">
        <v>145296</v>
      </c>
      <c r="BX70" s="229">
        <v>0.33650000000000002</v>
      </c>
      <c r="BY70" s="230">
        <v>1974</v>
      </c>
      <c r="BZ70" s="230">
        <v>1895</v>
      </c>
      <c r="CA70" s="228">
        <v>79</v>
      </c>
      <c r="CB70" s="229">
        <v>4.1700000000000001E-2</v>
      </c>
      <c r="CC70" s="230">
        <v>1933</v>
      </c>
      <c r="CD70" s="230">
        <v>1854</v>
      </c>
      <c r="CE70" s="228">
        <v>79</v>
      </c>
      <c r="CF70" s="229">
        <v>4.2700000000000002E-2</v>
      </c>
      <c r="CG70" s="228">
        <v>37</v>
      </c>
      <c r="CH70" s="228">
        <v>37</v>
      </c>
      <c r="CI70" s="228">
        <v>0</v>
      </c>
      <c r="CJ70" s="229">
        <v>-4.7999999999999996E-3</v>
      </c>
      <c r="CK70" s="228">
        <v>4</v>
      </c>
      <c r="CL70" s="228">
        <v>3</v>
      </c>
      <c r="CM70" s="228">
        <v>0</v>
      </c>
      <c r="CN70" s="229">
        <v>3.39E-2</v>
      </c>
      <c r="CO70" s="228">
        <v>487</v>
      </c>
      <c r="CP70" s="228">
        <v>472</v>
      </c>
      <c r="CQ70" s="228">
        <v>14</v>
      </c>
      <c r="CR70" s="229">
        <v>3.0300000000000001E-2</v>
      </c>
      <c r="CS70" s="228">
        <v>481</v>
      </c>
      <c r="CT70" s="228">
        <v>462</v>
      </c>
      <c r="CU70" s="228">
        <v>19</v>
      </c>
      <c r="CV70" s="229">
        <v>4.0500000000000001E-2</v>
      </c>
      <c r="CW70" s="230">
        <v>2941</v>
      </c>
      <c r="CX70" s="230">
        <v>2829</v>
      </c>
      <c r="CY70" s="228">
        <v>112</v>
      </c>
      <c r="CZ70" s="229">
        <v>3.9600000000000003E-2</v>
      </c>
      <c r="DA70" s="228">
        <v>27.5</v>
      </c>
      <c r="DB70" s="228">
        <v>27.5</v>
      </c>
      <c r="DC70" s="228">
        <v>0</v>
      </c>
      <c r="DD70" s="228">
        <v>0</v>
      </c>
      <c r="DE70" s="228">
        <v>41.5</v>
      </c>
      <c r="DF70" s="228">
        <v>41.59</v>
      </c>
      <c r="DG70" s="228">
        <v>-14</v>
      </c>
      <c r="DH70" s="228">
        <v>-0.09</v>
      </c>
      <c r="DI70" s="228">
        <v>27.18</v>
      </c>
      <c r="DJ70" s="228">
        <v>26.91</v>
      </c>
      <c r="DK70" s="228">
        <v>0.27</v>
      </c>
      <c r="DL70" s="228">
        <v>0.27</v>
      </c>
      <c r="DM70" s="228">
        <v>28.29</v>
      </c>
      <c r="DN70" s="228">
        <v>28.86</v>
      </c>
      <c r="DO70" s="228">
        <v>-0.56999999999999995</v>
      </c>
      <c r="DP70" s="228">
        <v>-0.56999999999999995</v>
      </c>
      <c r="DQ70" s="228">
        <v>0.99</v>
      </c>
      <c r="DR70" s="228">
        <v>0.98</v>
      </c>
      <c r="DS70" s="228">
        <v>0.01</v>
      </c>
      <c r="DT70" s="229">
        <v>1.0200000000000001E-2</v>
      </c>
      <c r="DU70" s="231">
        <v>2200</v>
      </c>
      <c r="DV70" s="231">
        <v>2000</v>
      </c>
      <c r="DW70" s="228">
        <v>0.41</v>
      </c>
      <c r="DX70" s="228">
        <v>0.43</v>
      </c>
      <c r="DY70" s="228">
        <v>-0.02</v>
      </c>
      <c r="DZ70" s="229">
        <v>-4.65E-2</v>
      </c>
      <c r="EA70" s="229">
        <v>2.0400000000000001E-2</v>
      </c>
      <c r="EB70" s="230">
        <v>188100</v>
      </c>
      <c r="EC70" s="229">
        <v>5.5999999999999999E-3</v>
      </c>
      <c r="ED70" s="229">
        <v>2.0400000000000001E-2</v>
      </c>
      <c r="EE70" s="228">
        <v>11.55</v>
      </c>
      <c r="EF70" s="229">
        <v>5.4000000000000003E-3</v>
      </c>
      <c r="EG70" s="230">
        <v>246683</v>
      </c>
      <c r="EH70" s="230">
        <v>205490</v>
      </c>
      <c r="EI70" s="229">
        <v>0.20050000000000001</v>
      </c>
      <c r="EJ70" s="229">
        <v>0.42749999999999999</v>
      </c>
      <c r="EK70" s="228">
        <v>614.41999999999996</v>
      </c>
      <c r="EL70" s="228">
        <v>237.07</v>
      </c>
      <c r="EM70" s="228">
        <v>379.14</v>
      </c>
      <c r="EN70" s="228">
        <v>76.58</v>
      </c>
      <c r="EO70" s="231">
        <v>1230.6300000000001</v>
      </c>
      <c r="EP70" s="228">
        <v>826.75</v>
      </c>
      <c r="EQ70" s="228">
        <v>403.88</v>
      </c>
      <c r="ER70" s="229">
        <v>0.48849999999999999</v>
      </c>
      <c r="ES70" s="228">
        <v>481.92</v>
      </c>
      <c r="ET70" s="228">
        <v>458.93</v>
      </c>
      <c r="EU70" s="231">
        <v>1974</v>
      </c>
      <c r="EV70" s="231">
        <v>17263909</v>
      </c>
      <c r="EW70" s="231">
        <v>2914.85</v>
      </c>
      <c r="EX70" s="231">
        <v>2789.32</v>
      </c>
      <c r="EY70" s="228">
        <v>125.53</v>
      </c>
      <c r="EZ70" s="229">
        <v>4.4999999999999998E-2</v>
      </c>
      <c r="FA70" s="229">
        <v>0.79290000000000005</v>
      </c>
      <c r="FB70" s="227" t="s">
        <v>555</v>
      </c>
      <c r="FC70">
        <f t="shared" si="1"/>
        <v>41</v>
      </c>
    </row>
    <row r="71" spans="1:159" ht="17.25" thickBot="1" x14ac:dyDescent="0.3">
      <c r="A71" s="226">
        <v>46029</v>
      </c>
      <c r="B71" s="227" t="s">
        <v>157</v>
      </c>
      <c r="C71" s="227" t="s">
        <v>219</v>
      </c>
      <c r="D71" s="228">
        <v>250</v>
      </c>
      <c r="E71" s="228">
        <v>20</v>
      </c>
      <c r="F71" s="231">
        <v>2848.6</v>
      </c>
      <c r="G71" s="231">
        <v>2879.7</v>
      </c>
      <c r="H71" s="228">
        <v>-31.1</v>
      </c>
      <c r="I71" s="229">
        <v>-1.0800000000000001E-2</v>
      </c>
      <c r="J71" s="231">
        <v>2837.1</v>
      </c>
      <c r="K71" s="231">
        <v>2865.3</v>
      </c>
      <c r="L71" s="228">
        <v>-28.2</v>
      </c>
      <c r="M71" s="229">
        <v>-9.7999999999999997E-3</v>
      </c>
      <c r="N71" s="231">
        <v>2848.6</v>
      </c>
      <c r="O71" s="231">
        <v>2879.7</v>
      </c>
      <c r="P71" s="228">
        <v>-31.1</v>
      </c>
      <c r="Q71" s="229">
        <v>-1.0800000000000001E-2</v>
      </c>
      <c r="R71" s="231">
        <v>2867.7</v>
      </c>
      <c r="S71" s="231">
        <v>2896.4</v>
      </c>
      <c r="T71" s="228">
        <v>-28.7</v>
      </c>
      <c r="U71" s="229">
        <v>-9.9000000000000008E-3</v>
      </c>
      <c r="V71" s="231">
        <v>2907.4</v>
      </c>
      <c r="W71" s="231">
        <v>2907.4</v>
      </c>
      <c r="X71" s="228">
        <v>0</v>
      </c>
      <c r="Y71" s="229">
        <v>0</v>
      </c>
      <c r="Z71" s="228">
        <v>11.5</v>
      </c>
      <c r="AA71" s="228">
        <v>14.4</v>
      </c>
      <c r="AB71" s="228">
        <v>-2.9</v>
      </c>
      <c r="AC71" s="229">
        <v>4.1000000000000003E-3</v>
      </c>
      <c r="AD71" s="228">
        <v>11.5</v>
      </c>
      <c r="AE71" s="228">
        <v>14.4</v>
      </c>
      <c r="AF71" s="228">
        <v>-2.9</v>
      </c>
      <c r="AG71" s="229">
        <v>4.1000000000000003E-3</v>
      </c>
      <c r="AH71" s="228">
        <v>30.6</v>
      </c>
      <c r="AI71" s="228">
        <v>31.1</v>
      </c>
      <c r="AJ71" s="228">
        <v>-0.5</v>
      </c>
      <c r="AK71" s="229">
        <v>1.0800000000000001E-2</v>
      </c>
      <c r="AL71" s="228">
        <v>70.3</v>
      </c>
      <c r="AM71" s="228">
        <v>42.1</v>
      </c>
      <c r="AN71" s="228">
        <v>28.2</v>
      </c>
      <c r="AO71" s="229">
        <v>2.4799999999999999E-2</v>
      </c>
      <c r="AP71" s="231">
        <v>2858.08</v>
      </c>
      <c r="AQ71" s="231">
        <v>2872.89</v>
      </c>
      <c r="AR71" s="228">
        <v>0</v>
      </c>
      <c r="AS71" s="228">
        <v>202</v>
      </c>
      <c r="AT71" s="228">
        <v>373</v>
      </c>
      <c r="AU71" s="228">
        <v>-171</v>
      </c>
      <c r="AV71" s="229">
        <v>-0.45939999999999998</v>
      </c>
      <c r="AW71" s="228">
        <v>196</v>
      </c>
      <c r="AX71" s="228">
        <v>365</v>
      </c>
      <c r="AY71" s="228">
        <v>-169</v>
      </c>
      <c r="AZ71" s="229">
        <v>-0.46250000000000002</v>
      </c>
      <c r="BA71" s="228">
        <v>5</v>
      </c>
      <c r="BB71" s="228">
        <v>7</v>
      </c>
      <c r="BC71" s="228">
        <v>-2</v>
      </c>
      <c r="BD71" s="229">
        <v>-0.28710000000000002</v>
      </c>
      <c r="BE71" s="228">
        <v>0</v>
      </c>
      <c r="BF71" s="228">
        <v>0</v>
      </c>
      <c r="BG71" s="228">
        <v>0</v>
      </c>
      <c r="BH71" s="229">
        <v>-1</v>
      </c>
      <c r="BI71" s="228">
        <v>274</v>
      </c>
      <c r="BJ71" s="228">
        <v>448</v>
      </c>
      <c r="BK71" s="228">
        <v>-174</v>
      </c>
      <c r="BL71" s="229">
        <v>-0.38850000000000001</v>
      </c>
      <c r="BM71" s="228">
        <v>245</v>
      </c>
      <c r="BN71" s="228">
        <v>231</v>
      </c>
      <c r="BO71" s="228">
        <v>13</v>
      </c>
      <c r="BP71" s="229">
        <v>5.8200000000000002E-2</v>
      </c>
      <c r="BQ71" s="228">
        <v>720</v>
      </c>
      <c r="BR71" s="230">
        <v>1052</v>
      </c>
      <c r="BS71" s="228">
        <v>-332</v>
      </c>
      <c r="BT71" s="229">
        <v>-0.3155</v>
      </c>
      <c r="BU71" s="230">
        <v>291685</v>
      </c>
      <c r="BV71" s="230">
        <v>769171</v>
      </c>
      <c r="BW71" s="230">
        <v>-477486</v>
      </c>
      <c r="BX71" s="229">
        <v>-0.62080000000000002</v>
      </c>
      <c r="BY71" s="230">
        <v>4632</v>
      </c>
      <c r="BZ71" s="230">
        <v>4603</v>
      </c>
      <c r="CA71" s="228">
        <v>29</v>
      </c>
      <c r="CB71" s="229">
        <v>6.3E-3</v>
      </c>
      <c r="CC71" s="230">
        <v>4613</v>
      </c>
      <c r="CD71" s="230">
        <v>4585</v>
      </c>
      <c r="CE71" s="228">
        <v>28</v>
      </c>
      <c r="CF71" s="229">
        <v>6.1999999999999998E-3</v>
      </c>
      <c r="CG71" s="228">
        <v>17</v>
      </c>
      <c r="CH71" s="228">
        <v>17</v>
      </c>
      <c r="CI71" s="228">
        <v>1</v>
      </c>
      <c r="CJ71" s="229">
        <v>3.8800000000000001E-2</v>
      </c>
      <c r="CK71" s="228">
        <v>2</v>
      </c>
      <c r="CL71" s="228">
        <v>2</v>
      </c>
      <c r="CM71" s="228">
        <v>0</v>
      </c>
      <c r="CN71" s="229">
        <v>0</v>
      </c>
      <c r="CO71" s="228">
        <v>369</v>
      </c>
      <c r="CP71" s="228">
        <v>343</v>
      </c>
      <c r="CQ71" s="228">
        <v>26</v>
      </c>
      <c r="CR71" s="229">
        <v>7.5300000000000006E-2</v>
      </c>
      <c r="CS71" s="228">
        <v>381</v>
      </c>
      <c r="CT71" s="228">
        <v>370</v>
      </c>
      <c r="CU71" s="228">
        <v>12</v>
      </c>
      <c r="CV71" s="229">
        <v>3.1800000000000002E-2</v>
      </c>
      <c r="CW71" s="230">
        <v>5383</v>
      </c>
      <c r="CX71" s="230">
        <v>5316</v>
      </c>
      <c r="CY71" s="228">
        <v>67</v>
      </c>
      <c r="CZ71" s="229">
        <v>1.2500000000000001E-2</v>
      </c>
      <c r="DA71" s="228">
        <v>18.899999999999999</v>
      </c>
      <c r="DB71" s="228">
        <v>18.63</v>
      </c>
      <c r="DC71" s="228">
        <v>0.27</v>
      </c>
      <c r="DD71" s="228">
        <v>0.27</v>
      </c>
      <c r="DE71" s="228">
        <v>24.81</v>
      </c>
      <c r="DF71" s="228">
        <v>24.83</v>
      </c>
      <c r="DG71" s="228">
        <v>-5.91</v>
      </c>
      <c r="DH71" s="228">
        <v>-0.02</v>
      </c>
      <c r="DI71" s="228">
        <v>19.14</v>
      </c>
      <c r="DJ71" s="228">
        <v>18.62</v>
      </c>
      <c r="DK71" s="228">
        <v>0.52</v>
      </c>
      <c r="DL71" s="228">
        <v>0.52</v>
      </c>
      <c r="DM71" s="228">
        <v>18.63</v>
      </c>
      <c r="DN71" s="228">
        <v>18.66</v>
      </c>
      <c r="DO71" s="228">
        <v>-0.03</v>
      </c>
      <c r="DP71" s="228">
        <v>-0.03</v>
      </c>
      <c r="DQ71" s="228">
        <v>1.03</v>
      </c>
      <c r="DR71" s="228">
        <v>1.08</v>
      </c>
      <c r="DS71" s="228">
        <v>-0.05</v>
      </c>
      <c r="DT71" s="229">
        <v>-4.6300000000000001E-2</v>
      </c>
      <c r="DU71" s="231">
        <v>2900</v>
      </c>
      <c r="DV71" s="231">
        <v>2740</v>
      </c>
      <c r="DW71" s="228">
        <v>0.89</v>
      </c>
      <c r="DX71" s="228">
        <v>0.52</v>
      </c>
      <c r="DY71" s="228">
        <v>0.37</v>
      </c>
      <c r="DZ71" s="229">
        <v>0.71150000000000002</v>
      </c>
      <c r="EA71" s="229">
        <v>4.1999999999999997E-3</v>
      </c>
      <c r="EB71" s="230">
        <v>65250</v>
      </c>
      <c r="EC71" s="229">
        <v>6.7000000000000002E-3</v>
      </c>
      <c r="ED71" s="229">
        <v>4.1999999999999997E-3</v>
      </c>
      <c r="EE71" s="228">
        <v>14.81</v>
      </c>
      <c r="EF71" s="229">
        <v>5.1999999999999998E-3</v>
      </c>
      <c r="EG71" s="230">
        <v>176309</v>
      </c>
      <c r="EH71" s="230">
        <v>531496</v>
      </c>
      <c r="EI71" s="229">
        <v>-0.66830000000000001</v>
      </c>
      <c r="EJ71" s="229">
        <v>0.60450000000000004</v>
      </c>
      <c r="EK71" s="228">
        <v>282.75</v>
      </c>
      <c r="EL71" s="228">
        <v>242.94</v>
      </c>
      <c r="EM71" s="228">
        <v>202.24</v>
      </c>
      <c r="EN71" s="228">
        <v>41.56</v>
      </c>
      <c r="EO71" s="228">
        <v>727.93</v>
      </c>
      <c r="EP71" s="231">
        <v>1074.6500000000001</v>
      </c>
      <c r="EQ71" s="228">
        <v>-346.72</v>
      </c>
      <c r="ER71" s="229">
        <v>-0.3226</v>
      </c>
      <c r="ES71" s="228">
        <v>379.81</v>
      </c>
      <c r="ET71" s="228">
        <v>368.61</v>
      </c>
      <c r="EU71" s="231">
        <v>4632.41</v>
      </c>
      <c r="EV71" s="231">
        <v>38505832</v>
      </c>
      <c r="EW71" s="231">
        <v>5380.83</v>
      </c>
      <c r="EX71" s="231">
        <v>5364.49</v>
      </c>
      <c r="EY71" s="228">
        <v>16.34</v>
      </c>
      <c r="EZ71" s="229">
        <v>3.0000000000000001E-3</v>
      </c>
      <c r="FA71" s="229">
        <v>0.49070000000000003</v>
      </c>
      <c r="FB71" s="227" t="s">
        <v>567</v>
      </c>
      <c r="FC71">
        <f t="shared" si="1"/>
        <v>19</v>
      </c>
    </row>
    <row r="72" spans="1:159" ht="17.25" thickBot="1" x14ac:dyDescent="0.3">
      <c r="A72" s="226">
        <v>46029</v>
      </c>
      <c r="B72" s="227" t="s">
        <v>184</v>
      </c>
      <c r="C72" s="227" t="s">
        <v>513</v>
      </c>
      <c r="D72" s="228">
        <v>150</v>
      </c>
      <c r="E72" s="228">
        <v>20</v>
      </c>
      <c r="F72" s="231">
        <v>4535.1000000000004</v>
      </c>
      <c r="G72" s="231">
        <v>4528.3</v>
      </c>
      <c r="H72" s="228">
        <v>6.8</v>
      </c>
      <c r="I72" s="229">
        <v>1.5E-3</v>
      </c>
      <c r="J72" s="231">
        <v>4525.1000000000004</v>
      </c>
      <c r="K72" s="231">
        <v>4516</v>
      </c>
      <c r="L72" s="228">
        <v>9.1</v>
      </c>
      <c r="M72" s="229">
        <v>2E-3</v>
      </c>
      <c r="N72" s="231">
        <v>4535.1000000000004</v>
      </c>
      <c r="O72" s="231">
        <v>4528.3</v>
      </c>
      <c r="P72" s="228">
        <v>6.8</v>
      </c>
      <c r="Q72" s="229">
        <v>1.5E-3</v>
      </c>
      <c r="R72" s="231">
        <v>4544.7</v>
      </c>
      <c r="S72" s="231">
        <v>4538.3999999999996</v>
      </c>
      <c r="T72" s="228">
        <v>6.3</v>
      </c>
      <c r="U72" s="229">
        <v>1.4E-3</v>
      </c>
      <c r="V72" s="231">
        <v>4562.3999999999996</v>
      </c>
      <c r="W72" s="231">
        <v>4558.8</v>
      </c>
      <c r="X72" s="228">
        <v>3.6</v>
      </c>
      <c r="Y72" s="229">
        <v>8.0000000000000004E-4</v>
      </c>
      <c r="Z72" s="228">
        <v>10</v>
      </c>
      <c r="AA72" s="228">
        <v>12.3</v>
      </c>
      <c r="AB72" s="228">
        <v>-2.2999999999999998</v>
      </c>
      <c r="AC72" s="229">
        <v>2.2000000000000001E-3</v>
      </c>
      <c r="AD72" s="228">
        <v>10</v>
      </c>
      <c r="AE72" s="228">
        <v>12.3</v>
      </c>
      <c r="AF72" s="228">
        <v>-2.2999999999999998</v>
      </c>
      <c r="AG72" s="229">
        <v>2.2000000000000001E-3</v>
      </c>
      <c r="AH72" s="228">
        <v>19.600000000000001</v>
      </c>
      <c r="AI72" s="228">
        <v>22.4</v>
      </c>
      <c r="AJ72" s="228">
        <v>-2.8</v>
      </c>
      <c r="AK72" s="229">
        <v>4.3E-3</v>
      </c>
      <c r="AL72" s="228">
        <v>37.299999999999997</v>
      </c>
      <c r="AM72" s="228">
        <v>42.8</v>
      </c>
      <c r="AN72" s="228">
        <v>-5.5</v>
      </c>
      <c r="AO72" s="229">
        <v>8.2000000000000007E-3</v>
      </c>
      <c r="AP72" s="231">
        <v>4523.41</v>
      </c>
      <c r="AQ72" s="231">
        <v>4529.41</v>
      </c>
      <c r="AR72" s="228">
        <v>0</v>
      </c>
      <c r="AS72" s="228">
        <v>306</v>
      </c>
      <c r="AT72" s="228">
        <v>437</v>
      </c>
      <c r="AU72" s="228">
        <v>-131</v>
      </c>
      <c r="AV72" s="229">
        <v>-0.3</v>
      </c>
      <c r="AW72" s="228">
        <v>257</v>
      </c>
      <c r="AX72" s="228">
        <v>377</v>
      </c>
      <c r="AY72" s="228">
        <v>-120</v>
      </c>
      <c r="AZ72" s="229">
        <v>-0.31790000000000002</v>
      </c>
      <c r="BA72" s="228">
        <v>44</v>
      </c>
      <c r="BB72" s="228">
        <v>52</v>
      </c>
      <c r="BC72" s="228">
        <v>-8</v>
      </c>
      <c r="BD72" s="229">
        <v>-0.1555</v>
      </c>
      <c r="BE72" s="228">
        <v>6</v>
      </c>
      <c r="BF72" s="228">
        <v>9</v>
      </c>
      <c r="BG72" s="228">
        <v>-3</v>
      </c>
      <c r="BH72" s="229">
        <v>-0.38169999999999998</v>
      </c>
      <c r="BI72" s="230">
        <v>1611</v>
      </c>
      <c r="BJ72" s="230">
        <v>2192</v>
      </c>
      <c r="BK72" s="228">
        <v>-581</v>
      </c>
      <c r="BL72" s="229">
        <v>-0.26490000000000002</v>
      </c>
      <c r="BM72" s="228">
        <v>726</v>
      </c>
      <c r="BN72" s="230">
        <v>1180</v>
      </c>
      <c r="BO72" s="228">
        <v>-454</v>
      </c>
      <c r="BP72" s="229">
        <v>-0.38440000000000002</v>
      </c>
      <c r="BQ72" s="230">
        <v>2644</v>
      </c>
      <c r="BR72" s="230">
        <v>3809</v>
      </c>
      <c r="BS72" s="230">
        <v>-1165</v>
      </c>
      <c r="BT72" s="229">
        <v>-0.30599999999999999</v>
      </c>
      <c r="BU72" s="230">
        <v>454395</v>
      </c>
      <c r="BV72" s="230">
        <v>556851</v>
      </c>
      <c r="BW72" s="230">
        <v>-102456</v>
      </c>
      <c r="BX72" s="229">
        <v>-0.184</v>
      </c>
      <c r="BY72" s="230">
        <v>4415</v>
      </c>
      <c r="BZ72" s="230">
        <v>4427</v>
      </c>
      <c r="CA72" s="228">
        <v>-12</v>
      </c>
      <c r="CB72" s="229">
        <v>-2.8E-3</v>
      </c>
      <c r="CC72" s="230">
        <v>4005</v>
      </c>
      <c r="CD72" s="230">
        <v>4028</v>
      </c>
      <c r="CE72" s="228">
        <v>-23</v>
      </c>
      <c r="CF72" s="229">
        <v>-5.7000000000000002E-3</v>
      </c>
      <c r="CG72" s="228">
        <v>387</v>
      </c>
      <c r="CH72" s="228">
        <v>379</v>
      </c>
      <c r="CI72" s="228">
        <v>8</v>
      </c>
      <c r="CJ72" s="229">
        <v>2.0799999999999999E-2</v>
      </c>
      <c r="CK72" s="228">
        <v>23</v>
      </c>
      <c r="CL72" s="228">
        <v>20</v>
      </c>
      <c r="CM72" s="228">
        <v>3</v>
      </c>
      <c r="CN72" s="229">
        <v>0.1338</v>
      </c>
      <c r="CO72" s="230">
        <v>2010</v>
      </c>
      <c r="CP72" s="230">
        <v>1921</v>
      </c>
      <c r="CQ72" s="228">
        <v>88</v>
      </c>
      <c r="CR72" s="229">
        <v>4.5999999999999999E-2</v>
      </c>
      <c r="CS72" s="230">
        <v>1398</v>
      </c>
      <c r="CT72" s="230">
        <v>1341</v>
      </c>
      <c r="CU72" s="228">
        <v>57</v>
      </c>
      <c r="CV72" s="229">
        <v>4.24E-2</v>
      </c>
      <c r="CW72" s="230">
        <v>7823</v>
      </c>
      <c r="CX72" s="230">
        <v>7690</v>
      </c>
      <c r="CY72" s="228">
        <v>133</v>
      </c>
      <c r="CZ72" s="229">
        <v>1.7299999999999999E-2</v>
      </c>
      <c r="DA72" s="228">
        <v>24.59</v>
      </c>
      <c r="DB72" s="228">
        <v>24.46</v>
      </c>
      <c r="DC72" s="228">
        <v>0.13</v>
      </c>
      <c r="DD72" s="228">
        <v>0.13</v>
      </c>
      <c r="DE72" s="228">
        <v>36.799999999999997</v>
      </c>
      <c r="DF72" s="228">
        <v>36.89</v>
      </c>
      <c r="DG72" s="228">
        <v>-12.21</v>
      </c>
      <c r="DH72" s="228">
        <v>-0.09</v>
      </c>
      <c r="DI72" s="228">
        <v>24.49</v>
      </c>
      <c r="DJ72" s="228">
        <v>24.22</v>
      </c>
      <c r="DK72" s="228">
        <v>0.27</v>
      </c>
      <c r="DL72" s="228">
        <v>0.27</v>
      </c>
      <c r="DM72" s="228">
        <v>24.82</v>
      </c>
      <c r="DN72" s="228">
        <v>24.91</v>
      </c>
      <c r="DO72" s="228">
        <v>-0.09</v>
      </c>
      <c r="DP72" s="228">
        <v>-0.09</v>
      </c>
      <c r="DQ72" s="228">
        <v>0.7</v>
      </c>
      <c r="DR72" s="228">
        <v>0.7</v>
      </c>
      <c r="DS72" s="228">
        <v>0</v>
      </c>
      <c r="DT72" s="229">
        <v>0</v>
      </c>
      <c r="DU72" s="231">
        <v>5000</v>
      </c>
      <c r="DV72" s="231">
        <v>4400</v>
      </c>
      <c r="DW72" s="228">
        <v>0.45</v>
      </c>
      <c r="DX72" s="228">
        <v>0.54</v>
      </c>
      <c r="DY72" s="228">
        <v>-0.09</v>
      </c>
      <c r="DZ72" s="229">
        <v>-0.16669999999999999</v>
      </c>
      <c r="EA72" s="229">
        <v>9.2899999999999996E-2</v>
      </c>
      <c r="EB72" s="230">
        <v>881100</v>
      </c>
      <c r="EC72" s="229">
        <v>2.0999999999999999E-3</v>
      </c>
      <c r="ED72" s="229">
        <v>9.2899999999999996E-2</v>
      </c>
      <c r="EE72" s="228">
        <v>6</v>
      </c>
      <c r="EF72" s="229">
        <v>1.2999999999999999E-3</v>
      </c>
      <c r="EG72" s="230">
        <v>221363</v>
      </c>
      <c r="EH72" s="230">
        <v>233344</v>
      </c>
      <c r="EI72" s="229">
        <v>-5.1299999999999998E-2</v>
      </c>
      <c r="EJ72" s="229">
        <v>0.48720000000000002</v>
      </c>
      <c r="EK72" s="231">
        <v>1676.02</v>
      </c>
      <c r="EL72" s="228">
        <v>709.81</v>
      </c>
      <c r="EM72" s="228">
        <v>305.35000000000002</v>
      </c>
      <c r="EN72" s="228">
        <v>81.22</v>
      </c>
      <c r="EO72" s="231">
        <v>2691.17</v>
      </c>
      <c r="EP72" s="231">
        <v>3878.82</v>
      </c>
      <c r="EQ72" s="231">
        <v>-1187.6500000000001</v>
      </c>
      <c r="ER72" s="229">
        <v>-0.30620000000000003</v>
      </c>
      <c r="ES72" s="231">
        <v>2078.6799999999998</v>
      </c>
      <c r="ET72" s="231">
        <v>1365.14</v>
      </c>
      <c r="EU72" s="231">
        <v>4416.1499999999996</v>
      </c>
      <c r="EV72" s="231">
        <v>28450886</v>
      </c>
      <c r="EW72" s="231">
        <v>7859.97</v>
      </c>
      <c r="EX72" s="231">
        <v>7719.03</v>
      </c>
      <c r="EY72" s="228">
        <v>140.94</v>
      </c>
      <c r="EZ72" s="229">
        <v>1.83E-2</v>
      </c>
      <c r="FA72" s="229">
        <v>0.60629999999999995</v>
      </c>
      <c r="FB72" s="227" t="s">
        <v>556</v>
      </c>
      <c r="FC72">
        <f t="shared" si="1"/>
        <v>410</v>
      </c>
    </row>
    <row r="73" spans="1:159" ht="17.25" thickBot="1" x14ac:dyDescent="0.3">
      <c r="A73" s="226">
        <v>46029</v>
      </c>
      <c r="B73" s="227" t="s">
        <v>184</v>
      </c>
      <c r="C73" s="227" t="s">
        <v>220</v>
      </c>
      <c r="D73" s="228">
        <v>500</v>
      </c>
      <c r="E73" s="228">
        <v>20</v>
      </c>
      <c r="F73" s="231">
        <v>1499.6</v>
      </c>
      <c r="G73" s="231">
        <v>1508.4</v>
      </c>
      <c r="H73" s="228">
        <v>-8.8000000000000007</v>
      </c>
      <c r="I73" s="229">
        <v>-5.7999999999999996E-3</v>
      </c>
      <c r="J73" s="231">
        <v>1496.2</v>
      </c>
      <c r="K73" s="231">
        <v>1501.7</v>
      </c>
      <c r="L73" s="228">
        <v>-5.5</v>
      </c>
      <c r="M73" s="229">
        <v>-3.7000000000000002E-3</v>
      </c>
      <c r="N73" s="231">
        <v>1499.6</v>
      </c>
      <c r="O73" s="231">
        <v>1508.4</v>
      </c>
      <c r="P73" s="228">
        <v>-8.8000000000000007</v>
      </c>
      <c r="Q73" s="229">
        <v>-5.7999999999999996E-3</v>
      </c>
      <c r="R73" s="231">
        <v>1503.9</v>
      </c>
      <c r="S73" s="231">
        <v>1513.9</v>
      </c>
      <c r="T73" s="228">
        <v>-10</v>
      </c>
      <c r="U73" s="229">
        <v>-6.6E-3</v>
      </c>
      <c r="V73" s="231">
        <v>1513.4</v>
      </c>
      <c r="W73" s="231">
        <v>1520.9</v>
      </c>
      <c r="X73" s="228">
        <v>-7.5</v>
      </c>
      <c r="Y73" s="229">
        <v>-4.8999999999999998E-3</v>
      </c>
      <c r="Z73" s="228">
        <v>3.4</v>
      </c>
      <c r="AA73" s="228">
        <v>6.7</v>
      </c>
      <c r="AB73" s="228">
        <v>-3.3</v>
      </c>
      <c r="AC73" s="229">
        <v>2.3E-3</v>
      </c>
      <c r="AD73" s="228">
        <v>3.4</v>
      </c>
      <c r="AE73" s="228">
        <v>6.7</v>
      </c>
      <c r="AF73" s="228">
        <v>-3.3</v>
      </c>
      <c r="AG73" s="229">
        <v>2.3E-3</v>
      </c>
      <c r="AH73" s="228">
        <v>7.7</v>
      </c>
      <c r="AI73" s="228">
        <v>12.2</v>
      </c>
      <c r="AJ73" s="228">
        <v>-4.5</v>
      </c>
      <c r="AK73" s="229">
        <v>5.1000000000000004E-3</v>
      </c>
      <c r="AL73" s="228">
        <v>17.2</v>
      </c>
      <c r="AM73" s="228">
        <v>19.2</v>
      </c>
      <c r="AN73" s="228">
        <v>-2</v>
      </c>
      <c r="AO73" s="229">
        <v>1.15E-2</v>
      </c>
      <c r="AP73" s="231">
        <v>1501.28</v>
      </c>
      <c r="AQ73" s="231">
        <v>1509.51</v>
      </c>
      <c r="AR73" s="228">
        <v>0</v>
      </c>
      <c r="AS73" s="228">
        <v>243</v>
      </c>
      <c r="AT73" s="228">
        <v>528</v>
      </c>
      <c r="AU73" s="228">
        <v>-285</v>
      </c>
      <c r="AV73" s="229">
        <v>-0.54</v>
      </c>
      <c r="AW73" s="228">
        <v>235</v>
      </c>
      <c r="AX73" s="228">
        <v>508</v>
      </c>
      <c r="AY73" s="228">
        <v>-272</v>
      </c>
      <c r="AZ73" s="229">
        <v>-0.53659999999999997</v>
      </c>
      <c r="BA73" s="228">
        <v>7</v>
      </c>
      <c r="BB73" s="228">
        <v>19</v>
      </c>
      <c r="BC73" s="228">
        <v>-12</v>
      </c>
      <c r="BD73" s="229">
        <v>-0.64</v>
      </c>
      <c r="BE73" s="228">
        <v>1</v>
      </c>
      <c r="BF73" s="228">
        <v>2</v>
      </c>
      <c r="BG73" s="228">
        <v>-1</v>
      </c>
      <c r="BH73" s="229">
        <v>-0.48149999999999998</v>
      </c>
      <c r="BI73" s="228">
        <v>479</v>
      </c>
      <c r="BJ73" s="230">
        <v>1645</v>
      </c>
      <c r="BK73" s="230">
        <v>-1166</v>
      </c>
      <c r="BL73" s="229">
        <v>-0.7087</v>
      </c>
      <c r="BM73" s="228">
        <v>329</v>
      </c>
      <c r="BN73" s="228">
        <v>497</v>
      </c>
      <c r="BO73" s="228">
        <v>-168</v>
      </c>
      <c r="BP73" s="229">
        <v>-0.3387</v>
      </c>
      <c r="BQ73" s="230">
        <v>1051</v>
      </c>
      <c r="BR73" s="230">
        <v>2670</v>
      </c>
      <c r="BS73" s="230">
        <v>-1619</v>
      </c>
      <c r="BT73" s="229">
        <v>-0.60640000000000005</v>
      </c>
      <c r="BU73" s="230">
        <v>437043</v>
      </c>
      <c r="BV73" s="230">
        <v>1407718</v>
      </c>
      <c r="BW73" s="230">
        <v>-970675</v>
      </c>
      <c r="BX73" s="229">
        <v>-0.6895</v>
      </c>
      <c r="BY73" s="230">
        <v>1310</v>
      </c>
      <c r="BZ73" s="230">
        <v>1275</v>
      </c>
      <c r="CA73" s="228">
        <v>35</v>
      </c>
      <c r="CB73" s="229">
        <v>2.7199999999999998E-2</v>
      </c>
      <c r="CC73" s="230">
        <v>1276</v>
      </c>
      <c r="CD73" s="230">
        <v>1241</v>
      </c>
      <c r="CE73" s="228">
        <v>34</v>
      </c>
      <c r="CF73" s="229">
        <v>2.75E-2</v>
      </c>
      <c r="CG73" s="228">
        <v>31</v>
      </c>
      <c r="CH73" s="228">
        <v>31</v>
      </c>
      <c r="CI73" s="228">
        <v>0</v>
      </c>
      <c r="CJ73" s="229">
        <v>0</v>
      </c>
      <c r="CK73" s="228">
        <v>3</v>
      </c>
      <c r="CL73" s="228">
        <v>2</v>
      </c>
      <c r="CM73" s="228">
        <v>1</v>
      </c>
      <c r="CN73" s="229">
        <v>0.25</v>
      </c>
      <c r="CO73" s="228">
        <v>374</v>
      </c>
      <c r="CP73" s="228">
        <v>359</v>
      </c>
      <c r="CQ73" s="228">
        <v>14</v>
      </c>
      <c r="CR73" s="229">
        <v>3.9399999999999998E-2</v>
      </c>
      <c r="CS73" s="228">
        <v>336</v>
      </c>
      <c r="CT73" s="228">
        <v>310</v>
      </c>
      <c r="CU73" s="228">
        <v>26</v>
      </c>
      <c r="CV73" s="229">
        <v>8.3000000000000004E-2</v>
      </c>
      <c r="CW73" s="230">
        <v>2019</v>
      </c>
      <c r="CX73" s="230">
        <v>1944</v>
      </c>
      <c r="CY73" s="228">
        <v>75</v>
      </c>
      <c r="CZ73" s="229">
        <v>3.8300000000000001E-2</v>
      </c>
      <c r="DA73" s="228">
        <v>25.16</v>
      </c>
      <c r="DB73" s="228">
        <v>24.4</v>
      </c>
      <c r="DC73" s="228">
        <v>0.76</v>
      </c>
      <c r="DD73" s="228">
        <v>0.76</v>
      </c>
      <c r="DE73" s="228">
        <v>26.85</v>
      </c>
      <c r="DF73" s="228">
        <v>26.91</v>
      </c>
      <c r="DG73" s="228">
        <v>-1.69</v>
      </c>
      <c r="DH73" s="228">
        <v>-0.06</v>
      </c>
      <c r="DI73" s="228">
        <v>25.25</v>
      </c>
      <c r="DJ73" s="228">
        <v>24.32</v>
      </c>
      <c r="DK73" s="228">
        <v>0.93</v>
      </c>
      <c r="DL73" s="228">
        <v>0.93</v>
      </c>
      <c r="DM73" s="228">
        <v>25.03</v>
      </c>
      <c r="DN73" s="228">
        <v>24.67</v>
      </c>
      <c r="DO73" s="228">
        <v>0.36</v>
      </c>
      <c r="DP73" s="228">
        <v>0.36</v>
      </c>
      <c r="DQ73" s="228">
        <v>0.9</v>
      </c>
      <c r="DR73" s="228">
        <v>0.86</v>
      </c>
      <c r="DS73" s="228">
        <v>0.04</v>
      </c>
      <c r="DT73" s="229">
        <v>4.65E-2</v>
      </c>
      <c r="DU73" s="231">
        <v>1500</v>
      </c>
      <c r="DV73" s="231">
        <v>1420</v>
      </c>
      <c r="DW73" s="228">
        <v>0.69</v>
      </c>
      <c r="DX73" s="228">
        <v>0.3</v>
      </c>
      <c r="DY73" s="228">
        <v>0.39</v>
      </c>
      <c r="DZ73" s="229">
        <v>1.3</v>
      </c>
      <c r="EA73" s="229">
        <v>2.5899999999999999E-2</v>
      </c>
      <c r="EB73" s="230">
        <v>223000</v>
      </c>
      <c r="EC73" s="229">
        <v>2.8999999999999998E-3</v>
      </c>
      <c r="ED73" s="229">
        <v>2.5899999999999999E-2</v>
      </c>
      <c r="EE73" s="228">
        <v>8.23</v>
      </c>
      <c r="EF73" s="229">
        <v>5.4999999999999997E-3</v>
      </c>
      <c r="EG73" s="230">
        <v>200166</v>
      </c>
      <c r="EH73" s="230">
        <v>838041</v>
      </c>
      <c r="EI73" s="229">
        <v>-0.76119999999999999</v>
      </c>
      <c r="EJ73" s="229">
        <v>0.45800000000000002</v>
      </c>
      <c r="EK73" s="228">
        <v>497.7</v>
      </c>
      <c r="EL73" s="228">
        <v>323.23</v>
      </c>
      <c r="EM73" s="228">
        <v>243.4</v>
      </c>
      <c r="EN73" s="228">
        <v>28.6</v>
      </c>
      <c r="EO73" s="231">
        <v>1064.33</v>
      </c>
      <c r="EP73" s="231">
        <v>2690.28</v>
      </c>
      <c r="EQ73" s="231">
        <v>-1625.95</v>
      </c>
      <c r="ER73" s="229">
        <v>-0.60440000000000005</v>
      </c>
      <c r="ES73" s="228">
        <v>377.75</v>
      </c>
      <c r="ET73" s="228">
        <v>319.3</v>
      </c>
      <c r="EU73" s="231">
        <v>1309.6400000000001</v>
      </c>
      <c r="EV73" s="231">
        <v>35667502</v>
      </c>
      <c r="EW73" s="231">
        <v>2006.68</v>
      </c>
      <c r="EX73" s="231">
        <v>1938.46</v>
      </c>
      <c r="EY73" s="228">
        <v>68.22</v>
      </c>
      <c r="EZ73" s="229">
        <v>3.5200000000000002E-2</v>
      </c>
      <c r="FA73" s="229">
        <v>0.37740000000000001</v>
      </c>
      <c r="FB73" s="227" t="s">
        <v>567</v>
      </c>
      <c r="FC73">
        <f t="shared" si="1"/>
        <v>34</v>
      </c>
    </row>
    <row r="74" spans="1:159" ht="17.25" thickBot="1" x14ac:dyDescent="0.3">
      <c r="A74" s="226">
        <v>46029</v>
      </c>
      <c r="B74" s="227" t="s">
        <v>221</v>
      </c>
      <c r="C74" s="227" t="s">
        <v>222</v>
      </c>
      <c r="D74" s="228">
        <v>350</v>
      </c>
      <c r="E74" s="228">
        <v>20</v>
      </c>
      <c r="F74" s="231">
        <v>1643.4</v>
      </c>
      <c r="G74" s="231">
        <v>1611</v>
      </c>
      <c r="H74" s="228">
        <v>32.4</v>
      </c>
      <c r="I74" s="229">
        <v>2.01E-2</v>
      </c>
      <c r="J74" s="231">
        <v>1647.7</v>
      </c>
      <c r="K74" s="231">
        <v>1616.3</v>
      </c>
      <c r="L74" s="228">
        <v>31.4</v>
      </c>
      <c r="M74" s="229">
        <v>1.9400000000000001E-2</v>
      </c>
      <c r="N74" s="231">
        <v>1643.4</v>
      </c>
      <c r="O74" s="231">
        <v>1611</v>
      </c>
      <c r="P74" s="228">
        <v>32.4</v>
      </c>
      <c r="Q74" s="229">
        <v>2.01E-2</v>
      </c>
      <c r="R74" s="231">
        <v>1654</v>
      </c>
      <c r="S74" s="231">
        <v>1619.7</v>
      </c>
      <c r="T74" s="228">
        <v>34.299999999999997</v>
      </c>
      <c r="U74" s="229">
        <v>2.12E-2</v>
      </c>
      <c r="V74" s="231">
        <v>1664</v>
      </c>
      <c r="W74" s="231">
        <v>1629.8</v>
      </c>
      <c r="X74" s="228">
        <v>34.200000000000003</v>
      </c>
      <c r="Y74" s="229">
        <v>2.1000000000000001E-2</v>
      </c>
      <c r="Z74" s="228">
        <v>-4.3</v>
      </c>
      <c r="AA74" s="228">
        <v>-5.3</v>
      </c>
      <c r="AB74" s="228">
        <v>1</v>
      </c>
      <c r="AC74" s="229">
        <v>-2.5999999999999999E-3</v>
      </c>
      <c r="AD74" s="228">
        <v>-4.3</v>
      </c>
      <c r="AE74" s="228">
        <v>-5.3</v>
      </c>
      <c r="AF74" s="228">
        <v>1</v>
      </c>
      <c r="AG74" s="229">
        <v>-2.5999999999999999E-3</v>
      </c>
      <c r="AH74" s="228">
        <v>6.3</v>
      </c>
      <c r="AI74" s="228">
        <v>3.4</v>
      </c>
      <c r="AJ74" s="228">
        <v>2.9</v>
      </c>
      <c r="AK74" s="229">
        <v>3.8E-3</v>
      </c>
      <c r="AL74" s="228">
        <v>16.3</v>
      </c>
      <c r="AM74" s="228">
        <v>13.5</v>
      </c>
      <c r="AN74" s="228">
        <v>2.8</v>
      </c>
      <c r="AO74" s="229">
        <v>9.9000000000000008E-3</v>
      </c>
      <c r="AP74" s="231">
        <v>1634.22</v>
      </c>
      <c r="AQ74" s="231">
        <v>1644.3</v>
      </c>
      <c r="AR74" s="228">
        <v>0</v>
      </c>
      <c r="AS74" s="228">
        <v>872</v>
      </c>
      <c r="AT74" s="228">
        <v>344</v>
      </c>
      <c r="AU74" s="228">
        <v>528</v>
      </c>
      <c r="AV74" s="229">
        <v>1.5351999999999999</v>
      </c>
      <c r="AW74" s="228">
        <v>850</v>
      </c>
      <c r="AX74" s="228">
        <v>330</v>
      </c>
      <c r="AY74" s="228">
        <v>520</v>
      </c>
      <c r="AZ74" s="229">
        <v>1.5771999999999999</v>
      </c>
      <c r="BA74" s="228">
        <v>19</v>
      </c>
      <c r="BB74" s="228">
        <v>11</v>
      </c>
      <c r="BC74" s="228">
        <v>7</v>
      </c>
      <c r="BD74" s="229">
        <v>0.63959999999999995</v>
      </c>
      <c r="BE74" s="228">
        <v>3</v>
      </c>
      <c r="BF74" s="228">
        <v>3</v>
      </c>
      <c r="BG74" s="228">
        <v>0</v>
      </c>
      <c r="BH74" s="229">
        <v>6.8199999999999997E-2</v>
      </c>
      <c r="BI74" s="230">
        <v>3103</v>
      </c>
      <c r="BJ74" s="230">
        <v>1018</v>
      </c>
      <c r="BK74" s="230">
        <v>2085</v>
      </c>
      <c r="BL74" s="229">
        <v>2.0480999999999998</v>
      </c>
      <c r="BM74" s="230">
        <v>1062</v>
      </c>
      <c r="BN74" s="228">
        <v>419</v>
      </c>
      <c r="BO74" s="228">
        <v>643</v>
      </c>
      <c r="BP74" s="229">
        <v>1.5369999999999999</v>
      </c>
      <c r="BQ74" s="230">
        <v>5037</v>
      </c>
      <c r="BR74" s="230">
        <v>1781</v>
      </c>
      <c r="BS74" s="230">
        <v>3256</v>
      </c>
      <c r="BT74" s="229">
        <v>1.8289</v>
      </c>
      <c r="BU74" s="230">
        <v>3929395</v>
      </c>
      <c r="BV74" s="230">
        <v>2217363</v>
      </c>
      <c r="BW74" s="230">
        <v>1712032</v>
      </c>
      <c r="BX74" s="229">
        <v>0.77210000000000001</v>
      </c>
      <c r="BY74" s="230">
        <v>2885</v>
      </c>
      <c r="BZ74" s="230">
        <v>2701</v>
      </c>
      <c r="CA74" s="228">
        <v>184</v>
      </c>
      <c r="CB74" s="229">
        <v>6.8000000000000005E-2</v>
      </c>
      <c r="CC74" s="230">
        <v>2842</v>
      </c>
      <c r="CD74" s="230">
        <v>2658</v>
      </c>
      <c r="CE74" s="228">
        <v>184</v>
      </c>
      <c r="CF74" s="229">
        <v>6.9199999999999998E-2</v>
      </c>
      <c r="CG74" s="228">
        <v>39</v>
      </c>
      <c r="CH74" s="228">
        <v>39</v>
      </c>
      <c r="CI74" s="228">
        <v>0</v>
      </c>
      <c r="CJ74" s="229">
        <v>-7.4000000000000003E-3</v>
      </c>
      <c r="CK74" s="228">
        <v>5</v>
      </c>
      <c r="CL74" s="228">
        <v>5</v>
      </c>
      <c r="CM74" s="228">
        <v>0</v>
      </c>
      <c r="CN74" s="229">
        <v>1.23E-2</v>
      </c>
      <c r="CO74" s="230">
        <v>1343</v>
      </c>
      <c r="CP74" s="228">
        <v>989</v>
      </c>
      <c r="CQ74" s="228">
        <v>354</v>
      </c>
      <c r="CR74" s="229">
        <v>0.35749999999999998</v>
      </c>
      <c r="CS74" s="228">
        <v>630</v>
      </c>
      <c r="CT74" s="228">
        <v>546</v>
      </c>
      <c r="CU74" s="228">
        <v>84</v>
      </c>
      <c r="CV74" s="229">
        <v>0.15479999999999999</v>
      </c>
      <c r="CW74" s="230">
        <v>4858</v>
      </c>
      <c r="CX74" s="230">
        <v>4236</v>
      </c>
      <c r="CY74" s="228">
        <v>622</v>
      </c>
      <c r="CZ74" s="229">
        <v>0.14680000000000001</v>
      </c>
      <c r="DA74" s="228">
        <v>25.71</v>
      </c>
      <c r="DB74" s="228">
        <v>25.98</v>
      </c>
      <c r="DC74" s="228">
        <v>-0.27</v>
      </c>
      <c r="DD74" s="228">
        <v>-0.27</v>
      </c>
      <c r="DE74" s="228">
        <v>27.68</v>
      </c>
      <c r="DF74" s="228">
        <v>27.63</v>
      </c>
      <c r="DG74" s="228">
        <v>-1.97</v>
      </c>
      <c r="DH74" s="228">
        <v>0.05</v>
      </c>
      <c r="DI74" s="228">
        <v>25.29</v>
      </c>
      <c r="DJ74" s="228">
        <v>25.62</v>
      </c>
      <c r="DK74" s="228">
        <v>-0.33</v>
      </c>
      <c r="DL74" s="228">
        <v>-0.33</v>
      </c>
      <c r="DM74" s="228">
        <v>26.93</v>
      </c>
      <c r="DN74" s="228">
        <v>26.85</v>
      </c>
      <c r="DO74" s="228">
        <v>0.08</v>
      </c>
      <c r="DP74" s="228">
        <v>0.08</v>
      </c>
      <c r="DQ74" s="228">
        <v>0.47</v>
      </c>
      <c r="DR74" s="228">
        <v>0.55000000000000004</v>
      </c>
      <c r="DS74" s="228">
        <v>-0.08</v>
      </c>
      <c r="DT74" s="229">
        <v>-0.14549999999999999</v>
      </c>
      <c r="DU74" s="231">
        <v>1680</v>
      </c>
      <c r="DV74" s="231">
        <v>1600</v>
      </c>
      <c r="DW74" s="228">
        <v>0.34</v>
      </c>
      <c r="DX74" s="228">
        <v>0.41</v>
      </c>
      <c r="DY74" s="228">
        <v>-7.0000000000000007E-2</v>
      </c>
      <c r="DZ74" s="229">
        <v>-0.17069999999999999</v>
      </c>
      <c r="EA74" s="229">
        <v>1.4999999999999999E-2</v>
      </c>
      <c r="EB74" s="230">
        <v>265300</v>
      </c>
      <c r="EC74" s="229">
        <v>6.4999999999999997E-3</v>
      </c>
      <c r="ED74" s="229">
        <v>1.4999999999999999E-2</v>
      </c>
      <c r="EE74" s="228">
        <v>10.08</v>
      </c>
      <c r="EF74" s="229">
        <v>6.1999999999999998E-3</v>
      </c>
      <c r="EG74" s="230">
        <v>2524925</v>
      </c>
      <c r="EH74" s="230">
        <v>1441093</v>
      </c>
      <c r="EI74" s="229">
        <v>0.75209999999999999</v>
      </c>
      <c r="EJ74" s="229">
        <v>0.64259999999999995</v>
      </c>
      <c r="EK74" s="231">
        <v>3215.22</v>
      </c>
      <c r="EL74" s="231">
        <v>1046.57</v>
      </c>
      <c r="EM74" s="228">
        <v>866.87</v>
      </c>
      <c r="EN74" s="228">
        <v>55.69</v>
      </c>
      <c r="EO74" s="231">
        <v>5128.66</v>
      </c>
      <c r="EP74" s="231">
        <v>1785.24</v>
      </c>
      <c r="EQ74" s="231">
        <v>3343.42</v>
      </c>
      <c r="ER74" s="229">
        <v>1.8728</v>
      </c>
      <c r="ES74" s="231">
        <v>1392.82</v>
      </c>
      <c r="ET74" s="228">
        <v>598.26</v>
      </c>
      <c r="EU74" s="231">
        <v>2885.23</v>
      </c>
      <c r="EV74" s="231">
        <v>106857976</v>
      </c>
      <c r="EW74" s="231">
        <v>4876.3100000000004</v>
      </c>
      <c r="EX74" s="231">
        <v>4190.29</v>
      </c>
      <c r="EY74" s="228">
        <v>686.02</v>
      </c>
      <c r="EZ74" s="229">
        <v>0.16370000000000001</v>
      </c>
      <c r="FA74" s="229">
        <v>0.27660000000000001</v>
      </c>
      <c r="FB74" s="227" t="s">
        <v>555</v>
      </c>
      <c r="FC74">
        <f t="shared" si="1"/>
        <v>43</v>
      </c>
    </row>
    <row r="75" spans="1:159" ht="17.25" thickBot="1" x14ac:dyDescent="0.3">
      <c r="A75" s="226">
        <v>46029</v>
      </c>
      <c r="B75" s="227" t="s">
        <v>175</v>
      </c>
      <c r="C75" s="227" t="s">
        <v>475</v>
      </c>
      <c r="D75" s="228">
        <v>300</v>
      </c>
      <c r="E75" s="228">
        <v>20</v>
      </c>
      <c r="F75" s="231">
        <v>2636.3</v>
      </c>
      <c r="G75" s="231">
        <v>2634.6</v>
      </c>
      <c r="H75" s="228">
        <v>1.7</v>
      </c>
      <c r="I75" s="229">
        <v>5.9999999999999995E-4</v>
      </c>
      <c r="J75" s="231">
        <v>2624.6</v>
      </c>
      <c r="K75" s="231">
        <v>2622.1</v>
      </c>
      <c r="L75" s="228">
        <v>2.5</v>
      </c>
      <c r="M75" s="229">
        <v>1E-3</v>
      </c>
      <c r="N75" s="231">
        <v>2636.3</v>
      </c>
      <c r="O75" s="231">
        <v>2634.6</v>
      </c>
      <c r="P75" s="228">
        <v>1.7</v>
      </c>
      <c r="Q75" s="229">
        <v>5.9999999999999995E-4</v>
      </c>
      <c r="R75" s="231">
        <v>2650</v>
      </c>
      <c r="S75" s="231">
        <v>2651.5</v>
      </c>
      <c r="T75" s="228">
        <v>-1.5</v>
      </c>
      <c r="U75" s="229">
        <v>-5.9999999999999995E-4</v>
      </c>
      <c r="V75" s="231">
        <v>2681.5</v>
      </c>
      <c r="W75" s="231">
        <v>2663.6</v>
      </c>
      <c r="X75" s="228">
        <v>17.899999999999999</v>
      </c>
      <c r="Y75" s="229">
        <v>6.7000000000000002E-3</v>
      </c>
      <c r="Z75" s="228">
        <v>11.7</v>
      </c>
      <c r="AA75" s="228">
        <v>12.5</v>
      </c>
      <c r="AB75" s="228">
        <v>-0.8</v>
      </c>
      <c r="AC75" s="229">
        <v>4.4999999999999997E-3</v>
      </c>
      <c r="AD75" s="228">
        <v>11.7</v>
      </c>
      <c r="AE75" s="228">
        <v>12.5</v>
      </c>
      <c r="AF75" s="228">
        <v>-0.8</v>
      </c>
      <c r="AG75" s="229">
        <v>4.4999999999999997E-3</v>
      </c>
      <c r="AH75" s="228">
        <v>25.4</v>
      </c>
      <c r="AI75" s="228">
        <v>29.4</v>
      </c>
      <c r="AJ75" s="228">
        <v>-4</v>
      </c>
      <c r="AK75" s="229">
        <v>9.7000000000000003E-3</v>
      </c>
      <c r="AL75" s="228">
        <v>56.9</v>
      </c>
      <c r="AM75" s="228">
        <v>41.5</v>
      </c>
      <c r="AN75" s="228">
        <v>15.4</v>
      </c>
      <c r="AO75" s="229">
        <v>2.1700000000000001E-2</v>
      </c>
      <c r="AP75" s="231">
        <v>2640.76</v>
      </c>
      <c r="AQ75" s="231">
        <v>2657.09</v>
      </c>
      <c r="AR75" s="228">
        <v>0</v>
      </c>
      <c r="AS75" s="228">
        <v>152</v>
      </c>
      <c r="AT75" s="228">
        <v>203</v>
      </c>
      <c r="AU75" s="228">
        <v>-51</v>
      </c>
      <c r="AV75" s="229">
        <v>-0.25059999999999999</v>
      </c>
      <c r="AW75" s="228">
        <v>140</v>
      </c>
      <c r="AX75" s="228">
        <v>189</v>
      </c>
      <c r="AY75" s="228">
        <v>-49</v>
      </c>
      <c r="AZ75" s="229">
        <v>-0.2576</v>
      </c>
      <c r="BA75" s="228">
        <v>12</v>
      </c>
      <c r="BB75" s="228">
        <v>13</v>
      </c>
      <c r="BC75" s="228">
        <v>-1</v>
      </c>
      <c r="BD75" s="229">
        <v>-7.9799999999999996E-2</v>
      </c>
      <c r="BE75" s="228">
        <v>0</v>
      </c>
      <c r="BF75" s="228">
        <v>2</v>
      </c>
      <c r="BG75" s="228">
        <v>-1</v>
      </c>
      <c r="BH75" s="229">
        <v>-0.84209999999999996</v>
      </c>
      <c r="BI75" s="228">
        <v>414</v>
      </c>
      <c r="BJ75" s="228">
        <v>384</v>
      </c>
      <c r="BK75" s="228">
        <v>30</v>
      </c>
      <c r="BL75" s="229">
        <v>7.6999999999999999E-2</v>
      </c>
      <c r="BM75" s="228">
        <v>199</v>
      </c>
      <c r="BN75" s="228">
        <v>184</v>
      </c>
      <c r="BO75" s="228">
        <v>15</v>
      </c>
      <c r="BP75" s="229">
        <v>8.3799999999999999E-2</v>
      </c>
      <c r="BQ75" s="228">
        <v>765</v>
      </c>
      <c r="BR75" s="228">
        <v>771</v>
      </c>
      <c r="BS75" s="228">
        <v>-6</v>
      </c>
      <c r="BT75" s="229">
        <v>-7.6E-3</v>
      </c>
      <c r="BU75" s="230">
        <v>619014</v>
      </c>
      <c r="BV75" s="230">
        <v>954635</v>
      </c>
      <c r="BW75" s="230">
        <v>-335621</v>
      </c>
      <c r="BX75" s="229">
        <v>-0.35160000000000002</v>
      </c>
      <c r="BY75" s="230">
        <v>1733</v>
      </c>
      <c r="BZ75" s="230">
        <v>1713</v>
      </c>
      <c r="CA75" s="228">
        <v>20</v>
      </c>
      <c r="CB75" s="229">
        <v>1.18E-2</v>
      </c>
      <c r="CC75" s="230">
        <v>1699</v>
      </c>
      <c r="CD75" s="230">
        <v>1683</v>
      </c>
      <c r="CE75" s="228">
        <v>16</v>
      </c>
      <c r="CF75" s="229">
        <v>9.4999999999999998E-3</v>
      </c>
      <c r="CG75" s="228">
        <v>33</v>
      </c>
      <c r="CH75" s="228">
        <v>28</v>
      </c>
      <c r="CI75" s="228">
        <v>4</v>
      </c>
      <c r="CJ75" s="229">
        <v>0.14169999999999999</v>
      </c>
      <c r="CK75" s="228">
        <v>2</v>
      </c>
      <c r="CL75" s="228">
        <v>2</v>
      </c>
      <c r="CM75" s="228">
        <v>0</v>
      </c>
      <c r="CN75" s="229">
        <v>0.15790000000000001</v>
      </c>
      <c r="CO75" s="228">
        <v>465</v>
      </c>
      <c r="CP75" s="228">
        <v>391</v>
      </c>
      <c r="CQ75" s="228">
        <v>73</v>
      </c>
      <c r="CR75" s="229">
        <v>0.1875</v>
      </c>
      <c r="CS75" s="228">
        <v>300</v>
      </c>
      <c r="CT75" s="228">
        <v>273</v>
      </c>
      <c r="CU75" s="228">
        <v>27</v>
      </c>
      <c r="CV75" s="229">
        <v>9.8000000000000004E-2</v>
      </c>
      <c r="CW75" s="230">
        <v>2499</v>
      </c>
      <c r="CX75" s="230">
        <v>2378</v>
      </c>
      <c r="CY75" s="228">
        <v>120</v>
      </c>
      <c r="CZ75" s="229">
        <v>5.0700000000000002E-2</v>
      </c>
      <c r="DA75" s="228">
        <v>26.62</v>
      </c>
      <c r="DB75" s="228">
        <v>26.01</v>
      </c>
      <c r="DC75" s="228">
        <v>0.61</v>
      </c>
      <c r="DD75" s="228">
        <v>0.61</v>
      </c>
      <c r="DE75" s="228">
        <v>33.64</v>
      </c>
      <c r="DF75" s="228">
        <v>33.72</v>
      </c>
      <c r="DG75" s="228">
        <v>-7.02</v>
      </c>
      <c r="DH75" s="228">
        <v>-0.08</v>
      </c>
      <c r="DI75" s="228">
        <v>26.62</v>
      </c>
      <c r="DJ75" s="228">
        <v>26.12</v>
      </c>
      <c r="DK75" s="228">
        <v>0.5</v>
      </c>
      <c r="DL75" s="228">
        <v>0.5</v>
      </c>
      <c r="DM75" s="228">
        <v>26.63</v>
      </c>
      <c r="DN75" s="228">
        <v>25.79</v>
      </c>
      <c r="DO75" s="228">
        <v>0.84</v>
      </c>
      <c r="DP75" s="228">
        <v>0.84</v>
      </c>
      <c r="DQ75" s="228">
        <v>0.65</v>
      </c>
      <c r="DR75" s="228">
        <v>0.7</v>
      </c>
      <c r="DS75" s="228">
        <v>-0.05</v>
      </c>
      <c r="DT75" s="229">
        <v>-7.1400000000000005E-2</v>
      </c>
      <c r="DU75" s="231">
        <v>2700</v>
      </c>
      <c r="DV75" s="231">
        <v>2600</v>
      </c>
      <c r="DW75" s="228">
        <v>0.48</v>
      </c>
      <c r="DX75" s="228">
        <v>0.48</v>
      </c>
      <c r="DY75" s="228">
        <v>0</v>
      </c>
      <c r="DZ75" s="229">
        <v>0</v>
      </c>
      <c r="EA75" s="229">
        <v>1.9800000000000002E-2</v>
      </c>
      <c r="EB75" s="230">
        <v>113700</v>
      </c>
      <c r="EC75" s="229">
        <v>5.1999999999999998E-3</v>
      </c>
      <c r="ED75" s="229">
        <v>1.9800000000000002E-2</v>
      </c>
      <c r="EE75" s="228">
        <v>16.329999999999998</v>
      </c>
      <c r="EF75" s="229">
        <v>6.1999999999999998E-3</v>
      </c>
      <c r="EG75" s="230">
        <v>446371</v>
      </c>
      <c r="EH75" s="230">
        <v>665774</v>
      </c>
      <c r="EI75" s="229">
        <v>-0.32950000000000002</v>
      </c>
      <c r="EJ75" s="229">
        <v>0.72109999999999996</v>
      </c>
      <c r="EK75" s="228">
        <v>433.63</v>
      </c>
      <c r="EL75" s="228">
        <v>198.85</v>
      </c>
      <c r="EM75" s="228">
        <v>152.41999999999999</v>
      </c>
      <c r="EN75" s="228">
        <v>23.06</v>
      </c>
      <c r="EO75" s="228">
        <v>784.91</v>
      </c>
      <c r="EP75" s="228">
        <v>790.32</v>
      </c>
      <c r="EQ75" s="228">
        <v>-5.42</v>
      </c>
      <c r="ER75" s="229">
        <v>-6.8999999999999999E-3</v>
      </c>
      <c r="ES75" s="228">
        <v>486.43</v>
      </c>
      <c r="ET75" s="228">
        <v>293.3</v>
      </c>
      <c r="EU75" s="231">
        <v>1733.59</v>
      </c>
      <c r="EV75" s="231">
        <v>30592324</v>
      </c>
      <c r="EW75" s="231">
        <v>2513.3200000000002</v>
      </c>
      <c r="EX75" s="231">
        <v>2389.04</v>
      </c>
      <c r="EY75" s="228">
        <v>124.28</v>
      </c>
      <c r="EZ75" s="229">
        <v>5.1999999999999998E-2</v>
      </c>
      <c r="FA75" s="229">
        <v>0.30980000000000002</v>
      </c>
      <c r="FB75" s="227" t="s">
        <v>555</v>
      </c>
      <c r="FC75">
        <f t="shared" si="1"/>
        <v>34</v>
      </c>
    </row>
    <row r="76" spans="1:159" ht="17.25" thickBot="1" x14ac:dyDescent="0.3">
      <c r="A76" s="226">
        <v>46029</v>
      </c>
      <c r="B76" s="227" t="s">
        <v>172</v>
      </c>
      <c r="C76" s="227" t="s">
        <v>224</v>
      </c>
      <c r="D76" s="228">
        <v>550</v>
      </c>
      <c r="E76" s="228">
        <v>20</v>
      </c>
      <c r="F76" s="228">
        <v>952.55</v>
      </c>
      <c r="G76" s="228">
        <v>966.95</v>
      </c>
      <c r="H76" s="228">
        <v>-14.4</v>
      </c>
      <c r="I76" s="229">
        <v>-1.49E-2</v>
      </c>
      <c r="J76" s="228">
        <v>949.05</v>
      </c>
      <c r="K76" s="228">
        <v>962.2</v>
      </c>
      <c r="L76" s="228">
        <v>-13.15</v>
      </c>
      <c r="M76" s="229">
        <v>-1.37E-2</v>
      </c>
      <c r="N76" s="228">
        <v>952.55</v>
      </c>
      <c r="O76" s="228">
        <v>966.95</v>
      </c>
      <c r="P76" s="228">
        <v>-14.4</v>
      </c>
      <c r="Q76" s="229">
        <v>-1.49E-2</v>
      </c>
      <c r="R76" s="228">
        <v>958</v>
      </c>
      <c r="S76" s="228">
        <v>972.3</v>
      </c>
      <c r="T76" s="228">
        <v>-14.3</v>
      </c>
      <c r="U76" s="229">
        <v>-1.47E-2</v>
      </c>
      <c r="V76" s="228">
        <v>963.8</v>
      </c>
      <c r="W76" s="228">
        <v>978.9</v>
      </c>
      <c r="X76" s="228">
        <v>-15.1</v>
      </c>
      <c r="Y76" s="229">
        <v>-1.54E-2</v>
      </c>
      <c r="Z76" s="228">
        <v>3.5</v>
      </c>
      <c r="AA76" s="228">
        <v>4.75</v>
      </c>
      <c r="AB76" s="228">
        <v>-1.25</v>
      </c>
      <c r="AC76" s="229">
        <v>3.7000000000000002E-3</v>
      </c>
      <c r="AD76" s="228">
        <v>3.5</v>
      </c>
      <c r="AE76" s="228">
        <v>4.75</v>
      </c>
      <c r="AF76" s="228">
        <v>-1.25</v>
      </c>
      <c r="AG76" s="229">
        <v>3.7000000000000002E-3</v>
      </c>
      <c r="AH76" s="228">
        <v>8.9499999999999993</v>
      </c>
      <c r="AI76" s="228">
        <v>10.1</v>
      </c>
      <c r="AJ76" s="228">
        <v>-1.1499999999999999</v>
      </c>
      <c r="AK76" s="229">
        <v>9.4000000000000004E-3</v>
      </c>
      <c r="AL76" s="228">
        <v>14.75</v>
      </c>
      <c r="AM76" s="228">
        <v>16.7</v>
      </c>
      <c r="AN76" s="228">
        <v>-1.95</v>
      </c>
      <c r="AO76" s="229">
        <v>1.55E-2</v>
      </c>
      <c r="AP76" s="228">
        <v>954.5</v>
      </c>
      <c r="AQ76" s="228">
        <v>960.19</v>
      </c>
      <c r="AR76" s="228">
        <v>0</v>
      </c>
      <c r="AS76" s="230">
        <v>3334</v>
      </c>
      <c r="AT76" s="230">
        <v>2687</v>
      </c>
      <c r="AU76" s="228">
        <v>647</v>
      </c>
      <c r="AV76" s="229">
        <v>0.24079999999999999</v>
      </c>
      <c r="AW76" s="230">
        <v>2848</v>
      </c>
      <c r="AX76" s="230">
        <v>2516</v>
      </c>
      <c r="AY76" s="228">
        <v>332</v>
      </c>
      <c r="AZ76" s="229">
        <v>0.13200000000000001</v>
      </c>
      <c r="BA76" s="228">
        <v>331</v>
      </c>
      <c r="BB76" s="228">
        <v>139</v>
      </c>
      <c r="BC76" s="228">
        <v>192</v>
      </c>
      <c r="BD76" s="229">
        <v>1.381</v>
      </c>
      <c r="BE76" s="228">
        <v>156</v>
      </c>
      <c r="BF76" s="228">
        <v>33</v>
      </c>
      <c r="BG76" s="228">
        <v>123</v>
      </c>
      <c r="BH76" s="229">
        <v>3.7519999999999998</v>
      </c>
      <c r="BI76" s="230">
        <v>7807</v>
      </c>
      <c r="BJ76" s="230">
        <v>7120</v>
      </c>
      <c r="BK76" s="228">
        <v>687</v>
      </c>
      <c r="BL76" s="229">
        <v>9.6500000000000002E-2</v>
      </c>
      <c r="BM76" s="230">
        <v>4714</v>
      </c>
      <c r="BN76" s="230">
        <v>4035</v>
      </c>
      <c r="BO76" s="228">
        <v>680</v>
      </c>
      <c r="BP76" s="229">
        <v>0.16850000000000001</v>
      </c>
      <c r="BQ76" s="230">
        <v>15856</v>
      </c>
      <c r="BR76" s="230">
        <v>13842</v>
      </c>
      <c r="BS76" s="230">
        <v>2014</v>
      </c>
      <c r="BT76" s="229">
        <v>0.14549999999999999</v>
      </c>
      <c r="BU76" s="230">
        <v>60286195</v>
      </c>
      <c r="BV76" s="230">
        <v>34294875</v>
      </c>
      <c r="BW76" s="230">
        <v>25991320</v>
      </c>
      <c r="BX76" s="229">
        <v>0.75790000000000002</v>
      </c>
      <c r="BY76" s="230">
        <v>21484</v>
      </c>
      <c r="BZ76" s="230">
        <v>21171</v>
      </c>
      <c r="CA76" s="228">
        <v>313</v>
      </c>
      <c r="CB76" s="229">
        <v>1.4800000000000001E-2</v>
      </c>
      <c r="CC76" s="230">
        <v>20596</v>
      </c>
      <c r="CD76" s="230">
        <v>20666</v>
      </c>
      <c r="CE76" s="228">
        <v>-70</v>
      </c>
      <c r="CF76" s="229">
        <v>-3.3999999999999998E-3</v>
      </c>
      <c r="CG76" s="228">
        <v>689</v>
      </c>
      <c r="CH76" s="228">
        <v>432</v>
      </c>
      <c r="CI76" s="228">
        <v>257</v>
      </c>
      <c r="CJ76" s="229">
        <v>0.59399999999999997</v>
      </c>
      <c r="CK76" s="228">
        <v>199</v>
      </c>
      <c r="CL76" s="228">
        <v>73</v>
      </c>
      <c r="CM76" s="228">
        <v>126</v>
      </c>
      <c r="CN76" s="229">
        <v>1.7297</v>
      </c>
      <c r="CO76" s="230">
        <v>5880</v>
      </c>
      <c r="CP76" s="230">
        <v>4773</v>
      </c>
      <c r="CQ76" s="230">
        <v>1107</v>
      </c>
      <c r="CR76" s="229">
        <v>0.23200000000000001</v>
      </c>
      <c r="CS76" s="230">
        <v>3375</v>
      </c>
      <c r="CT76" s="230">
        <v>2886</v>
      </c>
      <c r="CU76" s="228">
        <v>489</v>
      </c>
      <c r="CV76" s="229">
        <v>0.16930000000000001</v>
      </c>
      <c r="CW76" s="230">
        <v>30738</v>
      </c>
      <c r="CX76" s="230">
        <v>28830</v>
      </c>
      <c r="CY76" s="230">
        <v>1909</v>
      </c>
      <c r="CZ76" s="229">
        <v>6.6199999999999995E-2</v>
      </c>
      <c r="DA76" s="228">
        <v>21.27</v>
      </c>
      <c r="DB76" s="228">
        <v>20.16</v>
      </c>
      <c r="DC76" s="228">
        <v>1.1100000000000001</v>
      </c>
      <c r="DD76" s="228">
        <v>1.1100000000000001</v>
      </c>
      <c r="DE76" s="228">
        <v>19.91</v>
      </c>
      <c r="DF76" s="228">
        <v>19.88</v>
      </c>
      <c r="DG76" s="228">
        <v>1.36</v>
      </c>
      <c r="DH76" s="228">
        <v>0.03</v>
      </c>
      <c r="DI76" s="228">
        <v>21.33</v>
      </c>
      <c r="DJ76" s="228">
        <v>20.05</v>
      </c>
      <c r="DK76" s="228">
        <v>1.28</v>
      </c>
      <c r="DL76" s="228">
        <v>1.28</v>
      </c>
      <c r="DM76" s="228">
        <v>21.18</v>
      </c>
      <c r="DN76" s="228">
        <v>20.34</v>
      </c>
      <c r="DO76" s="228">
        <v>0.84</v>
      </c>
      <c r="DP76" s="228">
        <v>0.84</v>
      </c>
      <c r="DQ76" s="228">
        <v>0.56999999999999995</v>
      </c>
      <c r="DR76" s="228">
        <v>0.6</v>
      </c>
      <c r="DS76" s="228">
        <v>-0.03</v>
      </c>
      <c r="DT76" s="229">
        <v>-0.05</v>
      </c>
      <c r="DU76" s="231">
        <v>1000</v>
      </c>
      <c r="DV76" s="228">
        <v>900</v>
      </c>
      <c r="DW76" s="228">
        <v>0.6</v>
      </c>
      <c r="DX76" s="228">
        <v>0.56999999999999995</v>
      </c>
      <c r="DY76" s="228">
        <v>0.03</v>
      </c>
      <c r="DZ76" s="229">
        <v>5.2600000000000001E-2</v>
      </c>
      <c r="EA76" s="229">
        <v>4.1300000000000003E-2</v>
      </c>
      <c r="EB76" s="230">
        <v>5303650</v>
      </c>
      <c r="EC76" s="229">
        <v>5.7000000000000002E-3</v>
      </c>
      <c r="ED76" s="229">
        <v>4.1300000000000003E-2</v>
      </c>
      <c r="EE76" s="228">
        <v>5.69</v>
      </c>
      <c r="EF76" s="229">
        <v>6.0000000000000001E-3</v>
      </c>
      <c r="EG76" s="230">
        <v>50981049</v>
      </c>
      <c r="EH76" s="230">
        <v>24460136</v>
      </c>
      <c r="EI76" s="229">
        <v>1.0843</v>
      </c>
      <c r="EJ76" s="229">
        <v>0.84570000000000001</v>
      </c>
      <c r="EK76" s="231">
        <v>8127.19</v>
      </c>
      <c r="EL76" s="231">
        <v>4717.16</v>
      </c>
      <c r="EM76" s="231">
        <v>3345.05</v>
      </c>
      <c r="EN76" s="228">
        <v>370.71</v>
      </c>
      <c r="EO76" s="231">
        <v>16189.4</v>
      </c>
      <c r="EP76" s="231">
        <v>14302.69</v>
      </c>
      <c r="EQ76" s="231">
        <v>1886.71</v>
      </c>
      <c r="ER76" s="229">
        <v>0.13189999999999999</v>
      </c>
      <c r="ES76" s="231">
        <v>6169</v>
      </c>
      <c r="ET76" s="231">
        <v>3368.43</v>
      </c>
      <c r="EU76" s="231">
        <v>21490.22</v>
      </c>
      <c r="EV76" s="231">
        <v>1330694977</v>
      </c>
      <c r="EW76" s="231">
        <v>31027.65</v>
      </c>
      <c r="EX76" s="231">
        <v>29444.76</v>
      </c>
      <c r="EY76" s="231">
        <v>1582.89</v>
      </c>
      <c r="EZ76" s="229">
        <v>5.3800000000000001E-2</v>
      </c>
      <c r="FA76" s="229">
        <v>0.24249999999999999</v>
      </c>
      <c r="FB76" s="227" t="s">
        <v>567</v>
      </c>
      <c r="FC76">
        <f t="shared" si="1"/>
        <v>888</v>
      </c>
    </row>
    <row r="77" spans="1:159" ht="17.25" thickBot="1" x14ac:dyDescent="0.3">
      <c r="A77" s="226">
        <v>46029</v>
      </c>
      <c r="B77" s="227" t="s">
        <v>175</v>
      </c>
      <c r="C77" s="227" t="s">
        <v>225</v>
      </c>
      <c r="D77" s="228">
        <v>1100</v>
      </c>
      <c r="E77" s="228">
        <v>20</v>
      </c>
      <c r="F77" s="228">
        <v>775.35</v>
      </c>
      <c r="G77" s="228">
        <v>779.55</v>
      </c>
      <c r="H77" s="228">
        <v>-4.2</v>
      </c>
      <c r="I77" s="229">
        <v>-5.4000000000000003E-3</v>
      </c>
      <c r="J77" s="228">
        <v>772.35</v>
      </c>
      <c r="K77" s="228">
        <v>777.85</v>
      </c>
      <c r="L77" s="228">
        <v>-5.5</v>
      </c>
      <c r="M77" s="229">
        <v>-7.1000000000000004E-3</v>
      </c>
      <c r="N77" s="228">
        <v>775.35</v>
      </c>
      <c r="O77" s="228">
        <v>779.55</v>
      </c>
      <c r="P77" s="228">
        <v>-4.2</v>
      </c>
      <c r="Q77" s="229">
        <v>-5.4000000000000003E-3</v>
      </c>
      <c r="R77" s="228">
        <v>780</v>
      </c>
      <c r="S77" s="228">
        <v>783.7</v>
      </c>
      <c r="T77" s="228">
        <v>-3.7</v>
      </c>
      <c r="U77" s="229">
        <v>-4.7000000000000002E-3</v>
      </c>
      <c r="V77" s="228">
        <v>784.35</v>
      </c>
      <c r="W77" s="228">
        <v>784.5</v>
      </c>
      <c r="X77" s="228">
        <v>-0.15</v>
      </c>
      <c r="Y77" s="229">
        <v>-2.0000000000000001E-4</v>
      </c>
      <c r="Z77" s="228">
        <v>3</v>
      </c>
      <c r="AA77" s="228">
        <v>1.7</v>
      </c>
      <c r="AB77" s="228">
        <v>1.3</v>
      </c>
      <c r="AC77" s="229">
        <v>3.8999999999999998E-3</v>
      </c>
      <c r="AD77" s="228">
        <v>3</v>
      </c>
      <c r="AE77" s="228">
        <v>1.7</v>
      </c>
      <c r="AF77" s="228">
        <v>1.3</v>
      </c>
      <c r="AG77" s="229">
        <v>3.8999999999999998E-3</v>
      </c>
      <c r="AH77" s="228">
        <v>7.65</v>
      </c>
      <c r="AI77" s="228">
        <v>5.85</v>
      </c>
      <c r="AJ77" s="228">
        <v>1.8</v>
      </c>
      <c r="AK77" s="229">
        <v>9.9000000000000008E-3</v>
      </c>
      <c r="AL77" s="228">
        <v>12</v>
      </c>
      <c r="AM77" s="228">
        <v>6.65</v>
      </c>
      <c r="AN77" s="228">
        <v>5.35</v>
      </c>
      <c r="AO77" s="229">
        <v>1.55E-2</v>
      </c>
      <c r="AP77" s="228">
        <v>776.4</v>
      </c>
      <c r="AQ77" s="228">
        <v>781.04</v>
      </c>
      <c r="AR77" s="228">
        <v>0</v>
      </c>
      <c r="AS77" s="228">
        <v>198</v>
      </c>
      <c r="AT77" s="228">
        <v>466</v>
      </c>
      <c r="AU77" s="228">
        <v>-267</v>
      </c>
      <c r="AV77" s="229">
        <v>-0.57389999999999997</v>
      </c>
      <c r="AW77" s="228">
        <v>192</v>
      </c>
      <c r="AX77" s="228">
        <v>449</v>
      </c>
      <c r="AY77" s="228">
        <v>-256</v>
      </c>
      <c r="AZ77" s="229">
        <v>-0.57150000000000001</v>
      </c>
      <c r="BA77" s="228">
        <v>6</v>
      </c>
      <c r="BB77" s="228">
        <v>16</v>
      </c>
      <c r="BC77" s="228">
        <v>-10</v>
      </c>
      <c r="BD77" s="229">
        <v>-0.63829999999999998</v>
      </c>
      <c r="BE77" s="228">
        <v>0</v>
      </c>
      <c r="BF77" s="228">
        <v>1</v>
      </c>
      <c r="BG77" s="228">
        <v>-1</v>
      </c>
      <c r="BH77" s="229">
        <v>-0.63639999999999997</v>
      </c>
      <c r="BI77" s="228">
        <v>520</v>
      </c>
      <c r="BJ77" s="230">
        <v>1878</v>
      </c>
      <c r="BK77" s="230">
        <v>-1358</v>
      </c>
      <c r="BL77" s="229">
        <v>-0.72319999999999995</v>
      </c>
      <c r="BM77" s="228">
        <v>243</v>
      </c>
      <c r="BN77" s="228">
        <v>659</v>
      </c>
      <c r="BO77" s="228">
        <v>-416</v>
      </c>
      <c r="BP77" s="229">
        <v>-0.63060000000000005</v>
      </c>
      <c r="BQ77" s="228">
        <v>962</v>
      </c>
      <c r="BR77" s="230">
        <v>3002</v>
      </c>
      <c r="BS77" s="230">
        <v>-2041</v>
      </c>
      <c r="BT77" s="229">
        <v>-0.67969999999999997</v>
      </c>
      <c r="BU77" s="230">
        <v>2584435</v>
      </c>
      <c r="BV77" s="230">
        <v>2960377</v>
      </c>
      <c r="BW77" s="230">
        <v>-375942</v>
      </c>
      <c r="BX77" s="229">
        <v>-0.127</v>
      </c>
      <c r="BY77" s="230">
        <v>2795</v>
      </c>
      <c r="BZ77" s="230">
        <v>2815</v>
      </c>
      <c r="CA77" s="228">
        <v>-20</v>
      </c>
      <c r="CB77" s="229">
        <v>-7.0000000000000001E-3</v>
      </c>
      <c r="CC77" s="230">
        <v>2762</v>
      </c>
      <c r="CD77" s="230">
        <v>2782</v>
      </c>
      <c r="CE77" s="228">
        <v>-20</v>
      </c>
      <c r="CF77" s="229">
        <v>-7.3000000000000001E-3</v>
      </c>
      <c r="CG77" s="228">
        <v>31</v>
      </c>
      <c r="CH77" s="228">
        <v>30</v>
      </c>
      <c r="CI77" s="228">
        <v>1</v>
      </c>
      <c r="CJ77" s="229">
        <v>1.9800000000000002E-2</v>
      </c>
      <c r="CK77" s="228">
        <v>2</v>
      </c>
      <c r="CL77" s="228">
        <v>2</v>
      </c>
      <c r="CM77" s="228">
        <v>0</v>
      </c>
      <c r="CN77" s="229">
        <v>0</v>
      </c>
      <c r="CO77" s="228">
        <v>787</v>
      </c>
      <c r="CP77" s="228">
        <v>739</v>
      </c>
      <c r="CQ77" s="228">
        <v>48</v>
      </c>
      <c r="CR77" s="229">
        <v>6.5600000000000006E-2</v>
      </c>
      <c r="CS77" s="228">
        <v>510</v>
      </c>
      <c r="CT77" s="228">
        <v>482</v>
      </c>
      <c r="CU77" s="228">
        <v>28</v>
      </c>
      <c r="CV77" s="229">
        <v>5.7200000000000001E-2</v>
      </c>
      <c r="CW77" s="230">
        <v>4092</v>
      </c>
      <c r="CX77" s="230">
        <v>4035</v>
      </c>
      <c r="CY77" s="228">
        <v>56</v>
      </c>
      <c r="CZ77" s="229">
        <v>1.3899999999999999E-2</v>
      </c>
      <c r="DA77" s="228">
        <v>21.78</v>
      </c>
      <c r="DB77" s="228">
        <v>21.41</v>
      </c>
      <c r="DC77" s="228">
        <v>0.37</v>
      </c>
      <c r="DD77" s="228">
        <v>0.37</v>
      </c>
      <c r="DE77" s="228">
        <v>24.9</v>
      </c>
      <c r="DF77" s="228">
        <v>24.95</v>
      </c>
      <c r="DG77" s="228">
        <v>-3.12</v>
      </c>
      <c r="DH77" s="228">
        <v>-0.05</v>
      </c>
      <c r="DI77" s="228">
        <v>21.44</v>
      </c>
      <c r="DJ77" s="228">
        <v>21</v>
      </c>
      <c r="DK77" s="228">
        <v>0.44</v>
      </c>
      <c r="DL77" s="228">
        <v>0.44</v>
      </c>
      <c r="DM77" s="228">
        <v>22.52</v>
      </c>
      <c r="DN77" s="228">
        <v>22.58</v>
      </c>
      <c r="DO77" s="228">
        <v>-0.06</v>
      </c>
      <c r="DP77" s="228">
        <v>-0.06</v>
      </c>
      <c r="DQ77" s="228">
        <v>0.65</v>
      </c>
      <c r="DR77" s="228">
        <v>0.65</v>
      </c>
      <c r="DS77" s="228">
        <v>0</v>
      </c>
      <c r="DT77" s="229">
        <v>0</v>
      </c>
      <c r="DU77" s="228">
        <v>780</v>
      </c>
      <c r="DV77" s="228">
        <v>750</v>
      </c>
      <c r="DW77" s="228">
        <v>0.47</v>
      </c>
      <c r="DX77" s="228">
        <v>0.35</v>
      </c>
      <c r="DY77" s="228">
        <v>0.12</v>
      </c>
      <c r="DZ77" s="229">
        <v>0.34289999999999998</v>
      </c>
      <c r="EA77" s="229">
        <v>1.1900000000000001E-2</v>
      </c>
      <c r="EB77" s="230">
        <v>420200</v>
      </c>
      <c r="EC77" s="229">
        <v>6.0000000000000001E-3</v>
      </c>
      <c r="ED77" s="229">
        <v>1.1900000000000001E-2</v>
      </c>
      <c r="EE77" s="228">
        <v>4.6399999999999997</v>
      </c>
      <c r="EF77" s="229">
        <v>6.0000000000000001E-3</v>
      </c>
      <c r="EG77" s="230">
        <v>1983051</v>
      </c>
      <c r="EH77" s="230">
        <v>1444200</v>
      </c>
      <c r="EI77" s="229">
        <v>0.37309999999999999</v>
      </c>
      <c r="EJ77" s="229">
        <v>0.76729999999999998</v>
      </c>
      <c r="EK77" s="228">
        <v>541.80999999999995</v>
      </c>
      <c r="EL77" s="228">
        <v>237.07</v>
      </c>
      <c r="EM77" s="228">
        <v>198.69</v>
      </c>
      <c r="EN77" s="228">
        <v>29.79</v>
      </c>
      <c r="EO77" s="228">
        <v>977.57</v>
      </c>
      <c r="EP77" s="231">
        <v>3059.06</v>
      </c>
      <c r="EQ77" s="231">
        <v>-2081.4899999999998</v>
      </c>
      <c r="ER77" s="229">
        <v>-0.6804</v>
      </c>
      <c r="ES77" s="228">
        <v>805.95</v>
      </c>
      <c r="ET77" s="228">
        <v>485.97</v>
      </c>
      <c r="EU77" s="231">
        <v>2795.12</v>
      </c>
      <c r="EV77" s="231">
        <v>128849634</v>
      </c>
      <c r="EW77" s="231">
        <v>4087.04</v>
      </c>
      <c r="EX77" s="231">
        <v>4044.65</v>
      </c>
      <c r="EY77" s="228">
        <v>42.39</v>
      </c>
      <c r="EZ77" s="229">
        <v>1.0500000000000001E-2</v>
      </c>
      <c r="FA77" s="229">
        <v>0.40949999999999998</v>
      </c>
      <c r="FB77" s="227" t="s">
        <v>568</v>
      </c>
      <c r="FC77">
        <f t="shared" si="1"/>
        <v>33</v>
      </c>
    </row>
    <row r="78" spans="1:159" ht="17.25" thickBot="1" x14ac:dyDescent="0.3">
      <c r="A78" s="226">
        <v>46029</v>
      </c>
      <c r="B78" s="227" t="s">
        <v>162</v>
      </c>
      <c r="C78" s="227" t="s">
        <v>226</v>
      </c>
      <c r="D78" s="228">
        <v>150</v>
      </c>
      <c r="E78" s="228">
        <v>20</v>
      </c>
      <c r="F78" s="231">
        <v>6009</v>
      </c>
      <c r="G78" s="231">
        <v>6030</v>
      </c>
      <c r="H78" s="228">
        <v>-21</v>
      </c>
      <c r="I78" s="229">
        <v>-3.5000000000000001E-3</v>
      </c>
      <c r="J78" s="231">
        <v>5981</v>
      </c>
      <c r="K78" s="231">
        <v>6000</v>
      </c>
      <c r="L78" s="228">
        <v>-19</v>
      </c>
      <c r="M78" s="229">
        <v>-3.2000000000000002E-3</v>
      </c>
      <c r="N78" s="231">
        <v>6009</v>
      </c>
      <c r="O78" s="231">
        <v>6030</v>
      </c>
      <c r="P78" s="228">
        <v>-21</v>
      </c>
      <c r="Q78" s="229">
        <v>-3.5000000000000001E-3</v>
      </c>
      <c r="R78" s="231">
        <v>5986.5</v>
      </c>
      <c r="S78" s="231">
        <v>6013</v>
      </c>
      <c r="T78" s="228">
        <v>-26.5</v>
      </c>
      <c r="U78" s="229">
        <v>-4.4000000000000003E-3</v>
      </c>
      <c r="V78" s="231">
        <v>6026.5</v>
      </c>
      <c r="W78" s="231">
        <v>6049</v>
      </c>
      <c r="X78" s="228">
        <v>-22.5</v>
      </c>
      <c r="Y78" s="229">
        <v>-3.7000000000000002E-3</v>
      </c>
      <c r="Z78" s="228">
        <v>28</v>
      </c>
      <c r="AA78" s="228">
        <v>30</v>
      </c>
      <c r="AB78" s="228">
        <v>-2</v>
      </c>
      <c r="AC78" s="229">
        <v>4.7000000000000002E-3</v>
      </c>
      <c r="AD78" s="228">
        <v>28</v>
      </c>
      <c r="AE78" s="228">
        <v>30</v>
      </c>
      <c r="AF78" s="228">
        <v>-2</v>
      </c>
      <c r="AG78" s="229">
        <v>4.7000000000000002E-3</v>
      </c>
      <c r="AH78" s="228">
        <v>5.5</v>
      </c>
      <c r="AI78" s="228">
        <v>13</v>
      </c>
      <c r="AJ78" s="228">
        <v>-7.5</v>
      </c>
      <c r="AK78" s="229">
        <v>8.9999999999999998E-4</v>
      </c>
      <c r="AL78" s="228">
        <v>45.5</v>
      </c>
      <c r="AM78" s="228">
        <v>49</v>
      </c>
      <c r="AN78" s="228">
        <v>-3.5</v>
      </c>
      <c r="AO78" s="229">
        <v>7.6E-3</v>
      </c>
      <c r="AP78" s="231">
        <v>6016.77</v>
      </c>
      <c r="AQ78" s="231">
        <v>5993.77</v>
      </c>
      <c r="AR78" s="228">
        <v>0</v>
      </c>
      <c r="AS78" s="228">
        <v>425</v>
      </c>
      <c r="AT78" s="228">
        <v>448</v>
      </c>
      <c r="AU78" s="228">
        <v>-23</v>
      </c>
      <c r="AV78" s="229">
        <v>-5.21E-2</v>
      </c>
      <c r="AW78" s="228">
        <v>407</v>
      </c>
      <c r="AX78" s="228">
        <v>429</v>
      </c>
      <c r="AY78" s="228">
        <v>-22</v>
      </c>
      <c r="AZ78" s="229">
        <v>-5.0999999999999997E-2</v>
      </c>
      <c r="BA78" s="228">
        <v>16</v>
      </c>
      <c r="BB78" s="228">
        <v>17</v>
      </c>
      <c r="BC78" s="228">
        <v>-1</v>
      </c>
      <c r="BD78" s="229">
        <v>-3.6999999999999998E-2</v>
      </c>
      <c r="BE78" s="228">
        <v>1</v>
      </c>
      <c r="BF78" s="228">
        <v>2</v>
      </c>
      <c r="BG78" s="228">
        <v>-1</v>
      </c>
      <c r="BH78" s="229">
        <v>-0.42859999999999998</v>
      </c>
      <c r="BI78" s="230">
        <v>2374</v>
      </c>
      <c r="BJ78" s="230">
        <v>1915</v>
      </c>
      <c r="BK78" s="228">
        <v>459</v>
      </c>
      <c r="BL78" s="229">
        <v>0.23960000000000001</v>
      </c>
      <c r="BM78" s="230">
        <v>1610</v>
      </c>
      <c r="BN78" s="228">
        <v>932</v>
      </c>
      <c r="BO78" s="228">
        <v>678</v>
      </c>
      <c r="BP78" s="229">
        <v>0.7278</v>
      </c>
      <c r="BQ78" s="230">
        <v>4409</v>
      </c>
      <c r="BR78" s="230">
        <v>3295</v>
      </c>
      <c r="BS78" s="230">
        <v>1114</v>
      </c>
      <c r="BT78" s="229">
        <v>0.33789999999999998</v>
      </c>
      <c r="BU78" s="230">
        <v>622216</v>
      </c>
      <c r="BV78" s="230">
        <v>469974</v>
      </c>
      <c r="BW78" s="230">
        <v>152242</v>
      </c>
      <c r="BX78" s="229">
        <v>0.32390000000000002</v>
      </c>
      <c r="BY78" s="230">
        <v>3434</v>
      </c>
      <c r="BZ78" s="230">
        <v>3436</v>
      </c>
      <c r="CA78" s="228">
        <v>-2</v>
      </c>
      <c r="CB78" s="229">
        <v>-5.0000000000000001E-4</v>
      </c>
      <c r="CC78" s="230">
        <v>3368</v>
      </c>
      <c r="CD78" s="230">
        <v>3371</v>
      </c>
      <c r="CE78" s="228">
        <v>-2</v>
      </c>
      <c r="CF78" s="229">
        <v>-6.9999999999999999E-4</v>
      </c>
      <c r="CG78" s="228">
        <v>57</v>
      </c>
      <c r="CH78" s="228">
        <v>56</v>
      </c>
      <c r="CI78" s="228">
        <v>1</v>
      </c>
      <c r="CJ78" s="229">
        <v>1.2800000000000001E-2</v>
      </c>
      <c r="CK78" s="228">
        <v>9</v>
      </c>
      <c r="CL78" s="228">
        <v>9</v>
      </c>
      <c r="CM78" s="228">
        <v>0</v>
      </c>
      <c r="CN78" s="229">
        <v>-1.03E-2</v>
      </c>
      <c r="CO78" s="230">
        <v>1400</v>
      </c>
      <c r="CP78" s="230">
        <v>1389</v>
      </c>
      <c r="CQ78" s="228">
        <v>12</v>
      </c>
      <c r="CR78" s="229">
        <v>8.3000000000000001E-3</v>
      </c>
      <c r="CS78" s="228">
        <v>932</v>
      </c>
      <c r="CT78" s="228">
        <v>925</v>
      </c>
      <c r="CU78" s="228">
        <v>7</v>
      </c>
      <c r="CV78" s="229">
        <v>7.4999999999999997E-3</v>
      </c>
      <c r="CW78" s="230">
        <v>5766</v>
      </c>
      <c r="CX78" s="230">
        <v>5750</v>
      </c>
      <c r="CY78" s="228">
        <v>17</v>
      </c>
      <c r="CZ78" s="229">
        <v>2.8999999999999998E-3</v>
      </c>
      <c r="DA78" s="228">
        <v>22.6</v>
      </c>
      <c r="DB78" s="228">
        <v>22.44</v>
      </c>
      <c r="DC78" s="228">
        <v>0.16</v>
      </c>
      <c r="DD78" s="228">
        <v>0.16</v>
      </c>
      <c r="DE78" s="228">
        <v>29.96</v>
      </c>
      <c r="DF78" s="228">
        <v>30.03</v>
      </c>
      <c r="DG78" s="228">
        <v>-7.36</v>
      </c>
      <c r="DH78" s="228">
        <v>-7.0000000000000007E-2</v>
      </c>
      <c r="DI78" s="228">
        <v>22.6</v>
      </c>
      <c r="DJ78" s="228">
        <v>22.41</v>
      </c>
      <c r="DK78" s="228">
        <v>0.19</v>
      </c>
      <c r="DL78" s="228">
        <v>0.19</v>
      </c>
      <c r="DM78" s="228">
        <v>22.59</v>
      </c>
      <c r="DN78" s="228">
        <v>22.52</v>
      </c>
      <c r="DO78" s="228">
        <v>7.0000000000000007E-2</v>
      </c>
      <c r="DP78" s="228">
        <v>7.0000000000000007E-2</v>
      </c>
      <c r="DQ78" s="228">
        <v>0.67</v>
      </c>
      <c r="DR78" s="228">
        <v>0.67</v>
      </c>
      <c r="DS78" s="228">
        <v>0</v>
      </c>
      <c r="DT78" s="229">
        <v>0</v>
      </c>
      <c r="DU78" s="231">
        <v>6000</v>
      </c>
      <c r="DV78" s="231">
        <v>6000</v>
      </c>
      <c r="DW78" s="228">
        <v>0.68</v>
      </c>
      <c r="DX78" s="228">
        <v>0.49</v>
      </c>
      <c r="DY78" s="228">
        <v>0.19</v>
      </c>
      <c r="DZ78" s="229">
        <v>0.38779999999999998</v>
      </c>
      <c r="EA78" s="229">
        <v>1.9099999999999999E-2</v>
      </c>
      <c r="EB78" s="230">
        <v>108150</v>
      </c>
      <c r="EC78" s="229">
        <v>-3.7000000000000002E-3</v>
      </c>
      <c r="ED78" s="229">
        <v>1.9099999999999999E-2</v>
      </c>
      <c r="EE78" s="228">
        <v>-23</v>
      </c>
      <c r="EF78" s="229">
        <v>-3.8E-3</v>
      </c>
      <c r="EG78" s="230">
        <v>384032</v>
      </c>
      <c r="EH78" s="230">
        <v>279621</v>
      </c>
      <c r="EI78" s="229">
        <v>0.37340000000000001</v>
      </c>
      <c r="EJ78" s="229">
        <v>0.61719999999999997</v>
      </c>
      <c r="EK78" s="231">
        <v>2474.35</v>
      </c>
      <c r="EL78" s="231">
        <v>1590.21</v>
      </c>
      <c r="EM78" s="228">
        <v>425.21</v>
      </c>
      <c r="EN78" s="228">
        <v>74.73</v>
      </c>
      <c r="EO78" s="231">
        <v>4489.76</v>
      </c>
      <c r="EP78" s="231">
        <v>3371.94</v>
      </c>
      <c r="EQ78" s="231">
        <v>1117.82</v>
      </c>
      <c r="ER78" s="229">
        <v>0.33150000000000002</v>
      </c>
      <c r="ES78" s="231">
        <v>1430.86</v>
      </c>
      <c r="ET78" s="228">
        <v>881.48</v>
      </c>
      <c r="EU78" s="231">
        <v>3433.59</v>
      </c>
      <c r="EV78" s="231">
        <v>19586951</v>
      </c>
      <c r="EW78" s="231">
        <v>5745.93</v>
      </c>
      <c r="EX78" s="231">
        <v>5741.31</v>
      </c>
      <c r="EY78" s="228">
        <v>4.62</v>
      </c>
      <c r="EZ78" s="229">
        <v>8.0000000000000004E-4</v>
      </c>
      <c r="FA78" s="229">
        <v>0.4899</v>
      </c>
      <c r="FB78" s="227" t="s">
        <v>568</v>
      </c>
      <c r="FC78">
        <f t="shared" si="1"/>
        <v>66</v>
      </c>
    </row>
    <row r="79" spans="1:159" ht="17.25" thickBot="1" x14ac:dyDescent="0.3">
      <c r="A79" s="226">
        <v>46029</v>
      </c>
      <c r="B79" s="227" t="s">
        <v>227</v>
      </c>
      <c r="C79" s="227" t="s">
        <v>228</v>
      </c>
      <c r="D79" s="228">
        <v>700</v>
      </c>
      <c r="E79" s="228">
        <v>20</v>
      </c>
      <c r="F79" s="228">
        <v>940.2</v>
      </c>
      <c r="G79" s="228">
        <v>945.8</v>
      </c>
      <c r="H79" s="228">
        <v>-5.6</v>
      </c>
      <c r="I79" s="229">
        <v>-5.8999999999999999E-3</v>
      </c>
      <c r="J79" s="228">
        <v>938.45</v>
      </c>
      <c r="K79" s="228">
        <v>942.25</v>
      </c>
      <c r="L79" s="228">
        <v>-3.8</v>
      </c>
      <c r="M79" s="229">
        <v>-4.0000000000000001E-3</v>
      </c>
      <c r="N79" s="228">
        <v>940.2</v>
      </c>
      <c r="O79" s="228">
        <v>945.8</v>
      </c>
      <c r="P79" s="228">
        <v>-5.6</v>
      </c>
      <c r="Q79" s="229">
        <v>-5.8999999999999999E-3</v>
      </c>
      <c r="R79" s="228">
        <v>945.65</v>
      </c>
      <c r="S79" s="228">
        <v>951.8</v>
      </c>
      <c r="T79" s="228">
        <v>-6.15</v>
      </c>
      <c r="U79" s="229">
        <v>-6.4999999999999997E-3</v>
      </c>
      <c r="V79" s="228">
        <v>950.75</v>
      </c>
      <c r="W79" s="228">
        <v>957.4</v>
      </c>
      <c r="X79" s="228">
        <v>-6.65</v>
      </c>
      <c r="Y79" s="229">
        <v>-6.8999999999999999E-3</v>
      </c>
      <c r="Z79" s="228">
        <v>1.75</v>
      </c>
      <c r="AA79" s="228">
        <v>3.55</v>
      </c>
      <c r="AB79" s="228">
        <v>-1.8</v>
      </c>
      <c r="AC79" s="229">
        <v>1.9E-3</v>
      </c>
      <c r="AD79" s="228">
        <v>1.75</v>
      </c>
      <c r="AE79" s="228">
        <v>3.55</v>
      </c>
      <c r="AF79" s="228">
        <v>-1.8</v>
      </c>
      <c r="AG79" s="229">
        <v>1.9E-3</v>
      </c>
      <c r="AH79" s="228">
        <v>7.2</v>
      </c>
      <c r="AI79" s="228">
        <v>9.5500000000000007</v>
      </c>
      <c r="AJ79" s="228">
        <v>-2.35</v>
      </c>
      <c r="AK79" s="229">
        <v>7.7000000000000002E-3</v>
      </c>
      <c r="AL79" s="228">
        <v>12.3</v>
      </c>
      <c r="AM79" s="228">
        <v>15.15</v>
      </c>
      <c r="AN79" s="228">
        <v>-2.85</v>
      </c>
      <c r="AO79" s="229">
        <v>1.3100000000000001E-2</v>
      </c>
      <c r="AP79" s="228">
        <v>946.34</v>
      </c>
      <c r="AQ79" s="228">
        <v>951.23</v>
      </c>
      <c r="AR79" s="228">
        <v>0</v>
      </c>
      <c r="AS79" s="228">
        <v>989</v>
      </c>
      <c r="AT79" s="230">
        <v>1623</v>
      </c>
      <c r="AU79" s="228">
        <v>-634</v>
      </c>
      <c r="AV79" s="229">
        <v>-0.39040000000000002</v>
      </c>
      <c r="AW79" s="228">
        <v>946</v>
      </c>
      <c r="AX79" s="230">
        <v>1522</v>
      </c>
      <c r="AY79" s="228">
        <v>-575</v>
      </c>
      <c r="AZ79" s="229">
        <v>-0.378</v>
      </c>
      <c r="BA79" s="228">
        <v>37</v>
      </c>
      <c r="BB79" s="228">
        <v>86</v>
      </c>
      <c r="BC79" s="228">
        <v>-49</v>
      </c>
      <c r="BD79" s="229">
        <v>-0.56950000000000001</v>
      </c>
      <c r="BE79" s="228">
        <v>6</v>
      </c>
      <c r="BF79" s="228">
        <v>15</v>
      </c>
      <c r="BG79" s="228">
        <v>-9</v>
      </c>
      <c r="BH79" s="229">
        <v>-0.61399999999999999</v>
      </c>
      <c r="BI79" s="230">
        <v>3073</v>
      </c>
      <c r="BJ79" s="230">
        <v>9106</v>
      </c>
      <c r="BK79" s="230">
        <v>-6032</v>
      </c>
      <c r="BL79" s="229">
        <v>-0.66249999999999998</v>
      </c>
      <c r="BM79" s="230">
        <v>1643</v>
      </c>
      <c r="BN79" s="230">
        <v>3696</v>
      </c>
      <c r="BO79" s="230">
        <v>-2053</v>
      </c>
      <c r="BP79" s="229">
        <v>-0.5554</v>
      </c>
      <c r="BQ79" s="230">
        <v>5706</v>
      </c>
      <c r="BR79" s="230">
        <v>14425</v>
      </c>
      <c r="BS79" s="230">
        <v>-8719</v>
      </c>
      <c r="BT79" s="229">
        <v>-0.60440000000000005</v>
      </c>
      <c r="BU79" s="230">
        <v>7555417</v>
      </c>
      <c r="BV79" s="230">
        <v>10707195</v>
      </c>
      <c r="BW79" s="230">
        <v>-3151778</v>
      </c>
      <c r="BX79" s="229">
        <v>-0.2944</v>
      </c>
      <c r="BY79" s="230">
        <v>5437</v>
      </c>
      <c r="BZ79" s="230">
        <v>5689</v>
      </c>
      <c r="CA79" s="228">
        <v>-252</v>
      </c>
      <c r="CB79" s="229">
        <v>-4.4200000000000003E-2</v>
      </c>
      <c r="CC79" s="230">
        <v>5360</v>
      </c>
      <c r="CD79" s="230">
        <v>5611</v>
      </c>
      <c r="CE79" s="228">
        <v>-250</v>
      </c>
      <c r="CF79" s="229">
        <v>-4.4600000000000001E-2</v>
      </c>
      <c r="CG79" s="228">
        <v>65</v>
      </c>
      <c r="CH79" s="228">
        <v>68</v>
      </c>
      <c r="CI79" s="228">
        <v>-3</v>
      </c>
      <c r="CJ79" s="229">
        <v>-4.53E-2</v>
      </c>
      <c r="CK79" s="228">
        <v>12</v>
      </c>
      <c r="CL79" s="228">
        <v>10</v>
      </c>
      <c r="CM79" s="228">
        <v>2</v>
      </c>
      <c r="CN79" s="229">
        <v>0.17330000000000001</v>
      </c>
      <c r="CO79" s="230">
        <v>1572</v>
      </c>
      <c r="CP79" s="230">
        <v>1527</v>
      </c>
      <c r="CQ79" s="228">
        <v>45</v>
      </c>
      <c r="CR79" s="229">
        <v>2.92E-2</v>
      </c>
      <c r="CS79" s="230">
        <v>1308</v>
      </c>
      <c r="CT79" s="230">
        <v>1363</v>
      </c>
      <c r="CU79" s="228">
        <v>-54</v>
      </c>
      <c r="CV79" s="229">
        <v>-0.04</v>
      </c>
      <c r="CW79" s="230">
        <v>8317</v>
      </c>
      <c r="CX79" s="230">
        <v>8579</v>
      </c>
      <c r="CY79" s="228">
        <v>-261</v>
      </c>
      <c r="CZ79" s="229">
        <v>-3.0499999999999999E-2</v>
      </c>
      <c r="DA79" s="228">
        <v>26.5</v>
      </c>
      <c r="DB79" s="228">
        <v>26.8</v>
      </c>
      <c r="DC79" s="228">
        <v>-0.3</v>
      </c>
      <c r="DD79" s="228">
        <v>-0.3</v>
      </c>
      <c r="DE79" s="228">
        <v>32.14</v>
      </c>
      <c r="DF79" s="228">
        <v>32.22</v>
      </c>
      <c r="DG79" s="228">
        <v>-5.64</v>
      </c>
      <c r="DH79" s="228">
        <v>-0.08</v>
      </c>
      <c r="DI79" s="228">
        <v>26.46</v>
      </c>
      <c r="DJ79" s="228">
        <v>26.66</v>
      </c>
      <c r="DK79" s="228">
        <v>-0.2</v>
      </c>
      <c r="DL79" s="228">
        <v>-0.2</v>
      </c>
      <c r="DM79" s="228">
        <v>26.57</v>
      </c>
      <c r="DN79" s="228">
        <v>27.16</v>
      </c>
      <c r="DO79" s="228">
        <v>-0.59</v>
      </c>
      <c r="DP79" s="228">
        <v>-0.59</v>
      </c>
      <c r="DQ79" s="228">
        <v>0.83</v>
      </c>
      <c r="DR79" s="228">
        <v>0.89</v>
      </c>
      <c r="DS79" s="228">
        <v>-0.06</v>
      </c>
      <c r="DT79" s="229">
        <v>-6.7400000000000002E-2</v>
      </c>
      <c r="DU79" s="231">
        <v>1000</v>
      </c>
      <c r="DV79" s="228">
        <v>900</v>
      </c>
      <c r="DW79" s="228">
        <v>0.53</v>
      </c>
      <c r="DX79" s="228">
        <v>0.41</v>
      </c>
      <c r="DY79" s="228">
        <v>0.12</v>
      </c>
      <c r="DZ79" s="229">
        <v>0.29270000000000002</v>
      </c>
      <c r="EA79" s="229">
        <v>1.41E-2</v>
      </c>
      <c r="EB79" s="230">
        <v>831600</v>
      </c>
      <c r="EC79" s="229">
        <v>5.7999999999999996E-3</v>
      </c>
      <c r="ED79" s="229">
        <v>1.41E-2</v>
      </c>
      <c r="EE79" s="228">
        <v>4.8899999999999997</v>
      </c>
      <c r="EF79" s="229">
        <v>5.1999999999999998E-3</v>
      </c>
      <c r="EG79" s="230">
        <v>4748508</v>
      </c>
      <c r="EH79" s="230">
        <v>4311101</v>
      </c>
      <c r="EI79" s="229">
        <v>0.10150000000000001</v>
      </c>
      <c r="EJ79" s="229">
        <v>0.62849999999999995</v>
      </c>
      <c r="EK79" s="231">
        <v>3239.87</v>
      </c>
      <c r="EL79" s="231">
        <v>1630.3</v>
      </c>
      <c r="EM79" s="228">
        <v>996.04</v>
      </c>
      <c r="EN79" s="228">
        <v>126.37</v>
      </c>
      <c r="EO79" s="231">
        <v>5866.21</v>
      </c>
      <c r="EP79" s="231">
        <v>14998.8</v>
      </c>
      <c r="EQ79" s="231">
        <v>-9132.59</v>
      </c>
      <c r="ER79" s="229">
        <v>-0.6089</v>
      </c>
      <c r="ES79" s="231">
        <v>1605.99</v>
      </c>
      <c r="ET79" s="231">
        <v>1217.73</v>
      </c>
      <c r="EU79" s="231">
        <v>5437.8</v>
      </c>
      <c r="EV79" s="231">
        <v>212176873</v>
      </c>
      <c r="EW79" s="231">
        <v>8261.51</v>
      </c>
      <c r="EX79" s="231">
        <v>8556.26</v>
      </c>
      <c r="EY79" s="228">
        <v>-294.75</v>
      </c>
      <c r="EZ79" s="229">
        <v>-3.44E-2</v>
      </c>
      <c r="FA79" s="229">
        <v>0.41689999999999999</v>
      </c>
      <c r="FB79" s="227" t="s">
        <v>568</v>
      </c>
      <c r="FC79">
        <f t="shared" si="1"/>
        <v>77</v>
      </c>
    </row>
    <row r="80" spans="1:159" ht="17.25" thickBot="1" x14ac:dyDescent="0.3">
      <c r="A80" s="226">
        <v>46029</v>
      </c>
      <c r="B80" s="227" t="s">
        <v>193</v>
      </c>
      <c r="C80" s="227" t="s">
        <v>229</v>
      </c>
      <c r="D80" s="228">
        <v>2025</v>
      </c>
      <c r="E80" s="228">
        <v>20</v>
      </c>
      <c r="F80" s="228">
        <v>478.2</v>
      </c>
      <c r="G80" s="228">
        <v>484.1</v>
      </c>
      <c r="H80" s="228">
        <v>-5.9</v>
      </c>
      <c r="I80" s="229">
        <v>-1.2200000000000001E-2</v>
      </c>
      <c r="J80" s="228">
        <v>476.45</v>
      </c>
      <c r="K80" s="228">
        <v>482.35</v>
      </c>
      <c r="L80" s="228">
        <v>-5.9</v>
      </c>
      <c r="M80" s="229">
        <v>-1.2200000000000001E-2</v>
      </c>
      <c r="N80" s="228">
        <v>478.2</v>
      </c>
      <c r="O80" s="228">
        <v>484.1</v>
      </c>
      <c r="P80" s="228">
        <v>-5.9</v>
      </c>
      <c r="Q80" s="229">
        <v>-1.2200000000000001E-2</v>
      </c>
      <c r="R80" s="228">
        <v>478.5</v>
      </c>
      <c r="S80" s="228">
        <v>484.5</v>
      </c>
      <c r="T80" s="228">
        <v>-6</v>
      </c>
      <c r="U80" s="229">
        <v>-1.24E-2</v>
      </c>
      <c r="V80" s="228">
        <v>481.2</v>
      </c>
      <c r="W80" s="228">
        <v>487.55</v>
      </c>
      <c r="X80" s="228">
        <v>-6.35</v>
      </c>
      <c r="Y80" s="229">
        <v>-1.2999999999999999E-2</v>
      </c>
      <c r="Z80" s="228">
        <v>1.75</v>
      </c>
      <c r="AA80" s="228">
        <v>1.75</v>
      </c>
      <c r="AB80" s="228">
        <v>0</v>
      </c>
      <c r="AC80" s="229">
        <v>3.7000000000000002E-3</v>
      </c>
      <c r="AD80" s="228">
        <v>1.75</v>
      </c>
      <c r="AE80" s="228">
        <v>1.75</v>
      </c>
      <c r="AF80" s="228">
        <v>0</v>
      </c>
      <c r="AG80" s="229">
        <v>3.7000000000000002E-3</v>
      </c>
      <c r="AH80" s="228">
        <v>2.0499999999999998</v>
      </c>
      <c r="AI80" s="228">
        <v>2.15</v>
      </c>
      <c r="AJ80" s="228">
        <v>-0.1</v>
      </c>
      <c r="AK80" s="229">
        <v>4.3E-3</v>
      </c>
      <c r="AL80" s="228">
        <v>4.75</v>
      </c>
      <c r="AM80" s="228">
        <v>5.2</v>
      </c>
      <c r="AN80" s="228">
        <v>-0.45</v>
      </c>
      <c r="AO80" s="229">
        <v>0.01</v>
      </c>
      <c r="AP80" s="228">
        <v>480.62</v>
      </c>
      <c r="AQ80" s="228">
        <v>480.63</v>
      </c>
      <c r="AR80" s="228">
        <v>0</v>
      </c>
      <c r="AS80" s="228">
        <v>242</v>
      </c>
      <c r="AT80" s="228">
        <v>588</v>
      </c>
      <c r="AU80" s="228">
        <v>-346</v>
      </c>
      <c r="AV80" s="229">
        <v>-0.58860000000000001</v>
      </c>
      <c r="AW80" s="228">
        <v>229</v>
      </c>
      <c r="AX80" s="228">
        <v>533</v>
      </c>
      <c r="AY80" s="228">
        <v>-304</v>
      </c>
      <c r="AZ80" s="229">
        <v>-0.56969999999999998</v>
      </c>
      <c r="BA80" s="228">
        <v>11</v>
      </c>
      <c r="BB80" s="228">
        <v>50</v>
      </c>
      <c r="BC80" s="228">
        <v>-39</v>
      </c>
      <c r="BD80" s="229">
        <v>-0.77259999999999995</v>
      </c>
      <c r="BE80" s="228">
        <v>1</v>
      </c>
      <c r="BF80" s="228">
        <v>5</v>
      </c>
      <c r="BG80" s="228">
        <v>-4</v>
      </c>
      <c r="BH80" s="229">
        <v>-0.74550000000000005</v>
      </c>
      <c r="BI80" s="228">
        <v>495</v>
      </c>
      <c r="BJ80" s="230">
        <v>1288</v>
      </c>
      <c r="BK80" s="228">
        <v>-793</v>
      </c>
      <c r="BL80" s="229">
        <v>-0.61550000000000005</v>
      </c>
      <c r="BM80" s="228">
        <v>231</v>
      </c>
      <c r="BN80" s="228">
        <v>923</v>
      </c>
      <c r="BO80" s="228">
        <v>-692</v>
      </c>
      <c r="BP80" s="229">
        <v>-0.74970000000000003</v>
      </c>
      <c r="BQ80" s="228">
        <v>969</v>
      </c>
      <c r="BR80" s="230">
        <v>2800</v>
      </c>
      <c r="BS80" s="230">
        <v>-1831</v>
      </c>
      <c r="BT80" s="229">
        <v>-0.65410000000000001</v>
      </c>
      <c r="BU80" s="230">
        <v>2619586</v>
      </c>
      <c r="BV80" s="230">
        <v>4549590</v>
      </c>
      <c r="BW80" s="230">
        <v>-1930004</v>
      </c>
      <c r="BX80" s="229">
        <v>-0.42420000000000002</v>
      </c>
      <c r="BY80" s="230">
        <v>1803</v>
      </c>
      <c r="BZ80" s="230">
        <v>1812</v>
      </c>
      <c r="CA80" s="228">
        <v>-8</v>
      </c>
      <c r="CB80" s="229">
        <v>-4.4999999999999997E-3</v>
      </c>
      <c r="CC80" s="230">
        <v>1731</v>
      </c>
      <c r="CD80" s="230">
        <v>1739</v>
      </c>
      <c r="CE80" s="228">
        <v>-9</v>
      </c>
      <c r="CF80" s="229">
        <v>-5.0000000000000001E-3</v>
      </c>
      <c r="CG80" s="228">
        <v>66</v>
      </c>
      <c r="CH80" s="228">
        <v>66</v>
      </c>
      <c r="CI80" s="228">
        <v>0</v>
      </c>
      <c r="CJ80" s="229">
        <v>-1.5E-3</v>
      </c>
      <c r="CK80" s="228">
        <v>7</v>
      </c>
      <c r="CL80" s="228">
        <v>6</v>
      </c>
      <c r="CM80" s="228">
        <v>1</v>
      </c>
      <c r="CN80" s="229">
        <v>9.6799999999999997E-2</v>
      </c>
      <c r="CO80" s="228">
        <v>729</v>
      </c>
      <c r="CP80" s="228">
        <v>686</v>
      </c>
      <c r="CQ80" s="228">
        <v>43</v>
      </c>
      <c r="CR80" s="229">
        <v>6.2399999999999997E-2</v>
      </c>
      <c r="CS80" s="228">
        <v>398</v>
      </c>
      <c r="CT80" s="228">
        <v>376</v>
      </c>
      <c r="CU80" s="228">
        <v>22</v>
      </c>
      <c r="CV80" s="229">
        <v>5.8500000000000003E-2</v>
      </c>
      <c r="CW80" s="230">
        <v>2930</v>
      </c>
      <c r="CX80" s="230">
        <v>2873</v>
      </c>
      <c r="CY80" s="228">
        <v>57</v>
      </c>
      <c r="CZ80" s="229">
        <v>1.9699999999999999E-2</v>
      </c>
      <c r="DA80" s="228">
        <v>29.93</v>
      </c>
      <c r="DB80" s="228">
        <v>29.66</v>
      </c>
      <c r="DC80" s="228">
        <v>0.27</v>
      </c>
      <c r="DD80" s="228">
        <v>0.27</v>
      </c>
      <c r="DE80" s="228">
        <v>38.22</v>
      </c>
      <c r="DF80" s="228">
        <v>38.28</v>
      </c>
      <c r="DG80" s="228">
        <v>-8.2899999999999991</v>
      </c>
      <c r="DH80" s="228">
        <v>-0.06</v>
      </c>
      <c r="DI80" s="228">
        <v>30.15</v>
      </c>
      <c r="DJ80" s="228">
        <v>29.57</v>
      </c>
      <c r="DK80" s="228">
        <v>0.57999999999999996</v>
      </c>
      <c r="DL80" s="228">
        <v>0.57999999999999996</v>
      </c>
      <c r="DM80" s="228">
        <v>29.45</v>
      </c>
      <c r="DN80" s="228">
        <v>29.78</v>
      </c>
      <c r="DO80" s="228">
        <v>-0.33</v>
      </c>
      <c r="DP80" s="228">
        <v>-0.33</v>
      </c>
      <c r="DQ80" s="228">
        <v>0.55000000000000004</v>
      </c>
      <c r="DR80" s="228">
        <v>0.55000000000000004</v>
      </c>
      <c r="DS80" s="228">
        <v>0</v>
      </c>
      <c r="DT80" s="229">
        <v>0</v>
      </c>
      <c r="DU80" s="228">
        <v>500</v>
      </c>
      <c r="DV80" s="228">
        <v>450</v>
      </c>
      <c r="DW80" s="228">
        <v>0.47</v>
      </c>
      <c r="DX80" s="228">
        <v>0.72</v>
      </c>
      <c r="DY80" s="228">
        <v>-0.25</v>
      </c>
      <c r="DZ80" s="229">
        <v>-0.34720000000000001</v>
      </c>
      <c r="EA80" s="229">
        <v>4.0300000000000002E-2</v>
      </c>
      <c r="EB80" s="230">
        <v>1510650</v>
      </c>
      <c r="EC80" s="229">
        <v>5.9999999999999995E-4</v>
      </c>
      <c r="ED80" s="229">
        <v>4.0300000000000002E-2</v>
      </c>
      <c r="EE80" s="228">
        <v>0.01</v>
      </c>
      <c r="EF80" s="229">
        <v>0</v>
      </c>
      <c r="EG80" s="230">
        <v>1111793</v>
      </c>
      <c r="EH80" s="230">
        <v>1625943</v>
      </c>
      <c r="EI80" s="229">
        <v>-0.31619999999999998</v>
      </c>
      <c r="EJ80" s="229">
        <v>0.4244</v>
      </c>
      <c r="EK80" s="228">
        <v>526.77</v>
      </c>
      <c r="EL80" s="228">
        <v>230.26</v>
      </c>
      <c r="EM80" s="228">
        <v>243.33</v>
      </c>
      <c r="EN80" s="228">
        <v>55.77</v>
      </c>
      <c r="EO80" s="231">
        <v>1000.36</v>
      </c>
      <c r="EP80" s="231">
        <v>2902.94</v>
      </c>
      <c r="EQ80" s="231">
        <v>-1902.58</v>
      </c>
      <c r="ER80" s="229">
        <v>-0.65539999999999998</v>
      </c>
      <c r="ES80" s="228">
        <v>770.78</v>
      </c>
      <c r="ET80" s="228">
        <v>387.61</v>
      </c>
      <c r="EU80" s="231">
        <v>1803.45</v>
      </c>
      <c r="EV80" s="231">
        <v>143933168</v>
      </c>
      <c r="EW80" s="231">
        <v>2961.83</v>
      </c>
      <c r="EX80" s="231">
        <v>2927.73</v>
      </c>
      <c r="EY80" s="228">
        <v>34.1</v>
      </c>
      <c r="EZ80" s="229">
        <v>1.1599999999999999E-2</v>
      </c>
      <c r="FA80" s="229">
        <v>0.42570000000000002</v>
      </c>
      <c r="FB80" s="227" t="s">
        <v>568</v>
      </c>
      <c r="FC80">
        <f t="shared" si="1"/>
        <v>72</v>
      </c>
    </row>
    <row r="81" spans="1:159" ht="17.25" thickBot="1" x14ac:dyDescent="0.3">
      <c r="A81" s="226">
        <v>46029</v>
      </c>
      <c r="B81" s="227" t="s">
        <v>168</v>
      </c>
      <c r="C81" s="227" t="s">
        <v>230</v>
      </c>
      <c r="D81" s="228">
        <v>300</v>
      </c>
      <c r="E81" s="228">
        <v>20</v>
      </c>
      <c r="F81" s="231">
        <v>2398.4</v>
      </c>
      <c r="G81" s="231">
        <v>2428.6</v>
      </c>
      <c r="H81" s="228">
        <v>-30.2</v>
      </c>
      <c r="I81" s="229">
        <v>-1.24E-2</v>
      </c>
      <c r="J81" s="231">
        <v>2399.4</v>
      </c>
      <c r="K81" s="231">
        <v>2424.6999999999998</v>
      </c>
      <c r="L81" s="228">
        <v>-25.3</v>
      </c>
      <c r="M81" s="229">
        <v>-1.04E-2</v>
      </c>
      <c r="N81" s="231">
        <v>2398.4</v>
      </c>
      <c r="O81" s="231">
        <v>2428.6</v>
      </c>
      <c r="P81" s="228">
        <v>-30.2</v>
      </c>
      <c r="Q81" s="229">
        <v>-1.24E-2</v>
      </c>
      <c r="R81" s="231">
        <v>2412.9</v>
      </c>
      <c r="S81" s="231">
        <v>2440.9</v>
      </c>
      <c r="T81" s="228">
        <v>-28</v>
      </c>
      <c r="U81" s="229">
        <v>-1.15E-2</v>
      </c>
      <c r="V81" s="231">
        <v>2426.8000000000002</v>
      </c>
      <c r="W81" s="231">
        <v>2457.6</v>
      </c>
      <c r="X81" s="228">
        <v>-30.8</v>
      </c>
      <c r="Y81" s="229">
        <v>-1.2500000000000001E-2</v>
      </c>
      <c r="Z81" s="228">
        <v>-1</v>
      </c>
      <c r="AA81" s="228">
        <v>3.9</v>
      </c>
      <c r="AB81" s="228">
        <v>-4.9000000000000004</v>
      </c>
      <c r="AC81" s="229">
        <v>-4.0000000000000002E-4</v>
      </c>
      <c r="AD81" s="228">
        <v>-1</v>
      </c>
      <c r="AE81" s="228">
        <v>3.9</v>
      </c>
      <c r="AF81" s="228">
        <v>-4.9000000000000004</v>
      </c>
      <c r="AG81" s="229">
        <v>-4.0000000000000002E-4</v>
      </c>
      <c r="AH81" s="228">
        <v>13.5</v>
      </c>
      <c r="AI81" s="228">
        <v>16.2</v>
      </c>
      <c r="AJ81" s="228">
        <v>-2.7</v>
      </c>
      <c r="AK81" s="229">
        <v>5.5999999999999999E-3</v>
      </c>
      <c r="AL81" s="228">
        <v>27.4</v>
      </c>
      <c r="AM81" s="228">
        <v>32.9</v>
      </c>
      <c r="AN81" s="228">
        <v>-5.5</v>
      </c>
      <c r="AO81" s="229">
        <v>1.14E-2</v>
      </c>
      <c r="AP81" s="231">
        <v>2404.9499999999998</v>
      </c>
      <c r="AQ81" s="231">
        <v>2419.0500000000002</v>
      </c>
      <c r="AR81" s="228">
        <v>0</v>
      </c>
      <c r="AS81" s="228">
        <v>513</v>
      </c>
      <c r="AT81" s="228">
        <v>715</v>
      </c>
      <c r="AU81" s="228">
        <v>-202</v>
      </c>
      <c r="AV81" s="229">
        <v>-0.2828</v>
      </c>
      <c r="AW81" s="228">
        <v>490</v>
      </c>
      <c r="AX81" s="228">
        <v>683</v>
      </c>
      <c r="AY81" s="228">
        <v>-193</v>
      </c>
      <c r="AZ81" s="229">
        <v>-0.28270000000000001</v>
      </c>
      <c r="BA81" s="228">
        <v>19</v>
      </c>
      <c r="BB81" s="228">
        <v>27</v>
      </c>
      <c r="BC81" s="228">
        <v>-7</v>
      </c>
      <c r="BD81" s="229">
        <v>-0.27960000000000002</v>
      </c>
      <c r="BE81" s="228">
        <v>4</v>
      </c>
      <c r="BF81" s="228">
        <v>5</v>
      </c>
      <c r="BG81" s="228">
        <v>-2</v>
      </c>
      <c r="BH81" s="229">
        <v>-0.3014</v>
      </c>
      <c r="BI81" s="230">
        <v>1550</v>
      </c>
      <c r="BJ81" s="230">
        <v>3419</v>
      </c>
      <c r="BK81" s="230">
        <v>-1869</v>
      </c>
      <c r="BL81" s="229">
        <v>-0.54669999999999996</v>
      </c>
      <c r="BM81" s="228">
        <v>847</v>
      </c>
      <c r="BN81" s="230">
        <v>1460</v>
      </c>
      <c r="BO81" s="228">
        <v>-613</v>
      </c>
      <c r="BP81" s="229">
        <v>-0.42009999999999997</v>
      </c>
      <c r="BQ81" s="230">
        <v>2909</v>
      </c>
      <c r="BR81" s="230">
        <v>5594</v>
      </c>
      <c r="BS81" s="230">
        <v>-2685</v>
      </c>
      <c r="BT81" s="229">
        <v>-0.47989999999999999</v>
      </c>
      <c r="BU81" s="230">
        <v>961697</v>
      </c>
      <c r="BV81" s="230">
        <v>1632160</v>
      </c>
      <c r="BW81" s="230">
        <v>-670463</v>
      </c>
      <c r="BX81" s="229">
        <v>-0.4108</v>
      </c>
      <c r="BY81" s="230">
        <v>3305</v>
      </c>
      <c r="BZ81" s="230">
        <v>3211</v>
      </c>
      <c r="CA81" s="228">
        <v>94</v>
      </c>
      <c r="CB81" s="229">
        <v>2.93E-2</v>
      </c>
      <c r="CC81" s="230">
        <v>3241</v>
      </c>
      <c r="CD81" s="230">
        <v>3153</v>
      </c>
      <c r="CE81" s="228">
        <v>89</v>
      </c>
      <c r="CF81" s="229">
        <v>2.8199999999999999E-2</v>
      </c>
      <c r="CG81" s="228">
        <v>53</v>
      </c>
      <c r="CH81" s="228">
        <v>50</v>
      </c>
      <c r="CI81" s="228">
        <v>3</v>
      </c>
      <c r="CJ81" s="229">
        <v>5.8500000000000003E-2</v>
      </c>
      <c r="CK81" s="228">
        <v>10</v>
      </c>
      <c r="CL81" s="228">
        <v>8</v>
      </c>
      <c r="CM81" s="228">
        <v>2</v>
      </c>
      <c r="CN81" s="229">
        <v>0.30480000000000002</v>
      </c>
      <c r="CO81" s="230">
        <v>1337</v>
      </c>
      <c r="CP81" s="230">
        <v>1229</v>
      </c>
      <c r="CQ81" s="228">
        <v>108</v>
      </c>
      <c r="CR81" s="229">
        <v>8.7800000000000003E-2</v>
      </c>
      <c r="CS81" s="228">
        <v>812</v>
      </c>
      <c r="CT81" s="228">
        <v>843</v>
      </c>
      <c r="CU81" s="228">
        <v>-32</v>
      </c>
      <c r="CV81" s="229">
        <v>-3.7499999999999999E-2</v>
      </c>
      <c r="CW81" s="230">
        <v>5454</v>
      </c>
      <c r="CX81" s="230">
        <v>5283</v>
      </c>
      <c r="CY81" s="228">
        <v>170</v>
      </c>
      <c r="CZ81" s="229">
        <v>3.2300000000000002E-2</v>
      </c>
      <c r="DA81" s="228">
        <v>16.53</v>
      </c>
      <c r="DB81" s="228">
        <v>15.82</v>
      </c>
      <c r="DC81" s="228">
        <v>0.71</v>
      </c>
      <c r="DD81" s="228">
        <v>0.71</v>
      </c>
      <c r="DE81" s="228">
        <v>21.84</v>
      </c>
      <c r="DF81" s="228">
        <v>21.85</v>
      </c>
      <c r="DG81" s="228">
        <v>-5.31</v>
      </c>
      <c r="DH81" s="228">
        <v>-0.01</v>
      </c>
      <c r="DI81" s="228">
        <v>16.52</v>
      </c>
      <c r="DJ81" s="228">
        <v>15.44</v>
      </c>
      <c r="DK81" s="228">
        <v>1.08</v>
      </c>
      <c r="DL81" s="228">
        <v>1.08</v>
      </c>
      <c r="DM81" s="228">
        <v>16.54</v>
      </c>
      <c r="DN81" s="228">
        <v>16.71</v>
      </c>
      <c r="DO81" s="228">
        <v>-0.17</v>
      </c>
      <c r="DP81" s="228">
        <v>-0.17</v>
      </c>
      <c r="DQ81" s="228">
        <v>0.61</v>
      </c>
      <c r="DR81" s="228">
        <v>0.69</v>
      </c>
      <c r="DS81" s="228">
        <v>-0.08</v>
      </c>
      <c r="DT81" s="229">
        <v>-0.1159</v>
      </c>
      <c r="DU81" s="231">
        <v>2400</v>
      </c>
      <c r="DV81" s="231">
        <v>2300</v>
      </c>
      <c r="DW81" s="228">
        <v>0.55000000000000004</v>
      </c>
      <c r="DX81" s="228">
        <v>0.43</v>
      </c>
      <c r="DY81" s="228">
        <v>0.12</v>
      </c>
      <c r="DZ81" s="229">
        <v>0.27910000000000001</v>
      </c>
      <c r="EA81" s="229">
        <v>1.9099999999999999E-2</v>
      </c>
      <c r="EB81" s="230">
        <v>241800</v>
      </c>
      <c r="EC81" s="229">
        <v>6.0000000000000001E-3</v>
      </c>
      <c r="ED81" s="229">
        <v>1.9099999999999999E-2</v>
      </c>
      <c r="EE81" s="228">
        <v>14.1</v>
      </c>
      <c r="EF81" s="229">
        <v>5.8999999999999999E-3</v>
      </c>
      <c r="EG81" s="230">
        <v>625510</v>
      </c>
      <c r="EH81" s="230">
        <v>873585</v>
      </c>
      <c r="EI81" s="229">
        <v>-0.28399999999999997</v>
      </c>
      <c r="EJ81" s="229">
        <v>0.65039999999999998</v>
      </c>
      <c r="EK81" s="231">
        <v>1598.27</v>
      </c>
      <c r="EL81" s="228">
        <v>839.3</v>
      </c>
      <c r="EM81" s="228">
        <v>514.44000000000005</v>
      </c>
      <c r="EN81" s="228">
        <v>83.64</v>
      </c>
      <c r="EO81" s="231">
        <v>2952.01</v>
      </c>
      <c r="EP81" s="231">
        <v>5679.87</v>
      </c>
      <c r="EQ81" s="231">
        <v>-2727.87</v>
      </c>
      <c r="ER81" s="229">
        <v>-0.4803</v>
      </c>
      <c r="ES81" s="231">
        <v>1344.34</v>
      </c>
      <c r="ET81" s="228">
        <v>781.22</v>
      </c>
      <c r="EU81" s="231">
        <v>3305.12</v>
      </c>
      <c r="EV81" s="231">
        <v>91001773</v>
      </c>
      <c r="EW81" s="231">
        <v>5430.68</v>
      </c>
      <c r="EX81" s="231">
        <v>5297.91</v>
      </c>
      <c r="EY81" s="228">
        <v>132.77000000000001</v>
      </c>
      <c r="EZ81" s="229">
        <v>2.5100000000000001E-2</v>
      </c>
      <c r="FA81" s="229">
        <v>0.24990000000000001</v>
      </c>
      <c r="FB81" s="227" t="s">
        <v>567</v>
      </c>
      <c r="FC81">
        <f t="shared" si="1"/>
        <v>64</v>
      </c>
    </row>
    <row r="82" spans="1:159" ht="17.25" thickBot="1" x14ac:dyDescent="0.3">
      <c r="A82" s="226">
        <v>46029</v>
      </c>
      <c r="B82" s="227" t="s">
        <v>227</v>
      </c>
      <c r="C82" s="227" t="s">
        <v>668</v>
      </c>
      <c r="D82" s="228">
        <v>1225</v>
      </c>
      <c r="E82" s="228">
        <v>20</v>
      </c>
      <c r="F82" s="228">
        <v>631.20000000000005</v>
      </c>
      <c r="G82" s="228">
        <v>644.35</v>
      </c>
      <c r="H82" s="228">
        <v>-13.15</v>
      </c>
      <c r="I82" s="229">
        <v>-2.0400000000000001E-2</v>
      </c>
      <c r="J82" s="228">
        <v>630</v>
      </c>
      <c r="K82" s="228">
        <v>643.1</v>
      </c>
      <c r="L82" s="228">
        <v>-13.1</v>
      </c>
      <c r="M82" s="229">
        <v>-2.0400000000000001E-2</v>
      </c>
      <c r="N82" s="228">
        <v>631.20000000000005</v>
      </c>
      <c r="O82" s="228">
        <v>644.35</v>
      </c>
      <c r="P82" s="228">
        <v>-13.15</v>
      </c>
      <c r="Q82" s="229">
        <v>-2.0400000000000001E-2</v>
      </c>
      <c r="R82" s="228">
        <v>633.79999999999995</v>
      </c>
      <c r="S82" s="228">
        <v>646.54999999999995</v>
      </c>
      <c r="T82" s="228">
        <v>-12.75</v>
      </c>
      <c r="U82" s="229">
        <v>-1.9699999999999999E-2</v>
      </c>
      <c r="V82" s="228">
        <v>638.1</v>
      </c>
      <c r="W82" s="228">
        <v>651.04999999999995</v>
      </c>
      <c r="X82" s="228">
        <v>-12.95</v>
      </c>
      <c r="Y82" s="229">
        <v>-1.9900000000000001E-2</v>
      </c>
      <c r="Z82" s="228">
        <v>1.2</v>
      </c>
      <c r="AA82" s="228">
        <v>1.25</v>
      </c>
      <c r="AB82" s="228">
        <v>-0.05</v>
      </c>
      <c r="AC82" s="229">
        <v>1.9E-3</v>
      </c>
      <c r="AD82" s="228">
        <v>1.2</v>
      </c>
      <c r="AE82" s="228">
        <v>1.25</v>
      </c>
      <c r="AF82" s="228">
        <v>-0.05</v>
      </c>
      <c r="AG82" s="229">
        <v>1.9E-3</v>
      </c>
      <c r="AH82" s="228">
        <v>3.8</v>
      </c>
      <c r="AI82" s="228">
        <v>3.45</v>
      </c>
      <c r="AJ82" s="228">
        <v>0.35</v>
      </c>
      <c r="AK82" s="229">
        <v>6.0000000000000001E-3</v>
      </c>
      <c r="AL82" s="228">
        <v>8.1</v>
      </c>
      <c r="AM82" s="228">
        <v>7.95</v>
      </c>
      <c r="AN82" s="228">
        <v>0.15</v>
      </c>
      <c r="AO82" s="229">
        <v>1.29E-2</v>
      </c>
      <c r="AP82" s="228">
        <v>639.70000000000005</v>
      </c>
      <c r="AQ82" s="228">
        <v>643.08000000000004</v>
      </c>
      <c r="AR82" s="228">
        <v>0</v>
      </c>
      <c r="AS82" s="228">
        <v>845</v>
      </c>
      <c r="AT82" s="228">
        <v>983</v>
      </c>
      <c r="AU82" s="228">
        <v>-138</v>
      </c>
      <c r="AV82" s="229">
        <v>-0.1404</v>
      </c>
      <c r="AW82" s="228">
        <v>778</v>
      </c>
      <c r="AX82" s="228">
        <v>908</v>
      </c>
      <c r="AY82" s="228">
        <v>-130</v>
      </c>
      <c r="AZ82" s="229">
        <v>-0.1429</v>
      </c>
      <c r="BA82" s="228">
        <v>57</v>
      </c>
      <c r="BB82" s="228">
        <v>66</v>
      </c>
      <c r="BC82" s="228">
        <v>-9</v>
      </c>
      <c r="BD82" s="229">
        <v>-0.12939999999999999</v>
      </c>
      <c r="BE82" s="228">
        <v>9</v>
      </c>
      <c r="BF82" s="228">
        <v>9</v>
      </c>
      <c r="BG82" s="228">
        <v>0</v>
      </c>
      <c r="BH82" s="229">
        <v>2.5399999999999999E-2</v>
      </c>
      <c r="BI82" s="230">
        <v>2843</v>
      </c>
      <c r="BJ82" s="230">
        <v>4127</v>
      </c>
      <c r="BK82" s="230">
        <v>-1284</v>
      </c>
      <c r="BL82" s="229">
        <v>-0.31109999999999999</v>
      </c>
      <c r="BM82" s="230">
        <v>1413</v>
      </c>
      <c r="BN82" s="230">
        <v>1888</v>
      </c>
      <c r="BO82" s="228">
        <v>-475</v>
      </c>
      <c r="BP82" s="229">
        <v>-0.25159999999999999</v>
      </c>
      <c r="BQ82" s="230">
        <v>5101</v>
      </c>
      <c r="BR82" s="230">
        <v>6998</v>
      </c>
      <c r="BS82" s="230">
        <v>-1897</v>
      </c>
      <c r="BT82" s="229">
        <v>-0.27110000000000001</v>
      </c>
      <c r="BU82" s="230">
        <v>8643277</v>
      </c>
      <c r="BV82" s="230">
        <v>10862755</v>
      </c>
      <c r="BW82" s="230">
        <v>-2219478</v>
      </c>
      <c r="BX82" s="229">
        <v>-0.20430000000000001</v>
      </c>
      <c r="BY82" s="230">
        <v>2184</v>
      </c>
      <c r="BZ82" s="230">
        <v>2185</v>
      </c>
      <c r="CA82" s="228">
        <v>-1</v>
      </c>
      <c r="CB82" s="229">
        <v>-4.0000000000000002E-4</v>
      </c>
      <c r="CC82" s="230">
        <v>2009</v>
      </c>
      <c r="CD82" s="230">
        <v>2014</v>
      </c>
      <c r="CE82" s="228">
        <v>-5</v>
      </c>
      <c r="CF82" s="229">
        <v>-2.3E-3</v>
      </c>
      <c r="CG82" s="228">
        <v>161</v>
      </c>
      <c r="CH82" s="228">
        <v>157</v>
      </c>
      <c r="CI82" s="228">
        <v>4</v>
      </c>
      <c r="CJ82" s="229">
        <v>2.5100000000000001E-2</v>
      </c>
      <c r="CK82" s="228">
        <v>14</v>
      </c>
      <c r="CL82" s="228">
        <v>14</v>
      </c>
      <c r="CM82" s="228">
        <v>0</v>
      </c>
      <c r="CN82" s="229">
        <v>-1.09E-2</v>
      </c>
      <c r="CO82" s="230">
        <v>2632</v>
      </c>
      <c r="CP82" s="230">
        <v>2316</v>
      </c>
      <c r="CQ82" s="228">
        <v>316</v>
      </c>
      <c r="CR82" s="229">
        <v>0.13639999999999999</v>
      </c>
      <c r="CS82" s="230">
        <v>1611</v>
      </c>
      <c r="CT82" s="230">
        <v>1547</v>
      </c>
      <c r="CU82" s="228">
        <v>64</v>
      </c>
      <c r="CV82" s="229">
        <v>4.1200000000000001E-2</v>
      </c>
      <c r="CW82" s="230">
        <v>6427</v>
      </c>
      <c r="CX82" s="230">
        <v>6048</v>
      </c>
      <c r="CY82" s="228">
        <v>379</v>
      </c>
      <c r="CZ82" s="229">
        <v>6.2700000000000006E-2</v>
      </c>
      <c r="DA82" s="228">
        <v>41.45</v>
      </c>
      <c r="DB82" s="228">
        <v>38.979999999999997</v>
      </c>
      <c r="DC82" s="228">
        <v>2.4700000000000002</v>
      </c>
      <c r="DD82" s="228">
        <v>2.4700000000000002</v>
      </c>
      <c r="DE82" s="228">
        <v>43.16</v>
      </c>
      <c r="DF82" s="228">
        <v>43.17</v>
      </c>
      <c r="DG82" s="228">
        <v>-1.71</v>
      </c>
      <c r="DH82" s="228">
        <v>-0.01</v>
      </c>
      <c r="DI82" s="228">
        <v>42.23</v>
      </c>
      <c r="DJ82" s="228">
        <v>39.229999999999997</v>
      </c>
      <c r="DK82" s="228">
        <v>3</v>
      </c>
      <c r="DL82" s="228">
        <v>3</v>
      </c>
      <c r="DM82" s="228">
        <v>39.869999999999997</v>
      </c>
      <c r="DN82" s="228">
        <v>38.43</v>
      </c>
      <c r="DO82" s="228">
        <v>1.44</v>
      </c>
      <c r="DP82" s="228">
        <v>1.44</v>
      </c>
      <c r="DQ82" s="228">
        <v>0.61</v>
      </c>
      <c r="DR82" s="228">
        <v>0.67</v>
      </c>
      <c r="DS82" s="228">
        <v>-0.06</v>
      </c>
      <c r="DT82" s="229">
        <v>-8.9599999999999999E-2</v>
      </c>
      <c r="DU82" s="228">
        <v>650</v>
      </c>
      <c r="DV82" s="228">
        <v>600</v>
      </c>
      <c r="DW82" s="228">
        <v>0.5</v>
      </c>
      <c r="DX82" s="228">
        <v>0.46</v>
      </c>
      <c r="DY82" s="228">
        <v>0.04</v>
      </c>
      <c r="DZ82" s="229">
        <v>8.6999999999999994E-2</v>
      </c>
      <c r="EA82" s="229">
        <v>0.08</v>
      </c>
      <c r="EB82" s="230">
        <v>2708475</v>
      </c>
      <c r="EC82" s="229">
        <v>4.1000000000000003E-3</v>
      </c>
      <c r="ED82" s="229">
        <v>0.08</v>
      </c>
      <c r="EE82" s="228">
        <v>3.38</v>
      </c>
      <c r="EF82" s="229">
        <v>5.3E-3</v>
      </c>
      <c r="EG82" s="230">
        <v>3363010</v>
      </c>
      <c r="EH82" s="230">
        <v>4161127</v>
      </c>
      <c r="EI82" s="229">
        <v>-0.1918</v>
      </c>
      <c r="EJ82" s="229">
        <v>0.3891</v>
      </c>
      <c r="EK82" s="231">
        <v>3063.76</v>
      </c>
      <c r="EL82" s="231">
        <v>1402.42</v>
      </c>
      <c r="EM82" s="228">
        <v>856.68</v>
      </c>
      <c r="EN82" s="228">
        <v>97.26</v>
      </c>
      <c r="EO82" s="231">
        <v>5322.87</v>
      </c>
      <c r="EP82" s="231">
        <v>7293.49</v>
      </c>
      <c r="EQ82" s="231">
        <v>-1970.62</v>
      </c>
      <c r="ER82" s="229">
        <v>-0.2702</v>
      </c>
      <c r="ES82" s="231">
        <v>2741.01</v>
      </c>
      <c r="ET82" s="231">
        <v>1509.24</v>
      </c>
      <c r="EU82" s="231">
        <v>2184.7800000000002</v>
      </c>
      <c r="EV82" s="231">
        <v>161247058</v>
      </c>
      <c r="EW82" s="231">
        <v>6435.02</v>
      </c>
      <c r="EX82" s="231">
        <v>6082.95</v>
      </c>
      <c r="EY82" s="228">
        <v>352.07</v>
      </c>
      <c r="EZ82" s="229">
        <v>5.79E-2</v>
      </c>
      <c r="FA82" s="229">
        <v>0.63149999999999995</v>
      </c>
      <c r="FB82" s="227" t="s">
        <v>568</v>
      </c>
      <c r="FC82">
        <f t="shared" si="1"/>
        <v>175</v>
      </c>
    </row>
    <row r="83" spans="1:159" ht="17.25" thickBot="1" x14ac:dyDescent="0.3">
      <c r="A83" s="226">
        <v>46029</v>
      </c>
      <c r="B83" s="227" t="s">
        <v>206</v>
      </c>
      <c r="C83" s="227" t="s">
        <v>608</v>
      </c>
      <c r="D83" s="228">
        <v>2775</v>
      </c>
      <c r="E83" s="228">
        <v>20</v>
      </c>
      <c r="F83" s="228">
        <v>227.86</v>
      </c>
      <c r="G83" s="228">
        <v>225.97</v>
      </c>
      <c r="H83" s="228">
        <v>1.89</v>
      </c>
      <c r="I83" s="229">
        <v>8.3999999999999995E-3</v>
      </c>
      <c r="J83" s="228">
        <v>226.82</v>
      </c>
      <c r="K83" s="228">
        <v>224.83</v>
      </c>
      <c r="L83" s="228">
        <v>1.99</v>
      </c>
      <c r="M83" s="229">
        <v>8.8999999999999999E-3</v>
      </c>
      <c r="N83" s="228">
        <v>227.86</v>
      </c>
      <c r="O83" s="228">
        <v>225.97</v>
      </c>
      <c r="P83" s="228">
        <v>1.89</v>
      </c>
      <c r="Q83" s="229">
        <v>8.3999999999999995E-3</v>
      </c>
      <c r="R83" s="228">
        <v>228.74</v>
      </c>
      <c r="S83" s="228">
        <v>226.55</v>
      </c>
      <c r="T83" s="228">
        <v>2.19</v>
      </c>
      <c r="U83" s="229">
        <v>9.7000000000000003E-3</v>
      </c>
      <c r="V83" s="228">
        <v>229.87</v>
      </c>
      <c r="W83" s="228">
        <v>227.24</v>
      </c>
      <c r="X83" s="228">
        <v>2.63</v>
      </c>
      <c r="Y83" s="229">
        <v>1.1599999999999999E-2</v>
      </c>
      <c r="Z83" s="228">
        <v>1.04</v>
      </c>
      <c r="AA83" s="228">
        <v>1.1399999999999999</v>
      </c>
      <c r="AB83" s="228">
        <v>-0.1</v>
      </c>
      <c r="AC83" s="229">
        <v>4.5999999999999999E-3</v>
      </c>
      <c r="AD83" s="228">
        <v>1.04</v>
      </c>
      <c r="AE83" s="228">
        <v>1.1399999999999999</v>
      </c>
      <c r="AF83" s="228">
        <v>-0.1</v>
      </c>
      <c r="AG83" s="229">
        <v>4.5999999999999999E-3</v>
      </c>
      <c r="AH83" s="228">
        <v>1.92</v>
      </c>
      <c r="AI83" s="228">
        <v>1.72</v>
      </c>
      <c r="AJ83" s="228">
        <v>0.2</v>
      </c>
      <c r="AK83" s="229">
        <v>8.5000000000000006E-3</v>
      </c>
      <c r="AL83" s="228">
        <v>3.05</v>
      </c>
      <c r="AM83" s="228">
        <v>2.41</v>
      </c>
      <c r="AN83" s="228">
        <v>0.64</v>
      </c>
      <c r="AO83" s="229">
        <v>1.34E-2</v>
      </c>
      <c r="AP83" s="228">
        <v>227.34</v>
      </c>
      <c r="AQ83" s="228">
        <v>228.12</v>
      </c>
      <c r="AR83" s="228">
        <v>0</v>
      </c>
      <c r="AS83" s="228">
        <v>120</v>
      </c>
      <c r="AT83" s="228">
        <v>122</v>
      </c>
      <c r="AU83" s="228">
        <v>-2</v>
      </c>
      <c r="AV83" s="229">
        <v>-1.61E-2</v>
      </c>
      <c r="AW83" s="228">
        <v>113</v>
      </c>
      <c r="AX83" s="228">
        <v>113</v>
      </c>
      <c r="AY83" s="228">
        <v>0</v>
      </c>
      <c r="AZ83" s="229">
        <v>0</v>
      </c>
      <c r="BA83" s="228">
        <v>6</v>
      </c>
      <c r="BB83" s="228">
        <v>8</v>
      </c>
      <c r="BC83" s="228">
        <v>-1</v>
      </c>
      <c r="BD83" s="229">
        <v>-0.1721</v>
      </c>
      <c r="BE83" s="228">
        <v>0</v>
      </c>
      <c r="BF83" s="228">
        <v>1</v>
      </c>
      <c r="BG83" s="228">
        <v>-1</v>
      </c>
      <c r="BH83" s="229">
        <v>-0.66669999999999996</v>
      </c>
      <c r="BI83" s="228">
        <v>280</v>
      </c>
      <c r="BJ83" s="228">
        <v>253</v>
      </c>
      <c r="BK83" s="228">
        <v>28</v>
      </c>
      <c r="BL83" s="229">
        <v>0.11070000000000001</v>
      </c>
      <c r="BM83" s="228">
        <v>73</v>
      </c>
      <c r="BN83" s="228">
        <v>79</v>
      </c>
      <c r="BO83" s="228">
        <v>-6</v>
      </c>
      <c r="BP83" s="229">
        <v>-7.0699999999999999E-2</v>
      </c>
      <c r="BQ83" s="228">
        <v>474</v>
      </c>
      <c r="BR83" s="228">
        <v>453</v>
      </c>
      <c r="BS83" s="228">
        <v>20</v>
      </c>
      <c r="BT83" s="229">
        <v>4.5100000000000001E-2</v>
      </c>
      <c r="BU83" s="230">
        <v>2297092</v>
      </c>
      <c r="BV83" s="230">
        <v>2794071</v>
      </c>
      <c r="BW83" s="230">
        <v>-496979</v>
      </c>
      <c r="BX83" s="229">
        <v>-0.1779</v>
      </c>
      <c r="BY83" s="228">
        <v>908</v>
      </c>
      <c r="BZ83" s="228">
        <v>913</v>
      </c>
      <c r="CA83" s="228">
        <v>-5</v>
      </c>
      <c r="CB83" s="229">
        <v>-5.7999999999999996E-3</v>
      </c>
      <c r="CC83" s="228">
        <v>872</v>
      </c>
      <c r="CD83" s="228">
        <v>879</v>
      </c>
      <c r="CE83" s="228">
        <v>-7</v>
      </c>
      <c r="CF83" s="229">
        <v>-7.9000000000000008E-3</v>
      </c>
      <c r="CG83" s="228">
        <v>32</v>
      </c>
      <c r="CH83" s="228">
        <v>31</v>
      </c>
      <c r="CI83" s="228">
        <v>1</v>
      </c>
      <c r="CJ83" s="229">
        <v>4.2900000000000001E-2</v>
      </c>
      <c r="CK83" s="228">
        <v>4</v>
      </c>
      <c r="CL83" s="228">
        <v>3</v>
      </c>
      <c r="CM83" s="228">
        <v>0</v>
      </c>
      <c r="CN83" s="229">
        <v>9.2600000000000002E-2</v>
      </c>
      <c r="CO83" s="228">
        <v>455</v>
      </c>
      <c r="CP83" s="228">
        <v>423</v>
      </c>
      <c r="CQ83" s="228">
        <v>32</v>
      </c>
      <c r="CR83" s="229">
        <v>7.5600000000000001E-2</v>
      </c>
      <c r="CS83" s="228">
        <v>328</v>
      </c>
      <c r="CT83" s="228">
        <v>320</v>
      </c>
      <c r="CU83" s="228">
        <v>8</v>
      </c>
      <c r="CV83" s="229">
        <v>2.6499999999999999E-2</v>
      </c>
      <c r="CW83" s="230">
        <v>1692</v>
      </c>
      <c r="CX83" s="230">
        <v>1657</v>
      </c>
      <c r="CY83" s="228">
        <v>35</v>
      </c>
      <c r="CZ83" s="229">
        <v>2.12E-2</v>
      </c>
      <c r="DA83" s="228">
        <v>31.89</v>
      </c>
      <c r="DB83" s="228">
        <v>32.15</v>
      </c>
      <c r="DC83" s="228">
        <v>-0.26</v>
      </c>
      <c r="DD83" s="228">
        <v>-0.26</v>
      </c>
      <c r="DE83" s="228">
        <v>50.12</v>
      </c>
      <c r="DF83" s="228">
        <v>50.23</v>
      </c>
      <c r="DG83" s="228">
        <v>-18.23</v>
      </c>
      <c r="DH83" s="228">
        <v>-0.11</v>
      </c>
      <c r="DI83" s="228">
        <v>32.08</v>
      </c>
      <c r="DJ83" s="228">
        <v>32.590000000000003</v>
      </c>
      <c r="DK83" s="228">
        <v>-0.51</v>
      </c>
      <c r="DL83" s="228">
        <v>-0.51</v>
      </c>
      <c r="DM83" s="228">
        <v>31.17</v>
      </c>
      <c r="DN83" s="228">
        <v>30.75</v>
      </c>
      <c r="DO83" s="228">
        <v>0.42</v>
      </c>
      <c r="DP83" s="228">
        <v>0.42</v>
      </c>
      <c r="DQ83" s="228">
        <v>0.72</v>
      </c>
      <c r="DR83" s="228">
        <v>0.76</v>
      </c>
      <c r="DS83" s="228">
        <v>-0.04</v>
      </c>
      <c r="DT83" s="229">
        <v>-5.2600000000000001E-2</v>
      </c>
      <c r="DU83" s="228">
        <v>230</v>
      </c>
      <c r="DV83" s="228">
        <v>210</v>
      </c>
      <c r="DW83" s="228">
        <v>0.26</v>
      </c>
      <c r="DX83" s="228">
        <v>0.31</v>
      </c>
      <c r="DY83" s="228">
        <v>-0.05</v>
      </c>
      <c r="DZ83" s="229">
        <v>-0.1613</v>
      </c>
      <c r="EA83" s="229">
        <v>3.9600000000000003E-2</v>
      </c>
      <c r="EB83" s="230">
        <v>1506825</v>
      </c>
      <c r="EC83" s="229">
        <v>3.8999999999999998E-3</v>
      </c>
      <c r="ED83" s="229">
        <v>3.9600000000000003E-2</v>
      </c>
      <c r="EE83" s="228">
        <v>0.78</v>
      </c>
      <c r="EF83" s="229">
        <v>3.3999999999999998E-3</v>
      </c>
      <c r="EG83" s="230">
        <v>790027</v>
      </c>
      <c r="EH83" s="230">
        <v>1049714</v>
      </c>
      <c r="EI83" s="229">
        <v>-0.24740000000000001</v>
      </c>
      <c r="EJ83" s="229">
        <v>0.34389999999999998</v>
      </c>
      <c r="EK83" s="228">
        <v>295.58999999999997</v>
      </c>
      <c r="EL83" s="228">
        <v>71.67</v>
      </c>
      <c r="EM83" s="228">
        <v>119.7</v>
      </c>
      <c r="EN83" s="228">
        <v>36.56</v>
      </c>
      <c r="EO83" s="228">
        <v>486.96</v>
      </c>
      <c r="EP83" s="228">
        <v>463.75</v>
      </c>
      <c r="EQ83" s="228">
        <v>23.21</v>
      </c>
      <c r="ER83" s="229">
        <v>5.0099999999999999E-2</v>
      </c>
      <c r="ES83" s="228">
        <v>475.43</v>
      </c>
      <c r="ET83" s="228">
        <v>313.72000000000003</v>
      </c>
      <c r="EU83" s="228">
        <v>908.03</v>
      </c>
      <c r="EV83" s="231">
        <v>75071250</v>
      </c>
      <c r="EW83" s="231">
        <v>1697.18</v>
      </c>
      <c r="EX83" s="231">
        <v>1651.86</v>
      </c>
      <c r="EY83" s="228">
        <v>45.32</v>
      </c>
      <c r="EZ83" s="229">
        <v>2.7400000000000001E-2</v>
      </c>
      <c r="FA83" s="229">
        <v>0.98899999999999999</v>
      </c>
      <c r="FB83" s="227" t="s">
        <v>556</v>
      </c>
      <c r="FC83">
        <f t="shared" si="1"/>
        <v>36</v>
      </c>
    </row>
    <row r="84" spans="1:159" ht="17.25" thickBot="1" x14ac:dyDescent="0.3">
      <c r="A84" s="226">
        <v>46029</v>
      </c>
      <c r="B84" s="227" t="s">
        <v>172</v>
      </c>
      <c r="C84" s="227" t="s">
        <v>232</v>
      </c>
      <c r="D84" s="228">
        <v>700</v>
      </c>
      <c r="E84" s="228">
        <v>20</v>
      </c>
      <c r="F84" s="231">
        <v>1430.7</v>
      </c>
      <c r="G84" s="231">
        <v>1414.6</v>
      </c>
      <c r="H84" s="228">
        <v>16.100000000000001</v>
      </c>
      <c r="I84" s="229">
        <v>1.14E-2</v>
      </c>
      <c r="J84" s="231">
        <v>1427.7</v>
      </c>
      <c r="K84" s="231">
        <v>1411.2</v>
      </c>
      <c r="L84" s="228">
        <v>16.5</v>
      </c>
      <c r="M84" s="229">
        <v>1.17E-2</v>
      </c>
      <c r="N84" s="231">
        <v>1430.7</v>
      </c>
      <c r="O84" s="231">
        <v>1414.6</v>
      </c>
      <c r="P84" s="228">
        <v>16.100000000000001</v>
      </c>
      <c r="Q84" s="229">
        <v>1.14E-2</v>
      </c>
      <c r="R84" s="231">
        <v>1438.4</v>
      </c>
      <c r="S84" s="231">
        <v>1422.4</v>
      </c>
      <c r="T84" s="228">
        <v>16</v>
      </c>
      <c r="U84" s="229">
        <v>1.12E-2</v>
      </c>
      <c r="V84" s="231">
        <v>1448.2</v>
      </c>
      <c r="W84" s="231">
        <v>1431.4</v>
      </c>
      <c r="X84" s="228">
        <v>16.8</v>
      </c>
      <c r="Y84" s="229">
        <v>1.17E-2</v>
      </c>
      <c r="Z84" s="228">
        <v>3</v>
      </c>
      <c r="AA84" s="228">
        <v>3.4</v>
      </c>
      <c r="AB84" s="228">
        <v>-0.4</v>
      </c>
      <c r="AC84" s="229">
        <v>2.0999999999999999E-3</v>
      </c>
      <c r="AD84" s="228">
        <v>3</v>
      </c>
      <c r="AE84" s="228">
        <v>3.4</v>
      </c>
      <c r="AF84" s="228">
        <v>-0.4</v>
      </c>
      <c r="AG84" s="229">
        <v>2.0999999999999999E-3</v>
      </c>
      <c r="AH84" s="228">
        <v>10.7</v>
      </c>
      <c r="AI84" s="228">
        <v>11.2</v>
      </c>
      <c r="AJ84" s="228">
        <v>-0.5</v>
      </c>
      <c r="AK84" s="229">
        <v>7.4999999999999997E-3</v>
      </c>
      <c r="AL84" s="228">
        <v>20.5</v>
      </c>
      <c r="AM84" s="228">
        <v>20.2</v>
      </c>
      <c r="AN84" s="228">
        <v>0.3</v>
      </c>
      <c r="AO84" s="229">
        <v>1.44E-2</v>
      </c>
      <c r="AP84" s="231">
        <v>1424.48</v>
      </c>
      <c r="AQ84" s="231">
        <v>1432.04</v>
      </c>
      <c r="AR84" s="228">
        <v>0</v>
      </c>
      <c r="AS84" s="230">
        <v>3143</v>
      </c>
      <c r="AT84" s="230">
        <v>3909</v>
      </c>
      <c r="AU84" s="228">
        <v>-766</v>
      </c>
      <c r="AV84" s="229">
        <v>-0.19589999999999999</v>
      </c>
      <c r="AW84" s="230">
        <v>2993</v>
      </c>
      <c r="AX84" s="230">
        <v>3701</v>
      </c>
      <c r="AY84" s="228">
        <v>-709</v>
      </c>
      <c r="AZ84" s="229">
        <v>-0.19139999999999999</v>
      </c>
      <c r="BA84" s="228">
        <v>70</v>
      </c>
      <c r="BB84" s="228">
        <v>171</v>
      </c>
      <c r="BC84" s="228">
        <v>-102</v>
      </c>
      <c r="BD84" s="229">
        <v>-0.59299999999999997</v>
      </c>
      <c r="BE84" s="228">
        <v>81</v>
      </c>
      <c r="BF84" s="228">
        <v>37</v>
      </c>
      <c r="BG84" s="228">
        <v>44</v>
      </c>
      <c r="BH84" s="229">
        <v>1.2103999999999999</v>
      </c>
      <c r="BI84" s="230">
        <v>9252</v>
      </c>
      <c r="BJ84" s="230">
        <v>13772</v>
      </c>
      <c r="BK84" s="230">
        <v>-4520</v>
      </c>
      <c r="BL84" s="229">
        <v>-0.32819999999999999</v>
      </c>
      <c r="BM84" s="230">
        <v>6275</v>
      </c>
      <c r="BN84" s="230">
        <v>8028</v>
      </c>
      <c r="BO84" s="230">
        <v>-1753</v>
      </c>
      <c r="BP84" s="229">
        <v>-0.21829999999999999</v>
      </c>
      <c r="BQ84" s="230">
        <v>18671</v>
      </c>
      <c r="BR84" s="230">
        <v>25709</v>
      </c>
      <c r="BS84" s="230">
        <v>-7039</v>
      </c>
      <c r="BT84" s="229">
        <v>-0.27379999999999999</v>
      </c>
      <c r="BU84" s="230">
        <v>18555678</v>
      </c>
      <c r="BV84" s="230">
        <v>17990544</v>
      </c>
      <c r="BW84" s="230">
        <v>565134</v>
      </c>
      <c r="BX84" s="229">
        <v>3.1399999999999997E-2</v>
      </c>
      <c r="BY84" s="230">
        <v>16234</v>
      </c>
      <c r="BZ84" s="230">
        <v>17069</v>
      </c>
      <c r="CA84" s="228">
        <v>-836</v>
      </c>
      <c r="CB84" s="229">
        <v>-4.9000000000000002E-2</v>
      </c>
      <c r="CC84" s="230">
        <v>15797</v>
      </c>
      <c r="CD84" s="230">
        <v>16700</v>
      </c>
      <c r="CE84" s="228">
        <v>-903</v>
      </c>
      <c r="CF84" s="229">
        <v>-5.4100000000000002E-2</v>
      </c>
      <c r="CG84" s="228">
        <v>340</v>
      </c>
      <c r="CH84" s="228">
        <v>340</v>
      </c>
      <c r="CI84" s="228">
        <v>0</v>
      </c>
      <c r="CJ84" s="229">
        <v>1.1999999999999999E-3</v>
      </c>
      <c r="CK84" s="228">
        <v>97</v>
      </c>
      <c r="CL84" s="228">
        <v>30</v>
      </c>
      <c r="CM84" s="228">
        <v>67</v>
      </c>
      <c r="CN84" s="229">
        <v>2.2568000000000001</v>
      </c>
      <c r="CO84" s="230">
        <v>4852</v>
      </c>
      <c r="CP84" s="230">
        <v>4452</v>
      </c>
      <c r="CQ84" s="228">
        <v>401</v>
      </c>
      <c r="CR84" s="229">
        <v>0.09</v>
      </c>
      <c r="CS84" s="230">
        <v>3426</v>
      </c>
      <c r="CT84" s="230">
        <v>3382</v>
      </c>
      <c r="CU84" s="228">
        <v>44</v>
      </c>
      <c r="CV84" s="229">
        <v>1.2999999999999999E-2</v>
      </c>
      <c r="CW84" s="230">
        <v>24511</v>
      </c>
      <c r="CX84" s="230">
        <v>24903</v>
      </c>
      <c r="CY84" s="228">
        <v>-391</v>
      </c>
      <c r="CZ84" s="229">
        <v>-1.5699999999999999E-2</v>
      </c>
      <c r="DA84" s="228">
        <v>19.73</v>
      </c>
      <c r="DB84" s="228">
        <v>19.3</v>
      </c>
      <c r="DC84" s="228">
        <v>0.43</v>
      </c>
      <c r="DD84" s="228">
        <v>0.43</v>
      </c>
      <c r="DE84" s="228">
        <v>20.46</v>
      </c>
      <c r="DF84" s="228">
        <v>20.45</v>
      </c>
      <c r="DG84" s="228">
        <v>-0.73</v>
      </c>
      <c r="DH84" s="228">
        <v>0.01</v>
      </c>
      <c r="DI84" s="228">
        <v>19.57</v>
      </c>
      <c r="DJ84" s="228">
        <v>19.059999999999999</v>
      </c>
      <c r="DK84" s="228">
        <v>0.51</v>
      </c>
      <c r="DL84" s="228">
        <v>0.51</v>
      </c>
      <c r="DM84" s="228">
        <v>19.97</v>
      </c>
      <c r="DN84" s="228">
        <v>19.71</v>
      </c>
      <c r="DO84" s="228">
        <v>0.26</v>
      </c>
      <c r="DP84" s="228">
        <v>0.26</v>
      </c>
      <c r="DQ84" s="228">
        <v>0.71</v>
      </c>
      <c r="DR84" s="228">
        <v>0.76</v>
      </c>
      <c r="DS84" s="228">
        <v>-0.05</v>
      </c>
      <c r="DT84" s="229">
        <v>-6.5799999999999997E-2</v>
      </c>
      <c r="DU84" s="231">
        <v>1400</v>
      </c>
      <c r="DV84" s="231">
        <v>1400</v>
      </c>
      <c r="DW84" s="228">
        <v>0.68</v>
      </c>
      <c r="DX84" s="228">
        <v>0.57999999999999996</v>
      </c>
      <c r="DY84" s="228">
        <v>0.1</v>
      </c>
      <c r="DZ84" s="229">
        <v>0.1724</v>
      </c>
      <c r="EA84" s="229">
        <v>2.69E-2</v>
      </c>
      <c r="EB84" s="230">
        <v>2582300</v>
      </c>
      <c r="EC84" s="229">
        <v>5.4000000000000003E-3</v>
      </c>
      <c r="ED84" s="229">
        <v>2.69E-2</v>
      </c>
      <c r="EE84" s="228">
        <v>7.56</v>
      </c>
      <c r="EF84" s="229">
        <v>5.3E-3</v>
      </c>
      <c r="EG84" s="230">
        <v>14659210</v>
      </c>
      <c r="EH84" s="230">
        <v>12367599</v>
      </c>
      <c r="EI84" s="229">
        <v>0.18529999999999999</v>
      </c>
      <c r="EJ84" s="229">
        <v>0.79</v>
      </c>
      <c r="EK84" s="231">
        <v>9500.3799999999992</v>
      </c>
      <c r="EL84" s="231">
        <v>6168.42</v>
      </c>
      <c r="EM84" s="231">
        <v>3131.44</v>
      </c>
      <c r="EN84" s="228">
        <v>213.61</v>
      </c>
      <c r="EO84" s="231">
        <v>18800.25</v>
      </c>
      <c r="EP84" s="231">
        <v>25565.32</v>
      </c>
      <c r="EQ84" s="231">
        <v>-6765.07</v>
      </c>
      <c r="ER84" s="229">
        <v>-0.2646</v>
      </c>
      <c r="ES84" s="231">
        <v>4846.41</v>
      </c>
      <c r="ET84" s="231">
        <v>3266.64</v>
      </c>
      <c r="EU84" s="231">
        <v>16236.56</v>
      </c>
      <c r="EV84" s="231">
        <v>580601807</v>
      </c>
      <c r="EW84" s="231">
        <v>24349.61</v>
      </c>
      <c r="EX84" s="231">
        <v>24478.6</v>
      </c>
      <c r="EY84" s="228">
        <v>-128.99</v>
      </c>
      <c r="EZ84" s="229">
        <v>-5.3E-3</v>
      </c>
      <c r="FA84" s="229">
        <v>0.29509999999999997</v>
      </c>
      <c r="FB84" s="227" t="s">
        <v>556</v>
      </c>
      <c r="FC84">
        <f t="shared" si="1"/>
        <v>437</v>
      </c>
    </row>
    <row r="85" spans="1:159" ht="17.25" thickBot="1" x14ac:dyDescent="0.3">
      <c r="A85" s="226">
        <v>46029</v>
      </c>
      <c r="B85" s="227" t="s">
        <v>175</v>
      </c>
      <c r="C85" s="227" t="s">
        <v>472</v>
      </c>
      <c r="D85" s="228">
        <v>325</v>
      </c>
      <c r="E85" s="228">
        <v>20</v>
      </c>
      <c r="F85" s="231">
        <v>1974</v>
      </c>
      <c r="G85" s="231">
        <v>2018.3</v>
      </c>
      <c r="H85" s="228">
        <v>-44.3</v>
      </c>
      <c r="I85" s="229">
        <v>-2.1899999999999999E-2</v>
      </c>
      <c r="J85" s="231">
        <v>1966.2</v>
      </c>
      <c r="K85" s="231">
        <v>2010</v>
      </c>
      <c r="L85" s="228">
        <v>-43.8</v>
      </c>
      <c r="M85" s="229">
        <v>-2.18E-2</v>
      </c>
      <c r="N85" s="231">
        <v>1974</v>
      </c>
      <c r="O85" s="231">
        <v>2018.3</v>
      </c>
      <c r="P85" s="228">
        <v>-44.3</v>
      </c>
      <c r="Q85" s="229">
        <v>-2.1899999999999999E-2</v>
      </c>
      <c r="R85" s="231">
        <v>1986.3</v>
      </c>
      <c r="S85" s="231">
        <v>2030.1</v>
      </c>
      <c r="T85" s="228">
        <v>-43.8</v>
      </c>
      <c r="U85" s="229">
        <v>-2.1600000000000001E-2</v>
      </c>
      <c r="V85" s="231">
        <v>2012</v>
      </c>
      <c r="W85" s="231">
        <v>2012</v>
      </c>
      <c r="X85" s="228">
        <v>0</v>
      </c>
      <c r="Y85" s="229">
        <v>0</v>
      </c>
      <c r="Z85" s="228">
        <v>7.8</v>
      </c>
      <c r="AA85" s="228">
        <v>8.3000000000000007</v>
      </c>
      <c r="AB85" s="228">
        <v>-0.5</v>
      </c>
      <c r="AC85" s="229">
        <v>4.0000000000000001E-3</v>
      </c>
      <c r="AD85" s="228">
        <v>7.8</v>
      </c>
      <c r="AE85" s="228">
        <v>8.3000000000000007</v>
      </c>
      <c r="AF85" s="228">
        <v>-0.5</v>
      </c>
      <c r="AG85" s="229">
        <v>4.0000000000000001E-3</v>
      </c>
      <c r="AH85" s="228">
        <v>20.100000000000001</v>
      </c>
      <c r="AI85" s="228">
        <v>20.100000000000001</v>
      </c>
      <c r="AJ85" s="228">
        <v>0</v>
      </c>
      <c r="AK85" s="229">
        <v>1.0200000000000001E-2</v>
      </c>
      <c r="AL85" s="228">
        <v>45.8</v>
      </c>
      <c r="AM85" s="228">
        <v>2</v>
      </c>
      <c r="AN85" s="228">
        <v>43.8</v>
      </c>
      <c r="AO85" s="229">
        <v>2.3300000000000001E-2</v>
      </c>
      <c r="AP85" s="231">
        <v>1988.6</v>
      </c>
      <c r="AQ85" s="231">
        <v>2002.97</v>
      </c>
      <c r="AR85" s="228">
        <v>0</v>
      </c>
      <c r="AS85" s="228">
        <v>124</v>
      </c>
      <c r="AT85" s="228">
        <v>111</v>
      </c>
      <c r="AU85" s="228">
        <v>13</v>
      </c>
      <c r="AV85" s="229">
        <v>0.1206</v>
      </c>
      <c r="AW85" s="228">
        <v>120</v>
      </c>
      <c r="AX85" s="228">
        <v>108</v>
      </c>
      <c r="AY85" s="228">
        <v>12</v>
      </c>
      <c r="AZ85" s="229">
        <v>0.1128</v>
      </c>
      <c r="BA85" s="228">
        <v>4</v>
      </c>
      <c r="BB85" s="228">
        <v>3</v>
      </c>
      <c r="BC85" s="228">
        <v>1</v>
      </c>
      <c r="BD85" s="229">
        <v>0.45</v>
      </c>
      <c r="BE85" s="228">
        <v>0</v>
      </c>
      <c r="BF85" s="228">
        <v>0</v>
      </c>
      <c r="BG85" s="228">
        <v>0</v>
      </c>
      <c r="BH85" s="229">
        <v>0</v>
      </c>
      <c r="BI85" s="228">
        <v>273</v>
      </c>
      <c r="BJ85" s="228">
        <v>353</v>
      </c>
      <c r="BK85" s="228">
        <v>-80</v>
      </c>
      <c r="BL85" s="229">
        <v>-0.22720000000000001</v>
      </c>
      <c r="BM85" s="228">
        <v>189</v>
      </c>
      <c r="BN85" s="228">
        <v>125</v>
      </c>
      <c r="BO85" s="228">
        <v>64</v>
      </c>
      <c r="BP85" s="229">
        <v>0.50670000000000004</v>
      </c>
      <c r="BQ85" s="228">
        <v>586</v>
      </c>
      <c r="BR85" s="228">
        <v>589</v>
      </c>
      <c r="BS85" s="228">
        <v>-3</v>
      </c>
      <c r="BT85" s="229">
        <v>-5.8999999999999999E-3</v>
      </c>
      <c r="BU85" s="230">
        <v>718069</v>
      </c>
      <c r="BV85" s="230">
        <v>341918</v>
      </c>
      <c r="BW85" s="230">
        <v>376151</v>
      </c>
      <c r="BX85" s="229">
        <v>1.1001000000000001</v>
      </c>
      <c r="BY85" s="230">
        <v>1018</v>
      </c>
      <c r="BZ85" s="230">
        <v>1020</v>
      </c>
      <c r="CA85" s="228">
        <v>-1</v>
      </c>
      <c r="CB85" s="229">
        <v>-1.1000000000000001E-3</v>
      </c>
      <c r="CC85" s="230">
        <v>1012</v>
      </c>
      <c r="CD85" s="230">
        <v>1014</v>
      </c>
      <c r="CE85" s="228">
        <v>-1</v>
      </c>
      <c r="CF85" s="229">
        <v>-1.2999999999999999E-3</v>
      </c>
      <c r="CG85" s="228">
        <v>6</v>
      </c>
      <c r="CH85" s="228">
        <v>6</v>
      </c>
      <c r="CI85" s="228">
        <v>0</v>
      </c>
      <c r="CJ85" s="229">
        <v>2.2499999999999999E-2</v>
      </c>
      <c r="CK85" s="228">
        <v>0</v>
      </c>
      <c r="CL85" s="228">
        <v>0</v>
      </c>
      <c r="CM85" s="228">
        <v>0</v>
      </c>
      <c r="CN85" s="229">
        <v>0</v>
      </c>
      <c r="CO85" s="228">
        <v>196</v>
      </c>
      <c r="CP85" s="228">
        <v>173</v>
      </c>
      <c r="CQ85" s="228">
        <v>23</v>
      </c>
      <c r="CR85" s="229">
        <v>0.13550000000000001</v>
      </c>
      <c r="CS85" s="228">
        <v>170</v>
      </c>
      <c r="CT85" s="228">
        <v>162</v>
      </c>
      <c r="CU85" s="228">
        <v>8</v>
      </c>
      <c r="CV85" s="229">
        <v>0.05</v>
      </c>
      <c r="CW85" s="230">
        <v>1384</v>
      </c>
      <c r="CX85" s="230">
        <v>1354</v>
      </c>
      <c r="CY85" s="228">
        <v>30</v>
      </c>
      <c r="CZ85" s="229">
        <v>2.24E-2</v>
      </c>
      <c r="DA85" s="228">
        <v>25.96</v>
      </c>
      <c r="DB85" s="228">
        <v>24.89</v>
      </c>
      <c r="DC85" s="228">
        <v>1.07</v>
      </c>
      <c r="DD85" s="228">
        <v>1.07</v>
      </c>
      <c r="DE85" s="228">
        <v>27.63</v>
      </c>
      <c r="DF85" s="228">
        <v>27.54</v>
      </c>
      <c r="DG85" s="228">
        <v>-1.67</v>
      </c>
      <c r="DH85" s="228">
        <v>0.09</v>
      </c>
      <c r="DI85" s="228">
        <v>26</v>
      </c>
      <c r="DJ85" s="228">
        <v>24.72</v>
      </c>
      <c r="DK85" s="228">
        <v>1.28</v>
      </c>
      <c r="DL85" s="228">
        <v>1.28</v>
      </c>
      <c r="DM85" s="228">
        <v>25.89</v>
      </c>
      <c r="DN85" s="228">
        <v>25.37</v>
      </c>
      <c r="DO85" s="228">
        <v>0.52</v>
      </c>
      <c r="DP85" s="228">
        <v>0.52</v>
      </c>
      <c r="DQ85" s="228">
        <v>0.86</v>
      </c>
      <c r="DR85" s="228">
        <v>0.94</v>
      </c>
      <c r="DS85" s="228">
        <v>-0.08</v>
      </c>
      <c r="DT85" s="229">
        <v>-8.5099999999999995E-2</v>
      </c>
      <c r="DU85" s="231">
        <v>2000</v>
      </c>
      <c r="DV85" s="231">
        <v>1800</v>
      </c>
      <c r="DW85" s="228">
        <v>0.69</v>
      </c>
      <c r="DX85" s="228">
        <v>0.35</v>
      </c>
      <c r="DY85" s="228">
        <v>0.34</v>
      </c>
      <c r="DZ85" s="229">
        <v>0.97140000000000004</v>
      </c>
      <c r="EA85" s="229">
        <v>5.7999999999999996E-3</v>
      </c>
      <c r="EB85" s="230">
        <v>29250</v>
      </c>
      <c r="EC85" s="229">
        <v>6.1999999999999998E-3</v>
      </c>
      <c r="ED85" s="229">
        <v>5.7999999999999996E-3</v>
      </c>
      <c r="EE85" s="228">
        <v>14.37</v>
      </c>
      <c r="EF85" s="229">
        <v>7.1999999999999998E-3</v>
      </c>
      <c r="EG85" s="230">
        <v>533392</v>
      </c>
      <c r="EH85" s="230">
        <v>184979</v>
      </c>
      <c r="EI85" s="229">
        <v>1.8835</v>
      </c>
      <c r="EJ85" s="229">
        <v>0.74280000000000002</v>
      </c>
      <c r="EK85" s="228">
        <v>287.97000000000003</v>
      </c>
      <c r="EL85" s="228">
        <v>186.61</v>
      </c>
      <c r="EM85" s="228">
        <v>124.89</v>
      </c>
      <c r="EN85" s="228">
        <v>12.27</v>
      </c>
      <c r="EO85" s="228">
        <v>599.48</v>
      </c>
      <c r="EP85" s="228">
        <v>609.32000000000005</v>
      </c>
      <c r="EQ85" s="228">
        <v>-9.84</v>
      </c>
      <c r="ER85" s="229">
        <v>-1.6199999999999999E-2</v>
      </c>
      <c r="ES85" s="228">
        <v>204.34</v>
      </c>
      <c r="ET85" s="228">
        <v>162.34</v>
      </c>
      <c r="EU85" s="231">
        <v>1018.43</v>
      </c>
      <c r="EV85" s="231">
        <v>28747897</v>
      </c>
      <c r="EW85" s="231">
        <v>1385.12</v>
      </c>
      <c r="EX85" s="231">
        <v>1376.99</v>
      </c>
      <c r="EY85" s="228">
        <v>8.1300000000000008</v>
      </c>
      <c r="EZ85" s="229">
        <v>5.8999999999999999E-3</v>
      </c>
      <c r="FA85" s="229">
        <v>0.24390000000000001</v>
      </c>
      <c r="FB85" s="227" t="s">
        <v>568</v>
      </c>
      <c r="FC85">
        <f t="shared" si="1"/>
        <v>6</v>
      </c>
    </row>
    <row r="86" spans="1:159" ht="17.25" thickBot="1" x14ac:dyDescent="0.3">
      <c r="A86" s="226">
        <v>46029</v>
      </c>
      <c r="B86" s="227" t="s">
        <v>175</v>
      </c>
      <c r="C86" s="227" t="s">
        <v>233</v>
      </c>
      <c r="D86" s="228">
        <v>925</v>
      </c>
      <c r="E86" s="228">
        <v>20</v>
      </c>
      <c r="F86" s="228">
        <v>686.15</v>
      </c>
      <c r="G86" s="228">
        <v>691.25</v>
      </c>
      <c r="H86" s="228">
        <v>-5.0999999999999996</v>
      </c>
      <c r="I86" s="229">
        <v>-7.4000000000000003E-3</v>
      </c>
      <c r="J86" s="228">
        <v>684.6</v>
      </c>
      <c r="K86" s="228">
        <v>688.45</v>
      </c>
      <c r="L86" s="228">
        <v>-3.85</v>
      </c>
      <c r="M86" s="229">
        <v>-5.5999999999999999E-3</v>
      </c>
      <c r="N86" s="228">
        <v>686.15</v>
      </c>
      <c r="O86" s="228">
        <v>691.25</v>
      </c>
      <c r="P86" s="228">
        <v>-5.0999999999999996</v>
      </c>
      <c r="Q86" s="229">
        <v>-7.4000000000000003E-3</v>
      </c>
      <c r="R86" s="228">
        <v>691.4</v>
      </c>
      <c r="S86" s="228">
        <v>694.65</v>
      </c>
      <c r="T86" s="228">
        <v>-3.25</v>
      </c>
      <c r="U86" s="229">
        <v>-4.7000000000000002E-3</v>
      </c>
      <c r="V86" s="228">
        <v>700.4</v>
      </c>
      <c r="W86" s="228">
        <v>707</v>
      </c>
      <c r="X86" s="228">
        <v>-6.6</v>
      </c>
      <c r="Y86" s="229">
        <v>-9.2999999999999992E-3</v>
      </c>
      <c r="Z86" s="228">
        <v>1.55</v>
      </c>
      <c r="AA86" s="228">
        <v>2.8</v>
      </c>
      <c r="AB86" s="228">
        <v>-1.25</v>
      </c>
      <c r="AC86" s="229">
        <v>2.3E-3</v>
      </c>
      <c r="AD86" s="228">
        <v>1.55</v>
      </c>
      <c r="AE86" s="228">
        <v>2.8</v>
      </c>
      <c r="AF86" s="228">
        <v>-1.25</v>
      </c>
      <c r="AG86" s="229">
        <v>2.3E-3</v>
      </c>
      <c r="AH86" s="228">
        <v>6.8</v>
      </c>
      <c r="AI86" s="228">
        <v>6.2</v>
      </c>
      <c r="AJ86" s="228">
        <v>0.6</v>
      </c>
      <c r="AK86" s="229">
        <v>9.9000000000000008E-3</v>
      </c>
      <c r="AL86" s="228">
        <v>15.8</v>
      </c>
      <c r="AM86" s="228">
        <v>18.55</v>
      </c>
      <c r="AN86" s="228">
        <v>-2.75</v>
      </c>
      <c r="AO86" s="229">
        <v>2.3099999999999999E-2</v>
      </c>
      <c r="AP86" s="228">
        <v>688.56</v>
      </c>
      <c r="AQ86" s="228">
        <v>695.92</v>
      </c>
      <c r="AR86" s="228">
        <v>0</v>
      </c>
      <c r="AS86" s="228">
        <v>280</v>
      </c>
      <c r="AT86" s="228">
        <v>216</v>
      </c>
      <c r="AU86" s="228">
        <v>64</v>
      </c>
      <c r="AV86" s="229">
        <v>0.2979</v>
      </c>
      <c r="AW86" s="228">
        <v>277</v>
      </c>
      <c r="AX86" s="228">
        <v>214</v>
      </c>
      <c r="AY86" s="228">
        <v>63</v>
      </c>
      <c r="AZ86" s="229">
        <v>0.29499999999999998</v>
      </c>
      <c r="BA86" s="228">
        <v>3</v>
      </c>
      <c r="BB86" s="228">
        <v>2</v>
      </c>
      <c r="BC86" s="228">
        <v>1</v>
      </c>
      <c r="BD86" s="229">
        <v>0.45450000000000002</v>
      </c>
      <c r="BE86" s="228">
        <v>0</v>
      </c>
      <c r="BF86" s="228">
        <v>0</v>
      </c>
      <c r="BG86" s="228">
        <v>0</v>
      </c>
      <c r="BH86" s="229">
        <v>2.5</v>
      </c>
      <c r="BI86" s="228">
        <v>149</v>
      </c>
      <c r="BJ86" s="228">
        <v>171</v>
      </c>
      <c r="BK86" s="228">
        <v>-23</v>
      </c>
      <c r="BL86" s="229">
        <v>-0.13150000000000001</v>
      </c>
      <c r="BM86" s="228">
        <v>81</v>
      </c>
      <c r="BN86" s="228">
        <v>104</v>
      </c>
      <c r="BO86" s="228">
        <v>-22</v>
      </c>
      <c r="BP86" s="229">
        <v>-0.21609999999999999</v>
      </c>
      <c r="BQ86" s="228">
        <v>510</v>
      </c>
      <c r="BR86" s="228">
        <v>491</v>
      </c>
      <c r="BS86" s="228">
        <v>19</v>
      </c>
      <c r="BT86" s="229">
        <v>3.9300000000000002E-2</v>
      </c>
      <c r="BU86" s="230">
        <v>2291228</v>
      </c>
      <c r="BV86" s="230">
        <v>956908</v>
      </c>
      <c r="BW86" s="230">
        <v>1334320</v>
      </c>
      <c r="BX86" s="229">
        <v>1.3944000000000001</v>
      </c>
      <c r="BY86" s="230">
        <v>1108</v>
      </c>
      <c r="BZ86" s="230">
        <v>1149</v>
      </c>
      <c r="CA86" s="228">
        <v>-41</v>
      </c>
      <c r="CB86" s="229">
        <v>-3.5400000000000001E-2</v>
      </c>
      <c r="CC86" s="230">
        <v>1101</v>
      </c>
      <c r="CD86" s="230">
        <v>1143</v>
      </c>
      <c r="CE86" s="228">
        <v>-42</v>
      </c>
      <c r="CF86" s="229">
        <v>-3.6400000000000002E-2</v>
      </c>
      <c r="CG86" s="228">
        <v>6</v>
      </c>
      <c r="CH86" s="228">
        <v>5</v>
      </c>
      <c r="CI86" s="228">
        <v>1</v>
      </c>
      <c r="CJ86" s="229">
        <v>0.1084</v>
      </c>
      <c r="CK86" s="228">
        <v>1</v>
      </c>
      <c r="CL86" s="228">
        <v>1</v>
      </c>
      <c r="CM86" s="228">
        <v>0</v>
      </c>
      <c r="CN86" s="229">
        <v>0.7</v>
      </c>
      <c r="CO86" s="228">
        <v>187</v>
      </c>
      <c r="CP86" s="228">
        <v>173</v>
      </c>
      <c r="CQ86" s="228">
        <v>15</v>
      </c>
      <c r="CR86" s="229">
        <v>8.4099999999999994E-2</v>
      </c>
      <c r="CS86" s="228">
        <v>176</v>
      </c>
      <c r="CT86" s="228">
        <v>169</v>
      </c>
      <c r="CU86" s="228">
        <v>8</v>
      </c>
      <c r="CV86" s="229">
        <v>4.5900000000000003E-2</v>
      </c>
      <c r="CW86" s="230">
        <v>1472</v>
      </c>
      <c r="CX86" s="230">
        <v>1490</v>
      </c>
      <c r="CY86" s="228">
        <v>-18</v>
      </c>
      <c r="CZ86" s="229">
        <v>-1.23E-2</v>
      </c>
      <c r="DA86" s="228">
        <v>28.56</v>
      </c>
      <c r="DB86" s="228">
        <v>27.96</v>
      </c>
      <c r="DC86" s="228">
        <v>0.6</v>
      </c>
      <c r="DD86" s="228">
        <v>0.6</v>
      </c>
      <c r="DE86" s="228">
        <v>26.8</v>
      </c>
      <c r="DF86" s="228">
        <v>26.85</v>
      </c>
      <c r="DG86" s="228">
        <v>1.76</v>
      </c>
      <c r="DH86" s="228">
        <v>-0.05</v>
      </c>
      <c r="DI86" s="228">
        <v>28.21</v>
      </c>
      <c r="DJ86" s="228">
        <v>27.19</v>
      </c>
      <c r="DK86" s="228">
        <v>1.02</v>
      </c>
      <c r="DL86" s="228">
        <v>1.02</v>
      </c>
      <c r="DM86" s="228">
        <v>29.21</v>
      </c>
      <c r="DN86" s="228">
        <v>29.23</v>
      </c>
      <c r="DO86" s="228">
        <v>-0.02</v>
      </c>
      <c r="DP86" s="228">
        <v>-0.02</v>
      </c>
      <c r="DQ86" s="228">
        <v>0.94</v>
      </c>
      <c r="DR86" s="228">
        <v>0.98</v>
      </c>
      <c r="DS86" s="228">
        <v>-0.04</v>
      </c>
      <c r="DT86" s="229">
        <v>-4.0800000000000003E-2</v>
      </c>
      <c r="DU86" s="228">
        <v>670</v>
      </c>
      <c r="DV86" s="228">
        <v>620</v>
      </c>
      <c r="DW86" s="228">
        <v>0.55000000000000004</v>
      </c>
      <c r="DX86" s="228">
        <v>0.61</v>
      </c>
      <c r="DY86" s="228">
        <v>-0.06</v>
      </c>
      <c r="DZ86" s="229">
        <v>-9.8400000000000001E-2</v>
      </c>
      <c r="EA86" s="229">
        <v>6.1999999999999998E-3</v>
      </c>
      <c r="EB86" s="230">
        <v>86025</v>
      </c>
      <c r="EC86" s="229">
        <v>7.7000000000000002E-3</v>
      </c>
      <c r="ED86" s="229">
        <v>6.1999999999999998E-3</v>
      </c>
      <c r="EE86" s="228">
        <v>7.36</v>
      </c>
      <c r="EF86" s="229">
        <v>1.0699999999999999E-2</v>
      </c>
      <c r="EG86" s="230">
        <v>1752300</v>
      </c>
      <c r="EH86" s="230">
        <v>411401</v>
      </c>
      <c r="EI86" s="229">
        <v>3.2593000000000001</v>
      </c>
      <c r="EJ86" s="229">
        <v>0.76480000000000004</v>
      </c>
      <c r="EK86" s="228">
        <v>156.75</v>
      </c>
      <c r="EL86" s="228">
        <v>80.28</v>
      </c>
      <c r="EM86" s="228">
        <v>281.18</v>
      </c>
      <c r="EN86" s="228">
        <v>18.86</v>
      </c>
      <c r="EO86" s="228">
        <v>518.21</v>
      </c>
      <c r="EP86" s="228">
        <v>499.58</v>
      </c>
      <c r="EQ86" s="228">
        <v>18.63</v>
      </c>
      <c r="ER86" s="229">
        <v>3.73E-2</v>
      </c>
      <c r="ES86" s="228">
        <v>189.68</v>
      </c>
      <c r="ET86" s="228">
        <v>167.13</v>
      </c>
      <c r="EU86" s="231">
        <v>1108.23</v>
      </c>
      <c r="EV86" s="231">
        <v>58746582</v>
      </c>
      <c r="EW86" s="231">
        <v>1465.05</v>
      </c>
      <c r="EX86" s="231">
        <v>1490.58</v>
      </c>
      <c r="EY86" s="228">
        <v>-25.53</v>
      </c>
      <c r="EZ86" s="229">
        <v>-1.7100000000000001E-2</v>
      </c>
      <c r="FA86" s="229">
        <v>0.36520000000000002</v>
      </c>
      <c r="FB86" s="227" t="s">
        <v>568</v>
      </c>
      <c r="FC86">
        <f t="shared" si="1"/>
        <v>7</v>
      </c>
    </row>
    <row r="87" spans="1:159" ht="17.25" thickBot="1" x14ac:dyDescent="0.3">
      <c r="A87" s="226">
        <v>46029</v>
      </c>
      <c r="B87" s="227" t="s">
        <v>188</v>
      </c>
      <c r="C87" s="227" t="s">
        <v>234</v>
      </c>
      <c r="D87" s="228">
        <v>71475</v>
      </c>
      <c r="E87" s="228">
        <v>20</v>
      </c>
      <c r="F87" s="228">
        <v>11.52</v>
      </c>
      <c r="G87" s="228">
        <v>11.66</v>
      </c>
      <c r="H87" s="228">
        <v>-0.14000000000000001</v>
      </c>
      <c r="I87" s="229">
        <v>-1.2E-2</v>
      </c>
      <c r="J87" s="228">
        <v>11.46</v>
      </c>
      <c r="K87" s="228">
        <v>11.59</v>
      </c>
      <c r="L87" s="228">
        <v>-0.13</v>
      </c>
      <c r="M87" s="229">
        <v>-1.12E-2</v>
      </c>
      <c r="N87" s="228">
        <v>11.52</v>
      </c>
      <c r="O87" s="228">
        <v>11.66</v>
      </c>
      <c r="P87" s="228">
        <v>-0.14000000000000001</v>
      </c>
      <c r="Q87" s="229">
        <v>-1.2E-2</v>
      </c>
      <c r="R87" s="228">
        <v>11.59</v>
      </c>
      <c r="S87" s="228">
        <v>11.72</v>
      </c>
      <c r="T87" s="228">
        <v>-0.13</v>
      </c>
      <c r="U87" s="229">
        <v>-1.11E-2</v>
      </c>
      <c r="V87" s="228">
        <v>11.69</v>
      </c>
      <c r="W87" s="228">
        <v>11.81</v>
      </c>
      <c r="X87" s="228">
        <v>-0.12</v>
      </c>
      <c r="Y87" s="229">
        <v>-1.0200000000000001E-2</v>
      </c>
      <c r="Z87" s="228">
        <v>0.06</v>
      </c>
      <c r="AA87" s="228">
        <v>7.0000000000000007E-2</v>
      </c>
      <c r="AB87" s="228">
        <v>-0.01</v>
      </c>
      <c r="AC87" s="229">
        <v>5.1999999999999998E-3</v>
      </c>
      <c r="AD87" s="228">
        <v>0.06</v>
      </c>
      <c r="AE87" s="228">
        <v>7.0000000000000007E-2</v>
      </c>
      <c r="AF87" s="228">
        <v>-0.01</v>
      </c>
      <c r="AG87" s="229">
        <v>5.1999999999999998E-3</v>
      </c>
      <c r="AH87" s="228">
        <v>0.13</v>
      </c>
      <c r="AI87" s="228">
        <v>0.13</v>
      </c>
      <c r="AJ87" s="228">
        <v>0</v>
      </c>
      <c r="AK87" s="229">
        <v>1.1299999999999999E-2</v>
      </c>
      <c r="AL87" s="228">
        <v>0.23</v>
      </c>
      <c r="AM87" s="228">
        <v>0.22</v>
      </c>
      <c r="AN87" s="228">
        <v>0.01</v>
      </c>
      <c r="AO87" s="229">
        <v>2.01E-2</v>
      </c>
      <c r="AP87" s="228">
        <v>11.59</v>
      </c>
      <c r="AQ87" s="228">
        <v>11.66</v>
      </c>
      <c r="AR87" s="228">
        <v>0</v>
      </c>
      <c r="AS87" s="228">
        <v>506</v>
      </c>
      <c r="AT87" s="228">
        <v>737</v>
      </c>
      <c r="AU87" s="228">
        <v>-230</v>
      </c>
      <c r="AV87" s="229">
        <v>-0.31280000000000002</v>
      </c>
      <c r="AW87" s="228">
        <v>448</v>
      </c>
      <c r="AX87" s="228">
        <v>635</v>
      </c>
      <c r="AY87" s="228">
        <v>-187</v>
      </c>
      <c r="AZ87" s="229">
        <v>-0.29399999999999998</v>
      </c>
      <c r="BA87" s="228">
        <v>45</v>
      </c>
      <c r="BB87" s="228">
        <v>93</v>
      </c>
      <c r="BC87" s="228">
        <v>-48</v>
      </c>
      <c r="BD87" s="229">
        <v>-0.51329999999999998</v>
      </c>
      <c r="BE87" s="228">
        <v>13</v>
      </c>
      <c r="BF87" s="228">
        <v>9</v>
      </c>
      <c r="BG87" s="228">
        <v>4</v>
      </c>
      <c r="BH87" s="229">
        <v>0.4486</v>
      </c>
      <c r="BI87" s="230">
        <v>1102</v>
      </c>
      <c r="BJ87" s="230">
        <v>1656</v>
      </c>
      <c r="BK87" s="228">
        <v>-554</v>
      </c>
      <c r="BL87" s="229">
        <v>-0.3347</v>
      </c>
      <c r="BM87" s="228">
        <v>407</v>
      </c>
      <c r="BN87" s="228">
        <v>662</v>
      </c>
      <c r="BO87" s="228">
        <v>-255</v>
      </c>
      <c r="BP87" s="229">
        <v>-0.38550000000000001</v>
      </c>
      <c r="BQ87" s="230">
        <v>2015</v>
      </c>
      <c r="BR87" s="230">
        <v>3056</v>
      </c>
      <c r="BS87" s="230">
        <v>-1040</v>
      </c>
      <c r="BT87" s="229">
        <v>-0.34039999999999998</v>
      </c>
      <c r="BU87" s="230">
        <v>500836730</v>
      </c>
      <c r="BV87" s="230">
        <v>761012013</v>
      </c>
      <c r="BW87" s="230">
        <v>-260175283</v>
      </c>
      <c r="BX87" s="229">
        <v>-0.34189999999999998</v>
      </c>
      <c r="BY87" s="230">
        <v>8260</v>
      </c>
      <c r="BZ87" s="230">
        <v>8266</v>
      </c>
      <c r="CA87" s="228">
        <v>-6</v>
      </c>
      <c r="CB87" s="229">
        <v>-8.0000000000000004E-4</v>
      </c>
      <c r="CC87" s="230">
        <v>7773</v>
      </c>
      <c r="CD87" s="230">
        <v>7790</v>
      </c>
      <c r="CE87" s="228">
        <v>-17</v>
      </c>
      <c r="CF87" s="229">
        <v>-2.0999999999999999E-3</v>
      </c>
      <c r="CG87" s="228">
        <v>436</v>
      </c>
      <c r="CH87" s="228">
        <v>429</v>
      </c>
      <c r="CI87" s="228">
        <v>7</v>
      </c>
      <c r="CJ87" s="229">
        <v>1.6899999999999998E-2</v>
      </c>
      <c r="CK87" s="228">
        <v>50</v>
      </c>
      <c r="CL87" s="228">
        <v>47</v>
      </c>
      <c r="CM87" s="228">
        <v>3</v>
      </c>
      <c r="CN87" s="229">
        <v>6.6100000000000006E-2</v>
      </c>
      <c r="CO87" s="230">
        <v>2941</v>
      </c>
      <c r="CP87" s="230">
        <v>2896</v>
      </c>
      <c r="CQ87" s="228">
        <v>44</v>
      </c>
      <c r="CR87" s="229">
        <v>1.54E-2</v>
      </c>
      <c r="CS87" s="230">
        <v>1782</v>
      </c>
      <c r="CT87" s="230">
        <v>1805</v>
      </c>
      <c r="CU87" s="228">
        <v>-23</v>
      </c>
      <c r="CV87" s="229">
        <v>-1.2699999999999999E-2</v>
      </c>
      <c r="CW87" s="230">
        <v>12983</v>
      </c>
      <c r="CX87" s="230">
        <v>12967</v>
      </c>
      <c r="CY87" s="228">
        <v>15</v>
      </c>
      <c r="CZ87" s="229">
        <v>1.1999999999999999E-3</v>
      </c>
      <c r="DA87" s="228">
        <v>55.68</v>
      </c>
      <c r="DB87" s="228">
        <v>55.24</v>
      </c>
      <c r="DC87" s="228">
        <v>0.44</v>
      </c>
      <c r="DD87" s="228">
        <v>0.44</v>
      </c>
      <c r="DE87" s="228">
        <v>68.38</v>
      </c>
      <c r="DF87" s="228">
        <v>68.53</v>
      </c>
      <c r="DG87" s="228">
        <v>-12.7</v>
      </c>
      <c r="DH87" s="228">
        <v>-0.15</v>
      </c>
      <c r="DI87" s="228">
        <v>56.82</v>
      </c>
      <c r="DJ87" s="228">
        <v>56.12</v>
      </c>
      <c r="DK87" s="228">
        <v>0.7</v>
      </c>
      <c r="DL87" s="228">
        <v>0.7</v>
      </c>
      <c r="DM87" s="228">
        <v>52.6</v>
      </c>
      <c r="DN87" s="228">
        <v>53.05</v>
      </c>
      <c r="DO87" s="228">
        <v>-0.45</v>
      </c>
      <c r="DP87" s="228">
        <v>-0.45</v>
      </c>
      <c r="DQ87" s="228">
        <v>0.61</v>
      </c>
      <c r="DR87" s="228">
        <v>0.62</v>
      </c>
      <c r="DS87" s="228">
        <v>-0.01</v>
      </c>
      <c r="DT87" s="229">
        <v>-1.61E-2</v>
      </c>
      <c r="DU87" s="228">
        <v>12</v>
      </c>
      <c r="DV87" s="228">
        <v>12</v>
      </c>
      <c r="DW87" s="228">
        <v>0.37</v>
      </c>
      <c r="DX87" s="228">
        <v>0.4</v>
      </c>
      <c r="DY87" s="228">
        <v>-0.03</v>
      </c>
      <c r="DZ87" s="229">
        <v>-7.4999999999999997E-2</v>
      </c>
      <c r="EA87" s="229">
        <v>5.8900000000000001E-2</v>
      </c>
      <c r="EB87" s="230">
        <v>413339925</v>
      </c>
      <c r="EC87" s="229">
        <v>6.1000000000000004E-3</v>
      </c>
      <c r="ED87" s="229">
        <v>5.8900000000000001E-2</v>
      </c>
      <c r="EE87" s="228">
        <v>7.0000000000000007E-2</v>
      </c>
      <c r="EF87" s="229">
        <v>6.0000000000000001E-3</v>
      </c>
      <c r="EG87" s="230">
        <v>95964826</v>
      </c>
      <c r="EH87" s="230">
        <v>155756598</v>
      </c>
      <c r="EI87" s="229">
        <v>-0.38390000000000002</v>
      </c>
      <c r="EJ87" s="229">
        <v>0.19159999999999999</v>
      </c>
      <c r="EK87" s="231">
        <v>1288.23</v>
      </c>
      <c r="EL87" s="228">
        <v>384.52</v>
      </c>
      <c r="EM87" s="228">
        <v>509.68</v>
      </c>
      <c r="EN87" s="228">
        <v>311.81</v>
      </c>
      <c r="EO87" s="231">
        <v>2182.4299999999998</v>
      </c>
      <c r="EP87" s="231">
        <v>3310.48</v>
      </c>
      <c r="EQ87" s="231">
        <v>-1128.05</v>
      </c>
      <c r="ER87" s="229">
        <v>-0.34079999999999999</v>
      </c>
      <c r="ES87" s="231">
        <v>3326.53</v>
      </c>
      <c r="ET87" s="231">
        <v>1653.82</v>
      </c>
      <c r="EU87" s="231">
        <v>8262.92</v>
      </c>
      <c r="EV87" s="231">
        <v>12037179660</v>
      </c>
      <c r="EW87" s="231">
        <v>13243.26</v>
      </c>
      <c r="EX87" s="231">
        <v>13316.89</v>
      </c>
      <c r="EY87" s="228">
        <v>-73.63</v>
      </c>
      <c r="EZ87" s="229">
        <v>-5.4999999999999997E-3</v>
      </c>
      <c r="FA87" s="229">
        <v>0.93620000000000003</v>
      </c>
      <c r="FB87" s="227" t="s">
        <v>568</v>
      </c>
      <c r="FC87">
        <f t="shared" si="1"/>
        <v>487</v>
      </c>
    </row>
    <row r="88" spans="1:159" ht="17.25" thickBot="1" x14ac:dyDescent="0.3">
      <c r="A88" s="226">
        <v>46029</v>
      </c>
      <c r="B88" s="227" t="s">
        <v>172</v>
      </c>
      <c r="C88" s="227" t="s">
        <v>235</v>
      </c>
      <c r="D88" s="228">
        <v>9275</v>
      </c>
      <c r="E88" s="228">
        <v>20</v>
      </c>
      <c r="F88" s="228">
        <v>84.79</v>
      </c>
      <c r="G88" s="228">
        <v>85.13</v>
      </c>
      <c r="H88" s="228">
        <v>-0.34</v>
      </c>
      <c r="I88" s="229">
        <v>-4.0000000000000001E-3</v>
      </c>
      <c r="J88" s="228">
        <v>84.4</v>
      </c>
      <c r="K88" s="228">
        <v>84.73</v>
      </c>
      <c r="L88" s="228">
        <v>-0.33</v>
      </c>
      <c r="M88" s="229">
        <v>-3.8999999999999998E-3</v>
      </c>
      <c r="N88" s="228">
        <v>84.79</v>
      </c>
      <c r="O88" s="228">
        <v>85.13</v>
      </c>
      <c r="P88" s="228">
        <v>-0.34</v>
      </c>
      <c r="Q88" s="229">
        <v>-4.0000000000000001E-3</v>
      </c>
      <c r="R88" s="228">
        <v>85.25</v>
      </c>
      <c r="S88" s="228">
        <v>85.67</v>
      </c>
      <c r="T88" s="228">
        <v>-0.42</v>
      </c>
      <c r="U88" s="229">
        <v>-4.8999999999999998E-3</v>
      </c>
      <c r="V88" s="228">
        <v>85.79</v>
      </c>
      <c r="W88" s="228">
        <v>86.22</v>
      </c>
      <c r="X88" s="228">
        <v>-0.43</v>
      </c>
      <c r="Y88" s="229">
        <v>-5.0000000000000001E-3</v>
      </c>
      <c r="Z88" s="228">
        <v>0.39</v>
      </c>
      <c r="AA88" s="228">
        <v>0.4</v>
      </c>
      <c r="AB88" s="228">
        <v>-0.01</v>
      </c>
      <c r="AC88" s="229">
        <v>4.5999999999999999E-3</v>
      </c>
      <c r="AD88" s="228">
        <v>0.39</v>
      </c>
      <c r="AE88" s="228">
        <v>0.4</v>
      </c>
      <c r="AF88" s="228">
        <v>-0.01</v>
      </c>
      <c r="AG88" s="229">
        <v>4.5999999999999999E-3</v>
      </c>
      <c r="AH88" s="228">
        <v>0.85</v>
      </c>
      <c r="AI88" s="228">
        <v>0.94</v>
      </c>
      <c r="AJ88" s="228">
        <v>-0.09</v>
      </c>
      <c r="AK88" s="229">
        <v>1.01E-2</v>
      </c>
      <c r="AL88" s="228">
        <v>1.39</v>
      </c>
      <c r="AM88" s="228">
        <v>1.49</v>
      </c>
      <c r="AN88" s="228">
        <v>-0.1</v>
      </c>
      <c r="AO88" s="229">
        <v>1.6500000000000001E-2</v>
      </c>
      <c r="AP88" s="228">
        <v>85.41</v>
      </c>
      <c r="AQ88" s="228">
        <v>85.83</v>
      </c>
      <c r="AR88" s="228">
        <v>0</v>
      </c>
      <c r="AS88" s="228">
        <v>577</v>
      </c>
      <c r="AT88" s="228">
        <v>439</v>
      </c>
      <c r="AU88" s="228">
        <v>138</v>
      </c>
      <c r="AV88" s="229">
        <v>0.31430000000000002</v>
      </c>
      <c r="AW88" s="228">
        <v>530</v>
      </c>
      <c r="AX88" s="228">
        <v>406</v>
      </c>
      <c r="AY88" s="228">
        <v>124</v>
      </c>
      <c r="AZ88" s="229">
        <v>0.30659999999999998</v>
      </c>
      <c r="BA88" s="228">
        <v>40</v>
      </c>
      <c r="BB88" s="228">
        <v>27</v>
      </c>
      <c r="BC88" s="228">
        <v>13</v>
      </c>
      <c r="BD88" s="229">
        <v>0.4899</v>
      </c>
      <c r="BE88" s="228">
        <v>7</v>
      </c>
      <c r="BF88" s="228">
        <v>6</v>
      </c>
      <c r="BG88" s="228">
        <v>0</v>
      </c>
      <c r="BH88" s="229">
        <v>0.05</v>
      </c>
      <c r="BI88" s="230">
        <v>1011</v>
      </c>
      <c r="BJ88" s="228">
        <v>791</v>
      </c>
      <c r="BK88" s="228">
        <v>220</v>
      </c>
      <c r="BL88" s="229">
        <v>0.27879999999999999</v>
      </c>
      <c r="BM88" s="228">
        <v>334</v>
      </c>
      <c r="BN88" s="228">
        <v>338</v>
      </c>
      <c r="BO88" s="228">
        <v>-4</v>
      </c>
      <c r="BP88" s="229">
        <v>-1.26E-2</v>
      </c>
      <c r="BQ88" s="230">
        <v>1922</v>
      </c>
      <c r="BR88" s="230">
        <v>1568</v>
      </c>
      <c r="BS88" s="228">
        <v>354</v>
      </c>
      <c r="BT88" s="229">
        <v>0.22589999999999999</v>
      </c>
      <c r="BU88" s="230">
        <v>45219055</v>
      </c>
      <c r="BV88" s="230">
        <v>20602475</v>
      </c>
      <c r="BW88" s="230">
        <v>24616580</v>
      </c>
      <c r="BX88" s="229">
        <v>1.1948000000000001</v>
      </c>
      <c r="BY88" s="230">
        <v>2740</v>
      </c>
      <c r="BZ88" s="230">
        <v>2668</v>
      </c>
      <c r="CA88" s="228">
        <v>72</v>
      </c>
      <c r="CB88" s="229">
        <v>2.7E-2</v>
      </c>
      <c r="CC88" s="230">
        <v>2600</v>
      </c>
      <c r="CD88" s="230">
        <v>2540</v>
      </c>
      <c r="CE88" s="228">
        <v>60</v>
      </c>
      <c r="CF88" s="229">
        <v>2.3699999999999999E-2</v>
      </c>
      <c r="CG88" s="228">
        <v>122</v>
      </c>
      <c r="CH88" s="228">
        <v>114</v>
      </c>
      <c r="CI88" s="228">
        <v>8</v>
      </c>
      <c r="CJ88" s="229">
        <v>7.3800000000000004E-2</v>
      </c>
      <c r="CK88" s="228">
        <v>18</v>
      </c>
      <c r="CL88" s="228">
        <v>14</v>
      </c>
      <c r="CM88" s="228">
        <v>4</v>
      </c>
      <c r="CN88" s="229">
        <v>0.25140000000000001</v>
      </c>
      <c r="CO88" s="228">
        <v>997</v>
      </c>
      <c r="CP88" s="228">
        <v>962</v>
      </c>
      <c r="CQ88" s="228">
        <v>34</v>
      </c>
      <c r="CR88" s="229">
        <v>3.56E-2</v>
      </c>
      <c r="CS88" s="228">
        <v>554</v>
      </c>
      <c r="CT88" s="228">
        <v>534</v>
      </c>
      <c r="CU88" s="228">
        <v>20</v>
      </c>
      <c r="CV88" s="229">
        <v>3.7199999999999997E-2</v>
      </c>
      <c r="CW88" s="230">
        <v>4291</v>
      </c>
      <c r="CX88" s="230">
        <v>4165</v>
      </c>
      <c r="CY88" s="228">
        <v>126</v>
      </c>
      <c r="CZ88" s="229">
        <v>3.0300000000000001E-2</v>
      </c>
      <c r="DA88" s="228">
        <v>25.5</v>
      </c>
      <c r="DB88" s="228">
        <v>25.16</v>
      </c>
      <c r="DC88" s="228">
        <v>0.34</v>
      </c>
      <c r="DD88" s="228">
        <v>0.34</v>
      </c>
      <c r="DE88" s="228">
        <v>32.19</v>
      </c>
      <c r="DF88" s="228">
        <v>32.26</v>
      </c>
      <c r="DG88" s="228">
        <v>-6.69</v>
      </c>
      <c r="DH88" s="228">
        <v>-7.0000000000000007E-2</v>
      </c>
      <c r="DI88" s="228">
        <v>25.76</v>
      </c>
      <c r="DJ88" s="228">
        <v>25.33</v>
      </c>
      <c r="DK88" s="228">
        <v>0.43</v>
      </c>
      <c r="DL88" s="228">
        <v>0.43</v>
      </c>
      <c r="DM88" s="228">
        <v>24.73</v>
      </c>
      <c r="DN88" s="228">
        <v>24.76</v>
      </c>
      <c r="DO88" s="228">
        <v>-0.03</v>
      </c>
      <c r="DP88" s="228">
        <v>-0.03</v>
      </c>
      <c r="DQ88" s="228">
        <v>0.56000000000000005</v>
      </c>
      <c r="DR88" s="228">
        <v>0.56000000000000005</v>
      </c>
      <c r="DS88" s="228">
        <v>0</v>
      </c>
      <c r="DT88" s="229">
        <v>0</v>
      </c>
      <c r="DU88" s="228">
        <v>90</v>
      </c>
      <c r="DV88" s="228">
        <v>85</v>
      </c>
      <c r="DW88" s="228">
        <v>0.33</v>
      </c>
      <c r="DX88" s="228">
        <v>0.43</v>
      </c>
      <c r="DY88" s="228">
        <v>-0.1</v>
      </c>
      <c r="DZ88" s="229">
        <v>-0.2326</v>
      </c>
      <c r="EA88" s="229">
        <v>5.11E-2</v>
      </c>
      <c r="EB88" s="230">
        <v>15099700</v>
      </c>
      <c r="EC88" s="229">
        <v>5.4000000000000003E-3</v>
      </c>
      <c r="ED88" s="229">
        <v>5.11E-2</v>
      </c>
      <c r="EE88" s="228">
        <v>0.42</v>
      </c>
      <c r="EF88" s="229">
        <v>4.8999999999999998E-3</v>
      </c>
      <c r="EG88" s="230">
        <v>29525123</v>
      </c>
      <c r="EH88" s="230">
        <v>10223845</v>
      </c>
      <c r="EI88" s="229">
        <v>1.8878999999999999</v>
      </c>
      <c r="EJ88" s="229">
        <v>0.65290000000000004</v>
      </c>
      <c r="EK88" s="231">
        <v>1062.3900000000001</v>
      </c>
      <c r="EL88" s="228">
        <v>334.12</v>
      </c>
      <c r="EM88" s="228">
        <v>581.69000000000005</v>
      </c>
      <c r="EN88" s="228">
        <v>46.68</v>
      </c>
      <c r="EO88" s="231">
        <v>1978.2</v>
      </c>
      <c r="EP88" s="231">
        <v>1608.68</v>
      </c>
      <c r="EQ88" s="228">
        <v>369.53</v>
      </c>
      <c r="ER88" s="229">
        <v>0.22969999999999999</v>
      </c>
      <c r="ES88" s="231">
        <v>1034.77</v>
      </c>
      <c r="ET88" s="228">
        <v>538.23</v>
      </c>
      <c r="EU88" s="231">
        <v>2741.18</v>
      </c>
      <c r="EV88" s="231">
        <v>936861183</v>
      </c>
      <c r="EW88" s="231">
        <v>4314.18</v>
      </c>
      <c r="EX88" s="231">
        <v>4195.8500000000004</v>
      </c>
      <c r="EY88" s="228">
        <v>118.33</v>
      </c>
      <c r="EZ88" s="229">
        <v>2.8199999999999999E-2</v>
      </c>
      <c r="FA88" s="229">
        <v>0.54020000000000001</v>
      </c>
      <c r="FB88" s="227" t="s">
        <v>567</v>
      </c>
      <c r="FC88">
        <f t="shared" si="1"/>
        <v>140</v>
      </c>
    </row>
    <row r="89" spans="1:159" ht="17.25" thickBot="1" x14ac:dyDescent="0.3">
      <c r="A89" s="226">
        <v>46029</v>
      </c>
      <c r="B89" s="227" t="s">
        <v>161</v>
      </c>
      <c r="C89" s="227" t="s">
        <v>514</v>
      </c>
      <c r="D89" s="228">
        <v>3750</v>
      </c>
      <c r="E89" s="228">
        <v>20</v>
      </c>
      <c r="F89" s="228">
        <v>155.34</v>
      </c>
      <c r="G89" s="228">
        <v>149.07</v>
      </c>
      <c r="H89" s="228">
        <v>6.27</v>
      </c>
      <c r="I89" s="229">
        <v>4.2099999999999999E-2</v>
      </c>
      <c r="J89" s="228">
        <v>154.78</v>
      </c>
      <c r="K89" s="228">
        <v>148.66999999999999</v>
      </c>
      <c r="L89" s="228">
        <v>6.11</v>
      </c>
      <c r="M89" s="229">
        <v>4.1099999999999998E-2</v>
      </c>
      <c r="N89" s="228">
        <v>155.34</v>
      </c>
      <c r="O89" s="228">
        <v>149.07</v>
      </c>
      <c r="P89" s="228">
        <v>6.27</v>
      </c>
      <c r="Q89" s="229">
        <v>4.2099999999999999E-2</v>
      </c>
      <c r="R89" s="228">
        <v>154.9</v>
      </c>
      <c r="S89" s="228">
        <v>148.74</v>
      </c>
      <c r="T89" s="228">
        <v>6.16</v>
      </c>
      <c r="U89" s="229">
        <v>4.1399999999999999E-2</v>
      </c>
      <c r="V89" s="228">
        <v>155.69999999999999</v>
      </c>
      <c r="W89" s="228">
        <v>149.13999999999999</v>
      </c>
      <c r="X89" s="228">
        <v>6.56</v>
      </c>
      <c r="Y89" s="229">
        <v>4.3999999999999997E-2</v>
      </c>
      <c r="Z89" s="228">
        <v>0.56000000000000005</v>
      </c>
      <c r="AA89" s="228">
        <v>0.4</v>
      </c>
      <c r="AB89" s="228">
        <v>0.16</v>
      </c>
      <c r="AC89" s="229">
        <v>3.5999999999999999E-3</v>
      </c>
      <c r="AD89" s="228">
        <v>0.56000000000000005</v>
      </c>
      <c r="AE89" s="228">
        <v>0.4</v>
      </c>
      <c r="AF89" s="228">
        <v>0.16</v>
      </c>
      <c r="AG89" s="229">
        <v>3.5999999999999999E-3</v>
      </c>
      <c r="AH89" s="228">
        <v>0.12</v>
      </c>
      <c r="AI89" s="228">
        <v>7.0000000000000007E-2</v>
      </c>
      <c r="AJ89" s="228">
        <v>0.05</v>
      </c>
      <c r="AK89" s="229">
        <v>8.0000000000000004E-4</v>
      </c>
      <c r="AL89" s="228">
        <v>0.92</v>
      </c>
      <c r="AM89" s="228">
        <v>0.47</v>
      </c>
      <c r="AN89" s="228">
        <v>0.45</v>
      </c>
      <c r="AO89" s="229">
        <v>5.8999999999999999E-3</v>
      </c>
      <c r="AP89" s="228">
        <v>153</v>
      </c>
      <c r="AQ89" s="228">
        <v>152.62</v>
      </c>
      <c r="AR89" s="228">
        <v>0</v>
      </c>
      <c r="AS89" s="230">
        <v>1372</v>
      </c>
      <c r="AT89" s="230">
        <v>2256</v>
      </c>
      <c r="AU89" s="228">
        <v>-885</v>
      </c>
      <c r="AV89" s="229">
        <v>-0.3921</v>
      </c>
      <c r="AW89" s="230">
        <v>1262</v>
      </c>
      <c r="AX89" s="230">
        <v>2127</v>
      </c>
      <c r="AY89" s="228">
        <v>-865</v>
      </c>
      <c r="AZ89" s="229">
        <v>-0.40649999999999997</v>
      </c>
      <c r="BA89" s="228">
        <v>99</v>
      </c>
      <c r="BB89" s="228">
        <v>119</v>
      </c>
      <c r="BC89" s="228">
        <v>-20</v>
      </c>
      <c r="BD89" s="229">
        <v>-0.16919999999999999</v>
      </c>
      <c r="BE89" s="228">
        <v>10</v>
      </c>
      <c r="BF89" s="228">
        <v>10</v>
      </c>
      <c r="BG89" s="228">
        <v>0</v>
      </c>
      <c r="BH89" s="229">
        <v>5.7000000000000002E-3</v>
      </c>
      <c r="BI89" s="230">
        <v>6172</v>
      </c>
      <c r="BJ89" s="230">
        <v>7584</v>
      </c>
      <c r="BK89" s="230">
        <v>-1412</v>
      </c>
      <c r="BL89" s="229">
        <v>-0.18609999999999999</v>
      </c>
      <c r="BM89" s="230">
        <v>2018</v>
      </c>
      <c r="BN89" s="230">
        <v>2565</v>
      </c>
      <c r="BO89" s="228">
        <v>-547</v>
      </c>
      <c r="BP89" s="229">
        <v>-0.2132</v>
      </c>
      <c r="BQ89" s="230">
        <v>9562</v>
      </c>
      <c r="BR89" s="230">
        <v>12405</v>
      </c>
      <c r="BS89" s="230">
        <v>-2843</v>
      </c>
      <c r="BT89" s="229">
        <v>-0.22919999999999999</v>
      </c>
      <c r="BU89" s="230">
        <v>117981797</v>
      </c>
      <c r="BV89" s="230">
        <v>84064528</v>
      </c>
      <c r="BW89" s="230">
        <v>33917269</v>
      </c>
      <c r="BX89" s="229">
        <v>0.40350000000000003</v>
      </c>
      <c r="BY89" s="230">
        <v>1261</v>
      </c>
      <c r="BZ89" s="230">
        <v>1244</v>
      </c>
      <c r="CA89" s="228">
        <v>17</v>
      </c>
      <c r="CB89" s="229">
        <v>1.37E-2</v>
      </c>
      <c r="CC89" s="230">
        <v>1170</v>
      </c>
      <c r="CD89" s="230">
        <v>1156</v>
      </c>
      <c r="CE89" s="228">
        <v>14</v>
      </c>
      <c r="CF89" s="229">
        <v>1.2E-2</v>
      </c>
      <c r="CG89" s="228">
        <v>85</v>
      </c>
      <c r="CH89" s="228">
        <v>83</v>
      </c>
      <c r="CI89" s="228">
        <v>1</v>
      </c>
      <c r="CJ89" s="229">
        <v>1.61E-2</v>
      </c>
      <c r="CK89" s="228">
        <v>6</v>
      </c>
      <c r="CL89" s="228">
        <v>4</v>
      </c>
      <c r="CM89" s="228">
        <v>2</v>
      </c>
      <c r="CN89" s="229">
        <v>0.3896</v>
      </c>
      <c r="CO89" s="230">
        <v>1408</v>
      </c>
      <c r="CP89" s="230">
        <v>1393</v>
      </c>
      <c r="CQ89" s="228">
        <v>15</v>
      </c>
      <c r="CR89" s="229">
        <v>1.0999999999999999E-2</v>
      </c>
      <c r="CS89" s="228">
        <v>963</v>
      </c>
      <c r="CT89" s="228">
        <v>816</v>
      </c>
      <c r="CU89" s="228">
        <v>148</v>
      </c>
      <c r="CV89" s="229">
        <v>0.18090000000000001</v>
      </c>
      <c r="CW89" s="230">
        <v>3633</v>
      </c>
      <c r="CX89" s="230">
        <v>3453</v>
      </c>
      <c r="CY89" s="228">
        <v>180</v>
      </c>
      <c r="CZ89" s="229">
        <v>5.21E-2</v>
      </c>
      <c r="DA89" s="228">
        <v>59.75</v>
      </c>
      <c r="DB89" s="228">
        <v>53.03</v>
      </c>
      <c r="DC89" s="228">
        <v>6.72</v>
      </c>
      <c r="DD89" s="228">
        <v>6.72</v>
      </c>
      <c r="DE89" s="228">
        <v>53.94</v>
      </c>
      <c r="DF89" s="228">
        <v>53.79</v>
      </c>
      <c r="DG89" s="228">
        <v>5.81</v>
      </c>
      <c r="DH89" s="228">
        <v>0.15</v>
      </c>
      <c r="DI89" s="228">
        <v>60.21</v>
      </c>
      <c r="DJ89" s="228">
        <v>53.84</v>
      </c>
      <c r="DK89" s="228">
        <v>6.37</v>
      </c>
      <c r="DL89" s="228">
        <v>6.37</v>
      </c>
      <c r="DM89" s="228">
        <v>58.34</v>
      </c>
      <c r="DN89" s="228">
        <v>50.62</v>
      </c>
      <c r="DO89" s="228">
        <v>7.72</v>
      </c>
      <c r="DP89" s="228">
        <v>7.72</v>
      </c>
      <c r="DQ89" s="228">
        <v>0.68</v>
      </c>
      <c r="DR89" s="228">
        <v>0.59</v>
      </c>
      <c r="DS89" s="228">
        <v>0.09</v>
      </c>
      <c r="DT89" s="229">
        <v>0.1525</v>
      </c>
      <c r="DU89" s="228">
        <v>150</v>
      </c>
      <c r="DV89" s="228">
        <v>140</v>
      </c>
      <c r="DW89" s="228">
        <v>0.33</v>
      </c>
      <c r="DX89" s="228">
        <v>0.34</v>
      </c>
      <c r="DY89" s="228">
        <v>-0.01</v>
      </c>
      <c r="DZ89" s="229">
        <v>-2.9399999999999999E-2</v>
      </c>
      <c r="EA89" s="229">
        <v>7.2099999999999997E-2</v>
      </c>
      <c r="EB89" s="230">
        <v>5651250</v>
      </c>
      <c r="EC89" s="229">
        <v>-2.8E-3</v>
      </c>
      <c r="ED89" s="229">
        <v>7.2099999999999997E-2</v>
      </c>
      <c r="EE89" s="228">
        <v>-0.38</v>
      </c>
      <c r="EF89" s="229">
        <v>-2.5000000000000001E-3</v>
      </c>
      <c r="EG89" s="230">
        <v>20542830</v>
      </c>
      <c r="EH89" s="230">
        <v>22099368</v>
      </c>
      <c r="EI89" s="229">
        <v>-7.0400000000000004E-2</v>
      </c>
      <c r="EJ89" s="229">
        <v>0.1741</v>
      </c>
      <c r="EK89" s="231">
        <v>6541.95</v>
      </c>
      <c r="EL89" s="231">
        <v>1894.83</v>
      </c>
      <c r="EM89" s="231">
        <v>1350.72</v>
      </c>
      <c r="EN89" s="228">
        <v>94.62</v>
      </c>
      <c r="EO89" s="231">
        <v>9787.49</v>
      </c>
      <c r="EP89" s="231">
        <v>12043.41</v>
      </c>
      <c r="EQ89" s="231">
        <v>-2255.92</v>
      </c>
      <c r="ER89" s="229">
        <v>-0.18729999999999999</v>
      </c>
      <c r="ES89" s="231">
        <v>1396.99</v>
      </c>
      <c r="ET89" s="228">
        <v>872.82</v>
      </c>
      <c r="EU89" s="231">
        <v>1260.8800000000001</v>
      </c>
      <c r="EV89" s="231">
        <v>133395043</v>
      </c>
      <c r="EW89" s="231">
        <v>3530.69</v>
      </c>
      <c r="EX89" s="231">
        <v>3270.11</v>
      </c>
      <c r="EY89" s="228">
        <v>260.58</v>
      </c>
      <c r="EZ89" s="229">
        <v>7.9699999999999993E-2</v>
      </c>
      <c r="FA89" s="229">
        <v>1.7531000000000001</v>
      </c>
      <c r="FB89" s="227" t="s">
        <v>555</v>
      </c>
      <c r="FC89">
        <f t="shared" si="1"/>
        <v>91</v>
      </c>
    </row>
    <row r="90" spans="1:159" ht="17.25" thickBot="1" x14ac:dyDescent="0.3">
      <c r="A90" s="226">
        <v>46029</v>
      </c>
      <c r="B90" s="227" t="s">
        <v>175</v>
      </c>
      <c r="C90" s="227" t="s">
        <v>666</v>
      </c>
      <c r="D90" s="228">
        <v>1650</v>
      </c>
      <c r="E90" s="228">
        <v>20</v>
      </c>
      <c r="F90" s="228">
        <v>660.45</v>
      </c>
      <c r="G90" s="228">
        <v>668.75</v>
      </c>
      <c r="H90" s="228">
        <v>-8.3000000000000007</v>
      </c>
      <c r="I90" s="229">
        <v>-1.24E-2</v>
      </c>
      <c r="J90" s="228">
        <v>656.95</v>
      </c>
      <c r="K90" s="228">
        <v>665.15</v>
      </c>
      <c r="L90" s="228">
        <v>-8.1999999999999993</v>
      </c>
      <c r="M90" s="229">
        <v>-1.23E-2</v>
      </c>
      <c r="N90" s="228">
        <v>660.45</v>
      </c>
      <c r="O90" s="228">
        <v>668.75</v>
      </c>
      <c r="P90" s="228">
        <v>-8.3000000000000007</v>
      </c>
      <c r="Q90" s="229">
        <v>-1.24E-2</v>
      </c>
      <c r="R90" s="228">
        <v>0</v>
      </c>
      <c r="S90" s="228">
        <v>0</v>
      </c>
      <c r="T90" s="228">
        <v>0</v>
      </c>
      <c r="U90" s="229">
        <v>0</v>
      </c>
      <c r="V90" s="228">
        <v>0</v>
      </c>
      <c r="W90" s="228">
        <v>0</v>
      </c>
      <c r="X90" s="228">
        <v>0</v>
      </c>
      <c r="Y90" s="229">
        <v>0</v>
      </c>
      <c r="Z90" s="228">
        <v>3.5</v>
      </c>
      <c r="AA90" s="228">
        <v>3.6</v>
      </c>
      <c r="AB90" s="228">
        <v>-0.1</v>
      </c>
      <c r="AC90" s="229">
        <v>5.3E-3</v>
      </c>
      <c r="AD90" s="228">
        <v>3.5</v>
      </c>
      <c r="AE90" s="228">
        <v>3.6</v>
      </c>
      <c r="AF90" s="228">
        <v>-0.1</v>
      </c>
      <c r="AG90" s="229">
        <v>5.3E-3</v>
      </c>
      <c r="AH90" s="228">
        <v>0</v>
      </c>
      <c r="AI90" s="228">
        <v>0</v>
      </c>
      <c r="AJ90" s="228">
        <v>0</v>
      </c>
      <c r="AK90" s="229">
        <v>0</v>
      </c>
      <c r="AL90" s="228">
        <v>0</v>
      </c>
      <c r="AM90" s="228">
        <v>0</v>
      </c>
      <c r="AN90" s="228">
        <v>0</v>
      </c>
      <c r="AO90" s="229">
        <v>0</v>
      </c>
      <c r="AP90" s="228">
        <v>659.3</v>
      </c>
      <c r="AQ90" s="228">
        <v>0</v>
      </c>
      <c r="AR90" s="228">
        <v>0</v>
      </c>
      <c r="AS90" s="228">
        <v>211</v>
      </c>
      <c r="AT90" s="228">
        <v>390</v>
      </c>
      <c r="AU90" s="228">
        <v>-179</v>
      </c>
      <c r="AV90" s="229">
        <v>-0.45839999999999997</v>
      </c>
      <c r="AW90" s="228">
        <v>211</v>
      </c>
      <c r="AX90" s="228">
        <v>390</v>
      </c>
      <c r="AY90" s="228">
        <v>-179</v>
      </c>
      <c r="AZ90" s="229">
        <v>-0.45839999999999997</v>
      </c>
      <c r="BA90" s="228">
        <v>0</v>
      </c>
      <c r="BB90" s="228">
        <v>0</v>
      </c>
      <c r="BC90" s="228">
        <v>0</v>
      </c>
      <c r="BD90" s="229">
        <v>0</v>
      </c>
      <c r="BE90" s="228">
        <v>0</v>
      </c>
      <c r="BF90" s="228">
        <v>0</v>
      </c>
      <c r="BG90" s="228">
        <v>0</v>
      </c>
      <c r="BH90" s="229">
        <v>0</v>
      </c>
      <c r="BI90" s="228">
        <v>475</v>
      </c>
      <c r="BJ90" s="230">
        <v>1755</v>
      </c>
      <c r="BK90" s="230">
        <v>-1280</v>
      </c>
      <c r="BL90" s="229">
        <v>-0.72909999999999997</v>
      </c>
      <c r="BM90" s="228">
        <v>350</v>
      </c>
      <c r="BN90" s="228">
        <v>678</v>
      </c>
      <c r="BO90" s="228">
        <v>-328</v>
      </c>
      <c r="BP90" s="229">
        <v>-0.4834</v>
      </c>
      <c r="BQ90" s="230">
        <v>1037</v>
      </c>
      <c r="BR90" s="230">
        <v>2823</v>
      </c>
      <c r="BS90" s="230">
        <v>-1786</v>
      </c>
      <c r="BT90" s="229">
        <v>-0.63270000000000004</v>
      </c>
      <c r="BU90" s="230">
        <v>2441554</v>
      </c>
      <c r="BV90" s="230">
        <v>3929006</v>
      </c>
      <c r="BW90" s="230">
        <v>-1487452</v>
      </c>
      <c r="BX90" s="229">
        <v>-0.37859999999999999</v>
      </c>
      <c r="BY90" s="228">
        <v>737</v>
      </c>
      <c r="BZ90" s="228">
        <v>721</v>
      </c>
      <c r="CA90" s="228">
        <v>16</v>
      </c>
      <c r="CB90" s="229">
        <v>2.2800000000000001E-2</v>
      </c>
      <c r="CC90" s="228">
        <v>737</v>
      </c>
      <c r="CD90" s="228">
        <v>721</v>
      </c>
      <c r="CE90" s="228">
        <v>16</v>
      </c>
      <c r="CF90" s="229">
        <v>2.2800000000000001E-2</v>
      </c>
      <c r="CG90" s="228">
        <v>0</v>
      </c>
      <c r="CH90" s="228">
        <v>0</v>
      </c>
      <c r="CI90" s="228">
        <v>0</v>
      </c>
      <c r="CJ90" s="229">
        <v>0</v>
      </c>
      <c r="CK90" s="228">
        <v>0</v>
      </c>
      <c r="CL90" s="228">
        <v>0</v>
      </c>
      <c r="CM90" s="228">
        <v>0</v>
      </c>
      <c r="CN90" s="229">
        <v>0</v>
      </c>
      <c r="CO90" s="228">
        <v>378</v>
      </c>
      <c r="CP90" s="228">
        <v>330</v>
      </c>
      <c r="CQ90" s="228">
        <v>47</v>
      </c>
      <c r="CR90" s="229">
        <v>0.14349999999999999</v>
      </c>
      <c r="CS90" s="228">
        <v>300</v>
      </c>
      <c r="CT90" s="228">
        <v>327</v>
      </c>
      <c r="CU90" s="228">
        <v>-27</v>
      </c>
      <c r="CV90" s="229">
        <v>-8.3599999999999994E-2</v>
      </c>
      <c r="CW90" s="230">
        <v>1415</v>
      </c>
      <c r="CX90" s="230">
        <v>1379</v>
      </c>
      <c r="CY90" s="228">
        <v>37</v>
      </c>
      <c r="CZ90" s="229">
        <v>2.6499999999999999E-2</v>
      </c>
      <c r="DA90" s="228">
        <v>30.96</v>
      </c>
      <c r="DB90" s="228">
        <v>31.43</v>
      </c>
      <c r="DC90" s="228">
        <v>-0.47</v>
      </c>
      <c r="DD90" s="228">
        <v>-0.47</v>
      </c>
      <c r="DE90" s="228">
        <v>48.73</v>
      </c>
      <c r="DF90" s="228">
        <v>48.83</v>
      </c>
      <c r="DG90" s="228">
        <v>-17.77</v>
      </c>
      <c r="DH90" s="228">
        <v>-0.1</v>
      </c>
      <c r="DI90" s="228">
        <v>30.7</v>
      </c>
      <c r="DJ90" s="228">
        <v>31.04</v>
      </c>
      <c r="DK90" s="228">
        <v>-0.34</v>
      </c>
      <c r="DL90" s="228">
        <v>-0.34</v>
      </c>
      <c r="DM90" s="228">
        <v>31.31</v>
      </c>
      <c r="DN90" s="228">
        <v>32.44</v>
      </c>
      <c r="DO90" s="228">
        <v>-1.1299999999999999</v>
      </c>
      <c r="DP90" s="228">
        <v>-1.1299999999999999</v>
      </c>
      <c r="DQ90" s="228">
        <v>0.79</v>
      </c>
      <c r="DR90" s="228">
        <v>0.99</v>
      </c>
      <c r="DS90" s="228">
        <v>-0.2</v>
      </c>
      <c r="DT90" s="229">
        <v>-0.20200000000000001</v>
      </c>
      <c r="DU90" s="228">
        <v>670</v>
      </c>
      <c r="DV90" s="228">
        <v>600</v>
      </c>
      <c r="DW90" s="228">
        <v>0.74</v>
      </c>
      <c r="DX90" s="228">
        <v>0.39</v>
      </c>
      <c r="DY90" s="228">
        <v>0.35</v>
      </c>
      <c r="DZ90" s="229">
        <v>0.89739999999999998</v>
      </c>
      <c r="EA90" s="229">
        <v>0</v>
      </c>
      <c r="EB90" s="228">
        <v>0</v>
      </c>
      <c r="EC90" s="229">
        <v>0</v>
      </c>
      <c r="ED90" s="229">
        <v>0</v>
      </c>
      <c r="EE90" s="228">
        <v>0</v>
      </c>
      <c r="EF90" s="229">
        <v>0</v>
      </c>
      <c r="EG90" s="230">
        <v>1327481</v>
      </c>
      <c r="EH90" s="230">
        <v>1174787</v>
      </c>
      <c r="EI90" s="229">
        <v>0.13</v>
      </c>
      <c r="EJ90" s="229">
        <v>0.54369999999999996</v>
      </c>
      <c r="EK90" s="228">
        <v>501.27</v>
      </c>
      <c r="EL90" s="228">
        <v>342.46</v>
      </c>
      <c r="EM90" s="228">
        <v>211.04</v>
      </c>
      <c r="EN90" s="228">
        <v>23.14</v>
      </c>
      <c r="EO90" s="231">
        <v>1054.76</v>
      </c>
      <c r="EP90" s="231">
        <v>2910.95</v>
      </c>
      <c r="EQ90" s="231">
        <v>-1856.19</v>
      </c>
      <c r="ER90" s="229">
        <v>-0.63770000000000004</v>
      </c>
      <c r="ES90" s="228">
        <v>380.11</v>
      </c>
      <c r="ET90" s="228">
        <v>277.24</v>
      </c>
      <c r="EU90" s="228">
        <v>737.32</v>
      </c>
      <c r="EV90" s="231">
        <v>35669230</v>
      </c>
      <c r="EW90" s="231">
        <v>1394.67</v>
      </c>
      <c r="EX90" s="231">
        <v>1363.17</v>
      </c>
      <c r="EY90" s="228">
        <v>31.5</v>
      </c>
      <c r="EZ90" s="229">
        <v>2.3099999999999999E-2</v>
      </c>
      <c r="FA90" s="229">
        <v>0.60070000000000001</v>
      </c>
      <c r="FB90" s="227" t="s">
        <v>567</v>
      </c>
      <c r="FC90">
        <f t="shared" si="1"/>
        <v>0</v>
      </c>
    </row>
    <row r="91" spans="1:159" ht="17.25" thickBot="1" x14ac:dyDescent="0.3">
      <c r="A91" s="226">
        <v>46029</v>
      </c>
      <c r="B91" s="227" t="s">
        <v>206</v>
      </c>
      <c r="C91" s="227" t="s">
        <v>501</v>
      </c>
      <c r="D91" s="228">
        <v>1000</v>
      </c>
      <c r="E91" s="228">
        <v>20</v>
      </c>
      <c r="F91" s="228">
        <v>717.15</v>
      </c>
      <c r="G91" s="228">
        <v>729.2</v>
      </c>
      <c r="H91" s="228">
        <v>-12.05</v>
      </c>
      <c r="I91" s="229">
        <v>-1.6500000000000001E-2</v>
      </c>
      <c r="J91" s="228">
        <v>715.35</v>
      </c>
      <c r="K91" s="228">
        <v>726.4</v>
      </c>
      <c r="L91" s="228">
        <v>-11.05</v>
      </c>
      <c r="M91" s="229">
        <v>-1.52E-2</v>
      </c>
      <c r="N91" s="228">
        <v>717.15</v>
      </c>
      <c r="O91" s="228">
        <v>729.2</v>
      </c>
      <c r="P91" s="228">
        <v>-12.05</v>
      </c>
      <c r="Q91" s="229">
        <v>-1.6500000000000001E-2</v>
      </c>
      <c r="R91" s="228">
        <v>721.65</v>
      </c>
      <c r="S91" s="228">
        <v>733.2</v>
      </c>
      <c r="T91" s="228">
        <v>-11.55</v>
      </c>
      <c r="U91" s="229">
        <v>-1.5800000000000002E-2</v>
      </c>
      <c r="V91" s="228">
        <v>726.4</v>
      </c>
      <c r="W91" s="228">
        <v>738.25</v>
      </c>
      <c r="X91" s="228">
        <v>-11.85</v>
      </c>
      <c r="Y91" s="229">
        <v>-1.61E-2</v>
      </c>
      <c r="Z91" s="228">
        <v>1.8</v>
      </c>
      <c r="AA91" s="228">
        <v>2.8</v>
      </c>
      <c r="AB91" s="228">
        <v>-1</v>
      </c>
      <c r="AC91" s="229">
        <v>2.5000000000000001E-3</v>
      </c>
      <c r="AD91" s="228">
        <v>1.8</v>
      </c>
      <c r="AE91" s="228">
        <v>2.8</v>
      </c>
      <c r="AF91" s="228">
        <v>-1</v>
      </c>
      <c r="AG91" s="229">
        <v>2.5000000000000001E-3</v>
      </c>
      <c r="AH91" s="228">
        <v>6.3</v>
      </c>
      <c r="AI91" s="228">
        <v>6.8</v>
      </c>
      <c r="AJ91" s="228">
        <v>-0.5</v>
      </c>
      <c r="AK91" s="229">
        <v>8.8000000000000005E-3</v>
      </c>
      <c r="AL91" s="228">
        <v>11.05</v>
      </c>
      <c r="AM91" s="228">
        <v>11.85</v>
      </c>
      <c r="AN91" s="228">
        <v>-0.8</v>
      </c>
      <c r="AO91" s="229">
        <v>1.54E-2</v>
      </c>
      <c r="AP91" s="228">
        <v>712.49</v>
      </c>
      <c r="AQ91" s="228">
        <v>716.95</v>
      </c>
      <c r="AR91" s="228">
        <v>0</v>
      </c>
      <c r="AS91" s="228">
        <v>714</v>
      </c>
      <c r="AT91" s="228">
        <v>443</v>
      </c>
      <c r="AU91" s="228">
        <v>271</v>
      </c>
      <c r="AV91" s="229">
        <v>0.61050000000000004</v>
      </c>
      <c r="AW91" s="228">
        <v>645</v>
      </c>
      <c r="AX91" s="228">
        <v>416</v>
      </c>
      <c r="AY91" s="228">
        <v>230</v>
      </c>
      <c r="AZ91" s="229">
        <v>0.55230000000000001</v>
      </c>
      <c r="BA91" s="228">
        <v>61</v>
      </c>
      <c r="BB91" s="228">
        <v>24</v>
      </c>
      <c r="BC91" s="228">
        <v>37</v>
      </c>
      <c r="BD91" s="229">
        <v>1.5762</v>
      </c>
      <c r="BE91" s="228">
        <v>8</v>
      </c>
      <c r="BF91" s="228">
        <v>4</v>
      </c>
      <c r="BG91" s="228">
        <v>4</v>
      </c>
      <c r="BH91" s="229">
        <v>1</v>
      </c>
      <c r="BI91" s="230">
        <v>1394</v>
      </c>
      <c r="BJ91" s="228">
        <v>763</v>
      </c>
      <c r="BK91" s="228">
        <v>632</v>
      </c>
      <c r="BL91" s="229">
        <v>0.8286</v>
      </c>
      <c r="BM91" s="228">
        <v>937</v>
      </c>
      <c r="BN91" s="228">
        <v>381</v>
      </c>
      <c r="BO91" s="228">
        <v>556</v>
      </c>
      <c r="BP91" s="229">
        <v>1.4588000000000001</v>
      </c>
      <c r="BQ91" s="230">
        <v>3045</v>
      </c>
      <c r="BR91" s="230">
        <v>1587</v>
      </c>
      <c r="BS91" s="230">
        <v>1458</v>
      </c>
      <c r="BT91" s="229">
        <v>0.91900000000000004</v>
      </c>
      <c r="BU91" s="230">
        <v>4125080</v>
      </c>
      <c r="BV91" s="230">
        <v>3403069</v>
      </c>
      <c r="BW91" s="230">
        <v>722011</v>
      </c>
      <c r="BX91" s="229">
        <v>0.2122</v>
      </c>
      <c r="BY91" s="230">
        <v>2092</v>
      </c>
      <c r="BZ91" s="230">
        <v>1947</v>
      </c>
      <c r="CA91" s="228">
        <v>145</v>
      </c>
      <c r="CB91" s="229">
        <v>7.4499999999999997E-2</v>
      </c>
      <c r="CC91" s="230">
        <v>2008</v>
      </c>
      <c r="CD91" s="230">
        <v>1887</v>
      </c>
      <c r="CE91" s="228">
        <v>121</v>
      </c>
      <c r="CF91" s="229">
        <v>6.4299999999999996E-2</v>
      </c>
      <c r="CG91" s="228">
        <v>75</v>
      </c>
      <c r="CH91" s="228">
        <v>55</v>
      </c>
      <c r="CI91" s="228">
        <v>20</v>
      </c>
      <c r="CJ91" s="229">
        <v>0.35539999999999999</v>
      </c>
      <c r="CK91" s="228">
        <v>8</v>
      </c>
      <c r="CL91" s="228">
        <v>4</v>
      </c>
      <c r="CM91" s="228">
        <v>4</v>
      </c>
      <c r="CN91" s="229">
        <v>0.93330000000000002</v>
      </c>
      <c r="CO91" s="228">
        <v>718</v>
      </c>
      <c r="CP91" s="228">
        <v>599</v>
      </c>
      <c r="CQ91" s="228">
        <v>119</v>
      </c>
      <c r="CR91" s="229">
        <v>0.19869999999999999</v>
      </c>
      <c r="CS91" s="228">
        <v>444</v>
      </c>
      <c r="CT91" s="228">
        <v>364</v>
      </c>
      <c r="CU91" s="228">
        <v>80</v>
      </c>
      <c r="CV91" s="229">
        <v>0.2185</v>
      </c>
      <c r="CW91" s="230">
        <v>3253</v>
      </c>
      <c r="CX91" s="230">
        <v>2910</v>
      </c>
      <c r="CY91" s="228">
        <v>344</v>
      </c>
      <c r="CZ91" s="229">
        <v>0.1181</v>
      </c>
      <c r="DA91" s="228">
        <v>24.78</v>
      </c>
      <c r="DB91" s="228">
        <v>23.18</v>
      </c>
      <c r="DC91" s="228">
        <v>1.6</v>
      </c>
      <c r="DD91" s="228">
        <v>1.6</v>
      </c>
      <c r="DE91" s="228">
        <v>33.43</v>
      </c>
      <c r="DF91" s="228">
        <v>33.450000000000003</v>
      </c>
      <c r="DG91" s="228">
        <v>-8.65</v>
      </c>
      <c r="DH91" s="228">
        <v>-0.02</v>
      </c>
      <c r="DI91" s="228">
        <v>24.79</v>
      </c>
      <c r="DJ91" s="228">
        <v>23.22</v>
      </c>
      <c r="DK91" s="228">
        <v>1.57</v>
      </c>
      <c r="DL91" s="228">
        <v>1.57</v>
      </c>
      <c r="DM91" s="228">
        <v>24.76</v>
      </c>
      <c r="DN91" s="228">
        <v>23.1</v>
      </c>
      <c r="DO91" s="228">
        <v>1.66</v>
      </c>
      <c r="DP91" s="228">
        <v>1.66</v>
      </c>
      <c r="DQ91" s="228">
        <v>0.62</v>
      </c>
      <c r="DR91" s="228">
        <v>0.61</v>
      </c>
      <c r="DS91" s="228">
        <v>0.01</v>
      </c>
      <c r="DT91" s="229">
        <v>1.6400000000000001E-2</v>
      </c>
      <c r="DU91" s="228">
        <v>750</v>
      </c>
      <c r="DV91" s="228">
        <v>700</v>
      </c>
      <c r="DW91" s="228">
        <v>0.67</v>
      </c>
      <c r="DX91" s="228">
        <v>0.5</v>
      </c>
      <c r="DY91" s="228">
        <v>0.17</v>
      </c>
      <c r="DZ91" s="229">
        <v>0.34</v>
      </c>
      <c r="EA91" s="229">
        <v>3.9800000000000002E-2</v>
      </c>
      <c r="EB91" s="230">
        <v>831000</v>
      </c>
      <c r="EC91" s="229">
        <v>6.3E-3</v>
      </c>
      <c r="ED91" s="229">
        <v>3.9800000000000002E-2</v>
      </c>
      <c r="EE91" s="228">
        <v>4.46</v>
      </c>
      <c r="EF91" s="229">
        <v>6.3E-3</v>
      </c>
      <c r="EG91" s="230">
        <v>1728083</v>
      </c>
      <c r="EH91" s="230">
        <v>2352172</v>
      </c>
      <c r="EI91" s="229">
        <v>-0.26529999999999998</v>
      </c>
      <c r="EJ91" s="229">
        <v>0.41889999999999999</v>
      </c>
      <c r="EK91" s="231">
        <v>1453.19</v>
      </c>
      <c r="EL91" s="228">
        <v>930.69</v>
      </c>
      <c r="EM91" s="228">
        <v>709.48</v>
      </c>
      <c r="EN91" s="228">
        <v>41.8</v>
      </c>
      <c r="EO91" s="231">
        <v>3093.36</v>
      </c>
      <c r="EP91" s="231">
        <v>1653.92</v>
      </c>
      <c r="EQ91" s="231">
        <v>1439.43</v>
      </c>
      <c r="ER91" s="229">
        <v>0.87029999999999996</v>
      </c>
      <c r="ES91" s="228">
        <v>756.59</v>
      </c>
      <c r="ET91" s="228">
        <v>444.54</v>
      </c>
      <c r="EU91" s="231">
        <v>2092.2199999999998</v>
      </c>
      <c r="EV91" s="231">
        <v>132129624</v>
      </c>
      <c r="EW91" s="231">
        <v>3293.35</v>
      </c>
      <c r="EX91" s="231">
        <v>2985.86</v>
      </c>
      <c r="EY91" s="228">
        <v>307.49</v>
      </c>
      <c r="EZ91" s="229">
        <v>0.10299999999999999</v>
      </c>
      <c r="FA91" s="229">
        <v>0.34329999999999999</v>
      </c>
      <c r="FB91" s="227" t="s">
        <v>567</v>
      </c>
      <c r="FC91">
        <f t="shared" si="1"/>
        <v>84</v>
      </c>
    </row>
    <row r="92" spans="1:159" ht="17.25" thickBot="1" x14ac:dyDescent="0.3">
      <c r="A92" s="226">
        <v>46029</v>
      </c>
      <c r="B92" s="227" t="s">
        <v>172</v>
      </c>
      <c r="C92" s="227" t="s">
        <v>578</v>
      </c>
      <c r="D92" s="228">
        <v>1000</v>
      </c>
      <c r="E92" s="228">
        <v>20</v>
      </c>
      <c r="F92" s="228">
        <v>865.9</v>
      </c>
      <c r="G92" s="228">
        <v>865.65</v>
      </c>
      <c r="H92" s="228">
        <v>0.25</v>
      </c>
      <c r="I92" s="229">
        <v>2.9999999999999997E-4</v>
      </c>
      <c r="J92" s="228">
        <v>864.6</v>
      </c>
      <c r="K92" s="228">
        <v>861.5</v>
      </c>
      <c r="L92" s="228">
        <v>3.1</v>
      </c>
      <c r="M92" s="229">
        <v>3.5999999999999999E-3</v>
      </c>
      <c r="N92" s="228">
        <v>865.9</v>
      </c>
      <c r="O92" s="228">
        <v>865.65</v>
      </c>
      <c r="P92" s="228">
        <v>0.25</v>
      </c>
      <c r="Q92" s="229">
        <v>2.9999999999999997E-4</v>
      </c>
      <c r="R92" s="228">
        <v>869</v>
      </c>
      <c r="S92" s="228">
        <v>868.95</v>
      </c>
      <c r="T92" s="228">
        <v>0.05</v>
      </c>
      <c r="U92" s="229">
        <v>1E-4</v>
      </c>
      <c r="V92" s="228">
        <v>868.15</v>
      </c>
      <c r="W92" s="228">
        <v>872.25</v>
      </c>
      <c r="X92" s="228">
        <v>-4.0999999999999996</v>
      </c>
      <c r="Y92" s="229">
        <v>-4.7000000000000002E-3</v>
      </c>
      <c r="Z92" s="228">
        <v>1.3</v>
      </c>
      <c r="AA92" s="228">
        <v>4.1500000000000004</v>
      </c>
      <c r="AB92" s="228">
        <v>-2.85</v>
      </c>
      <c r="AC92" s="229">
        <v>1.5E-3</v>
      </c>
      <c r="AD92" s="228">
        <v>1.3</v>
      </c>
      <c r="AE92" s="228">
        <v>4.1500000000000004</v>
      </c>
      <c r="AF92" s="228">
        <v>-2.85</v>
      </c>
      <c r="AG92" s="229">
        <v>1.5E-3</v>
      </c>
      <c r="AH92" s="228">
        <v>4.4000000000000004</v>
      </c>
      <c r="AI92" s="228">
        <v>7.45</v>
      </c>
      <c r="AJ92" s="228">
        <v>-3.05</v>
      </c>
      <c r="AK92" s="229">
        <v>5.1000000000000004E-3</v>
      </c>
      <c r="AL92" s="228">
        <v>3.55</v>
      </c>
      <c r="AM92" s="228">
        <v>10.75</v>
      </c>
      <c r="AN92" s="228">
        <v>-7.2</v>
      </c>
      <c r="AO92" s="229">
        <v>4.1000000000000003E-3</v>
      </c>
      <c r="AP92" s="228">
        <v>861.76</v>
      </c>
      <c r="AQ92" s="228">
        <v>864.73</v>
      </c>
      <c r="AR92" s="228">
        <v>0</v>
      </c>
      <c r="AS92" s="228">
        <v>184</v>
      </c>
      <c r="AT92" s="228">
        <v>197</v>
      </c>
      <c r="AU92" s="228">
        <v>-13</v>
      </c>
      <c r="AV92" s="229">
        <v>-6.7199999999999996E-2</v>
      </c>
      <c r="AW92" s="228">
        <v>178</v>
      </c>
      <c r="AX92" s="228">
        <v>182</v>
      </c>
      <c r="AY92" s="228">
        <v>-4</v>
      </c>
      <c r="AZ92" s="229">
        <v>-2.1899999999999999E-2</v>
      </c>
      <c r="BA92" s="228">
        <v>5</v>
      </c>
      <c r="BB92" s="228">
        <v>13</v>
      </c>
      <c r="BC92" s="228">
        <v>-8</v>
      </c>
      <c r="BD92" s="229">
        <v>-0.60260000000000002</v>
      </c>
      <c r="BE92" s="228">
        <v>1</v>
      </c>
      <c r="BF92" s="228">
        <v>2</v>
      </c>
      <c r="BG92" s="228">
        <v>-1</v>
      </c>
      <c r="BH92" s="229">
        <v>-0.69569999999999999</v>
      </c>
      <c r="BI92" s="228">
        <v>266</v>
      </c>
      <c r="BJ92" s="228">
        <v>499</v>
      </c>
      <c r="BK92" s="228">
        <v>-234</v>
      </c>
      <c r="BL92" s="229">
        <v>-0.4677</v>
      </c>
      <c r="BM92" s="228">
        <v>105</v>
      </c>
      <c r="BN92" s="228">
        <v>180</v>
      </c>
      <c r="BO92" s="228">
        <v>-75</v>
      </c>
      <c r="BP92" s="229">
        <v>-0.41720000000000002</v>
      </c>
      <c r="BQ92" s="228">
        <v>555</v>
      </c>
      <c r="BR92" s="228">
        <v>877</v>
      </c>
      <c r="BS92" s="228">
        <v>-322</v>
      </c>
      <c r="BT92" s="229">
        <v>-0.36730000000000002</v>
      </c>
      <c r="BU92" s="230">
        <v>2176026</v>
      </c>
      <c r="BV92" s="230">
        <v>1171713</v>
      </c>
      <c r="BW92" s="230">
        <v>1004313</v>
      </c>
      <c r="BX92" s="229">
        <v>0.85709999999999997</v>
      </c>
      <c r="BY92" s="228">
        <v>822</v>
      </c>
      <c r="BZ92" s="228">
        <v>834</v>
      </c>
      <c r="CA92" s="228">
        <v>-12</v>
      </c>
      <c r="CB92" s="229">
        <v>-1.49E-2</v>
      </c>
      <c r="CC92" s="228">
        <v>804</v>
      </c>
      <c r="CD92" s="228">
        <v>816</v>
      </c>
      <c r="CE92" s="228">
        <v>-12</v>
      </c>
      <c r="CF92" s="229">
        <v>-1.46E-2</v>
      </c>
      <c r="CG92" s="228">
        <v>14</v>
      </c>
      <c r="CH92" s="228">
        <v>15</v>
      </c>
      <c r="CI92" s="228">
        <v>-1</v>
      </c>
      <c r="CJ92" s="229">
        <v>-4.7600000000000003E-2</v>
      </c>
      <c r="CK92" s="228">
        <v>4</v>
      </c>
      <c r="CL92" s="228">
        <v>4</v>
      </c>
      <c r="CM92" s="228">
        <v>0</v>
      </c>
      <c r="CN92" s="229">
        <v>4.8800000000000003E-2</v>
      </c>
      <c r="CO92" s="228">
        <v>400</v>
      </c>
      <c r="CP92" s="228">
        <v>395</v>
      </c>
      <c r="CQ92" s="228">
        <v>5</v>
      </c>
      <c r="CR92" s="229">
        <v>1.18E-2</v>
      </c>
      <c r="CS92" s="228">
        <v>283</v>
      </c>
      <c r="CT92" s="228">
        <v>277</v>
      </c>
      <c r="CU92" s="228">
        <v>5</v>
      </c>
      <c r="CV92" s="229">
        <v>1.9699999999999999E-2</v>
      </c>
      <c r="CW92" s="230">
        <v>1504</v>
      </c>
      <c r="CX92" s="230">
        <v>1506</v>
      </c>
      <c r="CY92" s="228">
        <v>-2</v>
      </c>
      <c r="CZ92" s="229">
        <v>-1.6000000000000001E-3</v>
      </c>
      <c r="DA92" s="228">
        <v>27.97</v>
      </c>
      <c r="DB92" s="228">
        <v>28.24</v>
      </c>
      <c r="DC92" s="228">
        <v>-0.27</v>
      </c>
      <c r="DD92" s="228">
        <v>-0.27</v>
      </c>
      <c r="DE92" s="228">
        <v>37.29</v>
      </c>
      <c r="DF92" s="228">
        <v>37.380000000000003</v>
      </c>
      <c r="DG92" s="228">
        <v>-9.32</v>
      </c>
      <c r="DH92" s="228">
        <v>-0.09</v>
      </c>
      <c r="DI92" s="228">
        <v>27.74</v>
      </c>
      <c r="DJ92" s="228">
        <v>27.95</v>
      </c>
      <c r="DK92" s="228">
        <v>-0.21</v>
      </c>
      <c r="DL92" s="228">
        <v>-0.21</v>
      </c>
      <c r="DM92" s="228">
        <v>28.57</v>
      </c>
      <c r="DN92" s="228">
        <v>29.05</v>
      </c>
      <c r="DO92" s="228">
        <v>-0.48</v>
      </c>
      <c r="DP92" s="228">
        <v>-0.48</v>
      </c>
      <c r="DQ92" s="228">
        <v>0.71</v>
      </c>
      <c r="DR92" s="228">
        <v>0.7</v>
      </c>
      <c r="DS92" s="228">
        <v>0.01</v>
      </c>
      <c r="DT92" s="229">
        <v>1.43E-2</v>
      </c>
      <c r="DU92" s="228">
        <v>900</v>
      </c>
      <c r="DV92" s="228">
        <v>800</v>
      </c>
      <c r="DW92" s="228">
        <v>0.4</v>
      </c>
      <c r="DX92" s="228">
        <v>0.36</v>
      </c>
      <c r="DY92" s="228">
        <v>0.04</v>
      </c>
      <c r="DZ92" s="229">
        <v>0.1111</v>
      </c>
      <c r="EA92" s="229">
        <v>2.1399999999999999E-2</v>
      </c>
      <c r="EB92" s="230">
        <v>209000</v>
      </c>
      <c r="EC92" s="229">
        <v>3.5999999999999999E-3</v>
      </c>
      <c r="ED92" s="229">
        <v>2.1399999999999999E-2</v>
      </c>
      <c r="EE92" s="228">
        <v>2.97</v>
      </c>
      <c r="EF92" s="229">
        <v>3.3999999999999998E-3</v>
      </c>
      <c r="EG92" s="230">
        <v>1293077</v>
      </c>
      <c r="EH92" s="230">
        <v>556205</v>
      </c>
      <c r="EI92" s="229">
        <v>1.3248</v>
      </c>
      <c r="EJ92" s="229">
        <v>0.59419999999999995</v>
      </c>
      <c r="EK92" s="228">
        <v>277.76</v>
      </c>
      <c r="EL92" s="228">
        <v>102.52</v>
      </c>
      <c r="EM92" s="228">
        <v>182.97</v>
      </c>
      <c r="EN92" s="228">
        <v>30.98</v>
      </c>
      <c r="EO92" s="228">
        <v>563.25</v>
      </c>
      <c r="EP92" s="228">
        <v>894.35</v>
      </c>
      <c r="EQ92" s="228">
        <v>-331.1</v>
      </c>
      <c r="ER92" s="229">
        <v>-0.37019999999999997</v>
      </c>
      <c r="ES92" s="228">
        <v>406.59</v>
      </c>
      <c r="ET92" s="228">
        <v>263.57</v>
      </c>
      <c r="EU92" s="228">
        <v>821.71</v>
      </c>
      <c r="EV92" s="231">
        <v>52862157</v>
      </c>
      <c r="EW92" s="231">
        <v>1491.87</v>
      </c>
      <c r="EX92" s="231">
        <v>1493.45</v>
      </c>
      <c r="EY92" s="228">
        <v>-1.58</v>
      </c>
      <c r="EZ92" s="229">
        <v>-1.1000000000000001E-3</v>
      </c>
      <c r="FA92" s="229">
        <v>0.3286</v>
      </c>
      <c r="FB92" s="227" t="s">
        <v>556</v>
      </c>
      <c r="FC92">
        <f t="shared" si="1"/>
        <v>18</v>
      </c>
    </row>
    <row r="93" spans="1:159" ht="17.25" thickBot="1" x14ac:dyDescent="0.3">
      <c r="A93" s="226">
        <v>46029</v>
      </c>
      <c r="B93" s="227" t="s">
        <v>181</v>
      </c>
      <c r="C93" s="227" t="s">
        <v>688</v>
      </c>
      <c r="D93" s="228">
        <v>1</v>
      </c>
      <c r="E93" s="228">
        <v>20</v>
      </c>
      <c r="F93" s="228">
        <v>9.9499999999999993</v>
      </c>
      <c r="G93" s="228">
        <v>10.02</v>
      </c>
      <c r="H93" s="228">
        <v>-7.0000000000000007E-2</v>
      </c>
      <c r="I93" s="229">
        <v>-7.0000000000000001E-3</v>
      </c>
      <c r="J93" s="228">
        <v>9.9499999999999993</v>
      </c>
      <c r="K93" s="228">
        <v>10.02</v>
      </c>
      <c r="L93" s="228">
        <v>-7.0000000000000007E-2</v>
      </c>
      <c r="M93" s="229">
        <v>-7.0000000000000001E-3</v>
      </c>
      <c r="N93" s="228">
        <v>0</v>
      </c>
      <c r="O93" s="228">
        <v>0</v>
      </c>
      <c r="P93" s="228">
        <v>0</v>
      </c>
      <c r="Q93" s="229">
        <v>0</v>
      </c>
      <c r="R93" s="228">
        <v>0</v>
      </c>
      <c r="S93" s="228">
        <v>0</v>
      </c>
      <c r="T93" s="228">
        <v>0</v>
      </c>
      <c r="U93" s="229">
        <v>0</v>
      </c>
      <c r="V93" s="228">
        <v>0</v>
      </c>
      <c r="W93" s="228">
        <v>0</v>
      </c>
      <c r="X93" s="228">
        <v>0</v>
      </c>
      <c r="Y93" s="229">
        <v>0</v>
      </c>
      <c r="Z93" s="228">
        <v>0</v>
      </c>
      <c r="AA93" s="228">
        <v>0</v>
      </c>
      <c r="AB93" s="228">
        <v>0</v>
      </c>
      <c r="AC93" s="229">
        <v>0</v>
      </c>
      <c r="AD93" s="228">
        <v>0</v>
      </c>
      <c r="AE93" s="228">
        <v>0</v>
      </c>
      <c r="AF93" s="228">
        <v>0</v>
      </c>
      <c r="AG93" s="229">
        <v>0</v>
      </c>
      <c r="AH93" s="228">
        <v>0</v>
      </c>
      <c r="AI93" s="228">
        <v>0</v>
      </c>
      <c r="AJ93" s="228">
        <v>0</v>
      </c>
      <c r="AK93" s="229">
        <v>0</v>
      </c>
      <c r="AL93" s="228">
        <v>0</v>
      </c>
      <c r="AM93" s="228">
        <v>0</v>
      </c>
      <c r="AN93" s="228">
        <v>0</v>
      </c>
      <c r="AO93" s="229">
        <v>0</v>
      </c>
      <c r="AP93" s="228">
        <v>0</v>
      </c>
      <c r="AQ93" s="228">
        <v>0</v>
      </c>
      <c r="AR93" s="228">
        <v>0</v>
      </c>
      <c r="AS93" s="228">
        <v>0</v>
      </c>
      <c r="AT93" s="228">
        <v>0</v>
      </c>
      <c r="AU93" s="228">
        <v>0</v>
      </c>
      <c r="AV93" s="229">
        <v>0</v>
      </c>
      <c r="AW93" s="228">
        <v>0</v>
      </c>
      <c r="AX93" s="228">
        <v>0</v>
      </c>
      <c r="AY93" s="228">
        <v>0</v>
      </c>
      <c r="AZ93" s="229">
        <v>0</v>
      </c>
      <c r="BA93" s="228">
        <v>0</v>
      </c>
      <c r="BB93" s="228">
        <v>0</v>
      </c>
      <c r="BC93" s="228">
        <v>0</v>
      </c>
      <c r="BD93" s="229">
        <v>0</v>
      </c>
      <c r="BE93" s="228">
        <v>0</v>
      </c>
      <c r="BF93" s="228">
        <v>0</v>
      </c>
      <c r="BG93" s="228">
        <v>0</v>
      </c>
      <c r="BH93" s="229">
        <v>0</v>
      </c>
      <c r="BI93" s="228">
        <v>0</v>
      </c>
      <c r="BJ93" s="228">
        <v>0</v>
      </c>
      <c r="BK93" s="228">
        <v>0</v>
      </c>
      <c r="BL93" s="229">
        <v>0</v>
      </c>
      <c r="BM93" s="228">
        <v>0</v>
      </c>
      <c r="BN93" s="228">
        <v>0</v>
      </c>
      <c r="BO93" s="228">
        <v>0</v>
      </c>
      <c r="BP93" s="229">
        <v>0</v>
      </c>
      <c r="BQ93" s="228">
        <v>0</v>
      </c>
      <c r="BR93" s="228">
        <v>0</v>
      </c>
      <c r="BS93" s="228">
        <v>0</v>
      </c>
      <c r="BT93" s="229">
        <v>0</v>
      </c>
      <c r="BU93" s="228">
        <v>0</v>
      </c>
      <c r="BV93" s="228">
        <v>0</v>
      </c>
      <c r="BW93" s="228">
        <v>0</v>
      </c>
      <c r="BX93" s="229">
        <v>0</v>
      </c>
      <c r="BY93" s="228">
        <v>0</v>
      </c>
      <c r="BZ93" s="228">
        <v>0</v>
      </c>
      <c r="CA93" s="228">
        <v>0</v>
      </c>
      <c r="CB93" s="229">
        <v>0</v>
      </c>
      <c r="CC93" s="228">
        <v>0</v>
      </c>
      <c r="CD93" s="228">
        <v>0</v>
      </c>
      <c r="CE93" s="228">
        <v>0</v>
      </c>
      <c r="CF93" s="229">
        <v>0</v>
      </c>
      <c r="CG93" s="228">
        <v>0</v>
      </c>
      <c r="CH93" s="228">
        <v>0</v>
      </c>
      <c r="CI93" s="228">
        <v>0</v>
      </c>
      <c r="CJ93" s="229">
        <v>0</v>
      </c>
      <c r="CK93" s="228">
        <v>0</v>
      </c>
      <c r="CL93" s="228">
        <v>0</v>
      </c>
      <c r="CM93" s="228">
        <v>0</v>
      </c>
      <c r="CN93" s="229">
        <v>0</v>
      </c>
      <c r="CO93" s="228">
        <v>0</v>
      </c>
      <c r="CP93" s="228">
        <v>0</v>
      </c>
      <c r="CQ93" s="228">
        <v>0</v>
      </c>
      <c r="CR93" s="229">
        <v>0</v>
      </c>
      <c r="CS93" s="228">
        <v>0</v>
      </c>
      <c r="CT93" s="228">
        <v>0</v>
      </c>
      <c r="CU93" s="228">
        <v>0</v>
      </c>
      <c r="CV93" s="229">
        <v>0</v>
      </c>
      <c r="CW93" s="228">
        <v>0</v>
      </c>
      <c r="CX93" s="228">
        <v>0</v>
      </c>
      <c r="CY93" s="228">
        <v>0</v>
      </c>
      <c r="CZ93" s="229">
        <v>0</v>
      </c>
      <c r="DA93" s="228">
        <v>0</v>
      </c>
      <c r="DB93" s="228">
        <v>0</v>
      </c>
      <c r="DC93" s="228">
        <v>0</v>
      </c>
      <c r="DD93" s="228">
        <v>0</v>
      </c>
      <c r="DE93" s="228">
        <v>0</v>
      </c>
      <c r="DF93" s="228">
        <v>0</v>
      </c>
      <c r="DG93" s="228">
        <v>0</v>
      </c>
      <c r="DH93" s="228">
        <v>0</v>
      </c>
      <c r="DI93" s="228">
        <v>0</v>
      </c>
      <c r="DJ93" s="228">
        <v>0</v>
      </c>
      <c r="DK93" s="228">
        <v>0</v>
      </c>
      <c r="DL93" s="228">
        <v>0</v>
      </c>
      <c r="DM93" s="228">
        <v>0</v>
      </c>
      <c r="DN93" s="228">
        <v>0</v>
      </c>
      <c r="DO93" s="228">
        <v>0</v>
      </c>
      <c r="DP93" s="228">
        <v>0</v>
      </c>
      <c r="DQ93" s="228">
        <v>0</v>
      </c>
      <c r="DR93" s="228">
        <v>0</v>
      </c>
      <c r="DS93" s="228">
        <v>0</v>
      </c>
      <c r="DT93" s="229">
        <v>0</v>
      </c>
      <c r="DU93" s="228">
        <v>0</v>
      </c>
      <c r="DV93" s="228">
        <v>0</v>
      </c>
      <c r="DW93" s="228">
        <v>0</v>
      </c>
      <c r="DX93" s="228">
        <v>0</v>
      </c>
      <c r="DY93" s="228">
        <v>0</v>
      </c>
      <c r="DZ93" s="229">
        <v>0</v>
      </c>
      <c r="EA93" s="229">
        <v>0</v>
      </c>
      <c r="EB93" s="228">
        <v>0</v>
      </c>
      <c r="EC93" s="229">
        <v>0</v>
      </c>
      <c r="ED93" s="229">
        <v>0</v>
      </c>
      <c r="EE93" s="228">
        <v>0</v>
      </c>
      <c r="EF93" s="229">
        <v>0</v>
      </c>
      <c r="EG93" s="228">
        <v>0</v>
      </c>
      <c r="EH93" s="228">
        <v>0</v>
      </c>
      <c r="EI93" s="229">
        <v>0</v>
      </c>
      <c r="EJ93" s="229">
        <v>0</v>
      </c>
      <c r="EK93" s="228">
        <v>0</v>
      </c>
      <c r="EL93" s="228">
        <v>0</v>
      </c>
      <c r="EM93" s="228">
        <v>0</v>
      </c>
      <c r="EN93" s="228">
        <v>0</v>
      </c>
      <c r="EO93" s="228">
        <v>0</v>
      </c>
      <c r="EP93" s="228">
        <v>0</v>
      </c>
      <c r="EQ93" s="228">
        <v>0</v>
      </c>
      <c r="ER93" s="229">
        <v>0</v>
      </c>
      <c r="ES93" s="228">
        <v>0</v>
      </c>
      <c r="ET93" s="228">
        <v>0</v>
      </c>
      <c r="EU93" s="228">
        <v>0</v>
      </c>
      <c r="EV93" s="228">
        <v>0</v>
      </c>
      <c r="EW93" s="228">
        <v>0</v>
      </c>
      <c r="EX93" s="228">
        <v>0</v>
      </c>
      <c r="EY93" s="228">
        <v>0</v>
      </c>
      <c r="EZ93" s="229">
        <v>0</v>
      </c>
      <c r="FA93" s="229">
        <v>0</v>
      </c>
      <c r="FB93" s="227" t="s">
        <v>237</v>
      </c>
      <c r="FC93">
        <f t="shared" si="1"/>
        <v>0</v>
      </c>
    </row>
    <row r="94" spans="1:159" ht="17.25" thickBot="1" x14ac:dyDescent="0.3">
      <c r="A94" s="226">
        <v>46029</v>
      </c>
      <c r="B94" s="227" t="s">
        <v>215</v>
      </c>
      <c r="C94" s="227" t="s">
        <v>238</v>
      </c>
      <c r="D94" s="228">
        <v>150</v>
      </c>
      <c r="E94" s="228">
        <v>20</v>
      </c>
      <c r="F94" s="231">
        <v>4975.5</v>
      </c>
      <c r="G94" s="231">
        <v>5029.5</v>
      </c>
      <c r="H94" s="228">
        <v>-54</v>
      </c>
      <c r="I94" s="229">
        <v>-1.0699999999999999E-2</v>
      </c>
      <c r="J94" s="231">
        <v>4951</v>
      </c>
      <c r="K94" s="231">
        <v>5002.5</v>
      </c>
      <c r="L94" s="228">
        <v>-51.5</v>
      </c>
      <c r="M94" s="229">
        <v>-1.03E-2</v>
      </c>
      <c r="N94" s="231">
        <v>4975.5</v>
      </c>
      <c r="O94" s="231">
        <v>5029.5</v>
      </c>
      <c r="P94" s="228">
        <v>-54</v>
      </c>
      <c r="Q94" s="229">
        <v>-1.0699999999999999E-2</v>
      </c>
      <c r="R94" s="231">
        <v>5001.5</v>
      </c>
      <c r="S94" s="231">
        <v>5057</v>
      </c>
      <c r="T94" s="228">
        <v>-55.5</v>
      </c>
      <c r="U94" s="229">
        <v>-1.0999999999999999E-2</v>
      </c>
      <c r="V94" s="231">
        <v>5030</v>
      </c>
      <c r="W94" s="231">
        <v>5091</v>
      </c>
      <c r="X94" s="228">
        <v>-61</v>
      </c>
      <c r="Y94" s="229">
        <v>-1.2E-2</v>
      </c>
      <c r="Z94" s="228">
        <v>24.5</v>
      </c>
      <c r="AA94" s="228">
        <v>27</v>
      </c>
      <c r="AB94" s="228">
        <v>-2.5</v>
      </c>
      <c r="AC94" s="229">
        <v>4.8999999999999998E-3</v>
      </c>
      <c r="AD94" s="228">
        <v>24.5</v>
      </c>
      <c r="AE94" s="228">
        <v>27</v>
      </c>
      <c r="AF94" s="228">
        <v>-2.5</v>
      </c>
      <c r="AG94" s="229">
        <v>4.8999999999999998E-3</v>
      </c>
      <c r="AH94" s="228">
        <v>50.5</v>
      </c>
      <c r="AI94" s="228">
        <v>54.5</v>
      </c>
      <c r="AJ94" s="228">
        <v>-4</v>
      </c>
      <c r="AK94" s="229">
        <v>1.0200000000000001E-2</v>
      </c>
      <c r="AL94" s="228">
        <v>79</v>
      </c>
      <c r="AM94" s="228">
        <v>88.5</v>
      </c>
      <c r="AN94" s="228">
        <v>-9.5</v>
      </c>
      <c r="AO94" s="229">
        <v>1.6E-2</v>
      </c>
      <c r="AP94" s="231">
        <v>4984.43</v>
      </c>
      <c r="AQ94" s="231">
        <v>5011.08</v>
      </c>
      <c r="AR94" s="228">
        <v>0</v>
      </c>
      <c r="AS94" s="228">
        <v>653</v>
      </c>
      <c r="AT94" s="228">
        <v>538</v>
      </c>
      <c r="AU94" s="228">
        <v>115</v>
      </c>
      <c r="AV94" s="229">
        <v>0.21440000000000001</v>
      </c>
      <c r="AW94" s="228">
        <v>584</v>
      </c>
      <c r="AX94" s="228">
        <v>496</v>
      </c>
      <c r="AY94" s="228">
        <v>88</v>
      </c>
      <c r="AZ94" s="229">
        <v>0.17749999999999999</v>
      </c>
      <c r="BA94" s="228">
        <v>60</v>
      </c>
      <c r="BB94" s="228">
        <v>36</v>
      </c>
      <c r="BC94" s="228">
        <v>24</v>
      </c>
      <c r="BD94" s="229">
        <v>0.65359999999999996</v>
      </c>
      <c r="BE94" s="228">
        <v>9</v>
      </c>
      <c r="BF94" s="228">
        <v>5</v>
      </c>
      <c r="BG94" s="228">
        <v>4</v>
      </c>
      <c r="BH94" s="229">
        <v>0.65749999999999997</v>
      </c>
      <c r="BI94" s="230">
        <v>3040</v>
      </c>
      <c r="BJ94" s="230">
        <v>2470</v>
      </c>
      <c r="BK94" s="228">
        <v>570</v>
      </c>
      <c r="BL94" s="229">
        <v>0.23080000000000001</v>
      </c>
      <c r="BM94" s="230">
        <v>2585</v>
      </c>
      <c r="BN94" s="230">
        <v>1649</v>
      </c>
      <c r="BO94" s="228">
        <v>936</v>
      </c>
      <c r="BP94" s="229">
        <v>0.56779999999999997</v>
      </c>
      <c r="BQ94" s="230">
        <v>6278</v>
      </c>
      <c r="BR94" s="230">
        <v>4656</v>
      </c>
      <c r="BS94" s="230">
        <v>1622</v>
      </c>
      <c r="BT94" s="229">
        <v>0.3483</v>
      </c>
      <c r="BU94" s="230">
        <v>1179149</v>
      </c>
      <c r="BV94" s="230">
        <v>874683</v>
      </c>
      <c r="BW94" s="230">
        <v>304466</v>
      </c>
      <c r="BX94" s="229">
        <v>0.34810000000000002</v>
      </c>
      <c r="BY94" s="230">
        <v>4202</v>
      </c>
      <c r="BZ94" s="230">
        <v>4175</v>
      </c>
      <c r="CA94" s="228">
        <v>28</v>
      </c>
      <c r="CB94" s="229">
        <v>6.6E-3</v>
      </c>
      <c r="CC94" s="230">
        <v>4051</v>
      </c>
      <c r="CD94" s="230">
        <v>4047</v>
      </c>
      <c r="CE94" s="228">
        <v>4</v>
      </c>
      <c r="CF94" s="229">
        <v>1.1000000000000001E-3</v>
      </c>
      <c r="CG94" s="228">
        <v>141</v>
      </c>
      <c r="CH94" s="228">
        <v>119</v>
      </c>
      <c r="CI94" s="228">
        <v>21</v>
      </c>
      <c r="CJ94" s="229">
        <v>0.1799</v>
      </c>
      <c r="CK94" s="228">
        <v>10</v>
      </c>
      <c r="CL94" s="228">
        <v>8</v>
      </c>
      <c r="CM94" s="228">
        <v>2</v>
      </c>
      <c r="CN94" s="229">
        <v>0.2162</v>
      </c>
      <c r="CO94" s="230">
        <v>2527</v>
      </c>
      <c r="CP94" s="230">
        <v>2274</v>
      </c>
      <c r="CQ94" s="228">
        <v>252</v>
      </c>
      <c r="CR94" s="229">
        <v>0.1109</v>
      </c>
      <c r="CS94" s="230">
        <v>1710</v>
      </c>
      <c r="CT94" s="230">
        <v>1725</v>
      </c>
      <c r="CU94" s="228">
        <v>-15</v>
      </c>
      <c r="CV94" s="229">
        <v>-8.5000000000000006E-3</v>
      </c>
      <c r="CW94" s="230">
        <v>8439</v>
      </c>
      <c r="CX94" s="230">
        <v>8174</v>
      </c>
      <c r="CY94" s="228">
        <v>265</v>
      </c>
      <c r="CZ94" s="229">
        <v>3.2500000000000001E-2</v>
      </c>
      <c r="DA94" s="228">
        <v>25.17</v>
      </c>
      <c r="DB94" s="228">
        <v>25.01</v>
      </c>
      <c r="DC94" s="228">
        <v>0.16</v>
      </c>
      <c r="DD94" s="228">
        <v>0.16</v>
      </c>
      <c r="DE94" s="228">
        <v>33.130000000000003</v>
      </c>
      <c r="DF94" s="228">
        <v>33.18</v>
      </c>
      <c r="DG94" s="228">
        <v>-7.96</v>
      </c>
      <c r="DH94" s="228">
        <v>-0.05</v>
      </c>
      <c r="DI94" s="228">
        <v>24.93</v>
      </c>
      <c r="DJ94" s="228">
        <v>24.77</v>
      </c>
      <c r="DK94" s="228">
        <v>0.16</v>
      </c>
      <c r="DL94" s="228">
        <v>0.16</v>
      </c>
      <c r="DM94" s="228">
        <v>25.46</v>
      </c>
      <c r="DN94" s="228">
        <v>25.38</v>
      </c>
      <c r="DO94" s="228">
        <v>0.08</v>
      </c>
      <c r="DP94" s="228">
        <v>0.08</v>
      </c>
      <c r="DQ94" s="228">
        <v>0.68</v>
      </c>
      <c r="DR94" s="228">
        <v>0.76</v>
      </c>
      <c r="DS94" s="228">
        <v>-0.08</v>
      </c>
      <c r="DT94" s="229">
        <v>-0.1053</v>
      </c>
      <c r="DU94" s="231">
        <v>5100</v>
      </c>
      <c r="DV94" s="231">
        <v>5000</v>
      </c>
      <c r="DW94" s="228">
        <v>0.85</v>
      </c>
      <c r="DX94" s="228">
        <v>0.67</v>
      </c>
      <c r="DY94" s="228">
        <v>0.18</v>
      </c>
      <c r="DZ94" s="229">
        <v>0.26869999999999999</v>
      </c>
      <c r="EA94" s="229">
        <v>3.5900000000000001E-2</v>
      </c>
      <c r="EB94" s="230">
        <v>256800</v>
      </c>
      <c r="EC94" s="229">
        <v>5.1999999999999998E-3</v>
      </c>
      <c r="ED94" s="229">
        <v>3.5900000000000001E-2</v>
      </c>
      <c r="EE94" s="228">
        <v>26.65</v>
      </c>
      <c r="EF94" s="229">
        <v>5.3E-3</v>
      </c>
      <c r="EG94" s="230">
        <v>762634</v>
      </c>
      <c r="EH94" s="230">
        <v>515800</v>
      </c>
      <c r="EI94" s="229">
        <v>0.47849999999999998</v>
      </c>
      <c r="EJ94" s="229">
        <v>0.64680000000000004</v>
      </c>
      <c r="EK94" s="231">
        <v>3221.75</v>
      </c>
      <c r="EL94" s="231">
        <v>2563.0100000000002</v>
      </c>
      <c r="EM94" s="228">
        <v>654.33000000000004</v>
      </c>
      <c r="EN94" s="228">
        <v>60.54</v>
      </c>
      <c r="EO94" s="231">
        <v>6439.09</v>
      </c>
      <c r="EP94" s="231">
        <v>4864.2</v>
      </c>
      <c r="EQ94" s="231">
        <v>1574.88</v>
      </c>
      <c r="ER94" s="229">
        <v>0.32379999999999998</v>
      </c>
      <c r="ES94" s="231">
        <v>2705.7</v>
      </c>
      <c r="ET94" s="231">
        <v>1680.28</v>
      </c>
      <c r="EU94" s="231">
        <v>4203.1000000000004</v>
      </c>
      <c r="EV94" s="231">
        <v>33874835</v>
      </c>
      <c r="EW94" s="231">
        <v>8589.08</v>
      </c>
      <c r="EX94" s="231">
        <v>8365.86</v>
      </c>
      <c r="EY94" s="228">
        <v>223.22</v>
      </c>
      <c r="EZ94" s="229">
        <v>2.6700000000000002E-2</v>
      </c>
      <c r="FA94" s="229">
        <v>0.50070000000000003</v>
      </c>
      <c r="FB94" s="227" t="s">
        <v>567</v>
      </c>
      <c r="FC94">
        <f t="shared" si="1"/>
        <v>151</v>
      </c>
    </row>
    <row r="95" spans="1:159" ht="17.25" thickBot="1" x14ac:dyDescent="0.3">
      <c r="A95" s="226">
        <v>46029</v>
      </c>
      <c r="B95" s="227" t="s">
        <v>172</v>
      </c>
      <c r="C95" s="227" t="s">
        <v>239</v>
      </c>
      <c r="D95" s="228">
        <v>700</v>
      </c>
      <c r="E95" s="228">
        <v>20</v>
      </c>
      <c r="F95" s="228">
        <v>900.3</v>
      </c>
      <c r="G95" s="228">
        <v>916.4</v>
      </c>
      <c r="H95" s="228">
        <v>-16.100000000000001</v>
      </c>
      <c r="I95" s="229">
        <v>-1.7600000000000001E-2</v>
      </c>
      <c r="J95" s="228">
        <v>897.85</v>
      </c>
      <c r="K95" s="228">
        <v>914.25</v>
      </c>
      <c r="L95" s="228">
        <v>-16.399999999999999</v>
      </c>
      <c r="M95" s="229">
        <v>-1.7899999999999999E-2</v>
      </c>
      <c r="N95" s="228">
        <v>900.3</v>
      </c>
      <c r="O95" s="228">
        <v>916.4</v>
      </c>
      <c r="P95" s="228">
        <v>-16.100000000000001</v>
      </c>
      <c r="Q95" s="229">
        <v>-1.7600000000000001E-2</v>
      </c>
      <c r="R95" s="228">
        <v>905.7</v>
      </c>
      <c r="S95" s="228">
        <v>923.05</v>
      </c>
      <c r="T95" s="228">
        <v>-17.350000000000001</v>
      </c>
      <c r="U95" s="229">
        <v>-1.8800000000000001E-2</v>
      </c>
      <c r="V95" s="228">
        <v>911.05</v>
      </c>
      <c r="W95" s="228">
        <v>932.05</v>
      </c>
      <c r="X95" s="228">
        <v>-21</v>
      </c>
      <c r="Y95" s="229">
        <v>-2.2499999999999999E-2</v>
      </c>
      <c r="Z95" s="228">
        <v>2.4500000000000002</v>
      </c>
      <c r="AA95" s="228">
        <v>2.15</v>
      </c>
      <c r="AB95" s="228">
        <v>0.3</v>
      </c>
      <c r="AC95" s="229">
        <v>2.7000000000000001E-3</v>
      </c>
      <c r="AD95" s="228">
        <v>2.4500000000000002</v>
      </c>
      <c r="AE95" s="228">
        <v>2.15</v>
      </c>
      <c r="AF95" s="228">
        <v>0.3</v>
      </c>
      <c r="AG95" s="229">
        <v>2.7000000000000001E-3</v>
      </c>
      <c r="AH95" s="228">
        <v>7.85</v>
      </c>
      <c r="AI95" s="228">
        <v>8.8000000000000007</v>
      </c>
      <c r="AJ95" s="228">
        <v>-0.95</v>
      </c>
      <c r="AK95" s="229">
        <v>8.6999999999999994E-3</v>
      </c>
      <c r="AL95" s="228">
        <v>13.2</v>
      </c>
      <c r="AM95" s="228">
        <v>17.8</v>
      </c>
      <c r="AN95" s="228">
        <v>-4.5999999999999996</v>
      </c>
      <c r="AO95" s="229">
        <v>1.47E-2</v>
      </c>
      <c r="AP95" s="228">
        <v>904.61</v>
      </c>
      <c r="AQ95" s="228">
        <v>907.18</v>
      </c>
      <c r="AR95" s="228">
        <v>0</v>
      </c>
      <c r="AS95" s="228">
        <v>981</v>
      </c>
      <c r="AT95" s="230">
        <v>1422</v>
      </c>
      <c r="AU95" s="228">
        <v>-441</v>
      </c>
      <c r="AV95" s="229">
        <v>-0.31030000000000002</v>
      </c>
      <c r="AW95" s="228">
        <v>888</v>
      </c>
      <c r="AX95" s="230">
        <v>1386</v>
      </c>
      <c r="AY95" s="228">
        <v>-498</v>
      </c>
      <c r="AZ95" s="229">
        <v>-0.35920000000000002</v>
      </c>
      <c r="BA95" s="228">
        <v>85</v>
      </c>
      <c r="BB95" s="228">
        <v>33</v>
      </c>
      <c r="BC95" s="228">
        <v>53</v>
      </c>
      <c r="BD95" s="229">
        <v>1.6127</v>
      </c>
      <c r="BE95" s="228">
        <v>7</v>
      </c>
      <c r="BF95" s="228">
        <v>3</v>
      </c>
      <c r="BG95" s="228">
        <v>4</v>
      </c>
      <c r="BH95" s="229">
        <v>1.1731</v>
      </c>
      <c r="BI95" s="230">
        <v>1332</v>
      </c>
      <c r="BJ95" s="230">
        <v>2938</v>
      </c>
      <c r="BK95" s="230">
        <v>-1606</v>
      </c>
      <c r="BL95" s="229">
        <v>-0.54649999999999999</v>
      </c>
      <c r="BM95" s="228">
        <v>902</v>
      </c>
      <c r="BN95" s="230">
        <v>1944</v>
      </c>
      <c r="BO95" s="230">
        <v>-1041</v>
      </c>
      <c r="BP95" s="229">
        <v>-0.53569999999999995</v>
      </c>
      <c r="BQ95" s="230">
        <v>3216</v>
      </c>
      <c r="BR95" s="230">
        <v>6304</v>
      </c>
      <c r="BS95" s="230">
        <v>-3088</v>
      </c>
      <c r="BT95" s="229">
        <v>-0.4899</v>
      </c>
      <c r="BU95" s="230">
        <v>3073727</v>
      </c>
      <c r="BV95" s="230">
        <v>8558631</v>
      </c>
      <c r="BW95" s="230">
        <v>-5484904</v>
      </c>
      <c r="BX95" s="229">
        <v>-0.64090000000000003</v>
      </c>
      <c r="BY95" s="230">
        <v>4155</v>
      </c>
      <c r="BZ95" s="230">
        <v>3959</v>
      </c>
      <c r="CA95" s="228">
        <v>195</v>
      </c>
      <c r="CB95" s="229">
        <v>4.9299999999999997E-2</v>
      </c>
      <c r="CC95" s="230">
        <v>4008</v>
      </c>
      <c r="CD95" s="230">
        <v>3884</v>
      </c>
      <c r="CE95" s="228">
        <v>123</v>
      </c>
      <c r="CF95" s="229">
        <v>3.1699999999999999E-2</v>
      </c>
      <c r="CG95" s="228">
        <v>137</v>
      </c>
      <c r="CH95" s="228">
        <v>70</v>
      </c>
      <c r="CI95" s="228">
        <v>67</v>
      </c>
      <c r="CJ95" s="229">
        <v>0.9657</v>
      </c>
      <c r="CK95" s="228">
        <v>10</v>
      </c>
      <c r="CL95" s="228">
        <v>5</v>
      </c>
      <c r="CM95" s="228">
        <v>4</v>
      </c>
      <c r="CN95" s="229">
        <v>0.83330000000000004</v>
      </c>
      <c r="CO95" s="230">
        <v>1113</v>
      </c>
      <c r="CP95" s="230">
        <v>1062</v>
      </c>
      <c r="CQ95" s="228">
        <v>51</v>
      </c>
      <c r="CR95" s="229">
        <v>4.7800000000000002E-2</v>
      </c>
      <c r="CS95" s="228">
        <v>918</v>
      </c>
      <c r="CT95" s="228">
        <v>964</v>
      </c>
      <c r="CU95" s="228">
        <v>-46</v>
      </c>
      <c r="CV95" s="229">
        <v>-4.7199999999999999E-2</v>
      </c>
      <c r="CW95" s="230">
        <v>6186</v>
      </c>
      <c r="CX95" s="230">
        <v>5985</v>
      </c>
      <c r="CY95" s="228">
        <v>200</v>
      </c>
      <c r="CZ95" s="229">
        <v>3.3500000000000002E-2</v>
      </c>
      <c r="DA95" s="228">
        <v>29.39</v>
      </c>
      <c r="DB95" s="228">
        <v>28.8</v>
      </c>
      <c r="DC95" s="228">
        <v>0.59</v>
      </c>
      <c r="DD95" s="228">
        <v>0.59</v>
      </c>
      <c r="DE95" s="228">
        <v>43.39</v>
      </c>
      <c r="DF95" s="228">
        <v>43.43</v>
      </c>
      <c r="DG95" s="228">
        <v>-14</v>
      </c>
      <c r="DH95" s="228">
        <v>-0.04</v>
      </c>
      <c r="DI95" s="228">
        <v>29.53</v>
      </c>
      <c r="DJ95" s="228">
        <v>28.67</v>
      </c>
      <c r="DK95" s="228">
        <v>0.86</v>
      </c>
      <c r="DL95" s="228">
        <v>0.86</v>
      </c>
      <c r="DM95" s="228">
        <v>29.19</v>
      </c>
      <c r="DN95" s="228">
        <v>29</v>
      </c>
      <c r="DO95" s="228">
        <v>0.19</v>
      </c>
      <c r="DP95" s="228">
        <v>0.19</v>
      </c>
      <c r="DQ95" s="228">
        <v>0.83</v>
      </c>
      <c r="DR95" s="228">
        <v>0.91</v>
      </c>
      <c r="DS95" s="228">
        <v>-0.08</v>
      </c>
      <c r="DT95" s="229">
        <v>-8.7900000000000006E-2</v>
      </c>
      <c r="DU95" s="228">
        <v>900</v>
      </c>
      <c r="DV95" s="228">
        <v>900</v>
      </c>
      <c r="DW95" s="228">
        <v>0.68</v>
      </c>
      <c r="DX95" s="228">
        <v>0.66</v>
      </c>
      <c r="DY95" s="228">
        <v>0.02</v>
      </c>
      <c r="DZ95" s="229">
        <v>3.0300000000000001E-2</v>
      </c>
      <c r="EA95" s="229">
        <v>3.5400000000000001E-2</v>
      </c>
      <c r="EB95" s="230">
        <v>834400</v>
      </c>
      <c r="EC95" s="229">
        <v>6.0000000000000001E-3</v>
      </c>
      <c r="ED95" s="229">
        <v>3.5400000000000001E-2</v>
      </c>
      <c r="EE95" s="228">
        <v>2.57</v>
      </c>
      <c r="EF95" s="229">
        <v>2.8E-3</v>
      </c>
      <c r="EG95" s="230">
        <v>1238157</v>
      </c>
      <c r="EH95" s="230">
        <v>4505353</v>
      </c>
      <c r="EI95" s="229">
        <v>-0.72519999999999996</v>
      </c>
      <c r="EJ95" s="229">
        <v>0.40279999999999999</v>
      </c>
      <c r="EK95" s="231">
        <v>1398.88</v>
      </c>
      <c r="EL95" s="228">
        <v>907.71</v>
      </c>
      <c r="EM95" s="228">
        <v>986.07</v>
      </c>
      <c r="EN95" s="228">
        <v>144.33000000000001</v>
      </c>
      <c r="EO95" s="231">
        <v>3292.65</v>
      </c>
      <c r="EP95" s="231">
        <v>6473.31</v>
      </c>
      <c r="EQ95" s="231">
        <v>-3180.66</v>
      </c>
      <c r="ER95" s="229">
        <v>-0.49130000000000001</v>
      </c>
      <c r="ES95" s="231">
        <v>1131.71</v>
      </c>
      <c r="ET95" s="228">
        <v>878.51</v>
      </c>
      <c r="EU95" s="231">
        <v>4155.54</v>
      </c>
      <c r="EV95" s="231">
        <v>93808799</v>
      </c>
      <c r="EW95" s="231">
        <v>6165.76</v>
      </c>
      <c r="EX95" s="231">
        <v>6030.13</v>
      </c>
      <c r="EY95" s="228">
        <v>135.63</v>
      </c>
      <c r="EZ95" s="229">
        <v>2.2499999999999999E-2</v>
      </c>
      <c r="FA95" s="229">
        <v>0.73240000000000005</v>
      </c>
      <c r="FB95" s="227" t="s">
        <v>567</v>
      </c>
      <c r="FC95">
        <f t="shared" si="1"/>
        <v>147</v>
      </c>
    </row>
    <row r="96" spans="1:159" ht="17.25" thickBot="1" x14ac:dyDescent="0.3">
      <c r="A96" s="226">
        <v>46029</v>
      </c>
      <c r="B96" s="227" t="s">
        <v>188</v>
      </c>
      <c r="C96" s="227" t="s">
        <v>473</v>
      </c>
      <c r="D96" s="228">
        <v>1700</v>
      </c>
      <c r="E96" s="228">
        <v>20</v>
      </c>
      <c r="F96" s="228">
        <v>430.3</v>
      </c>
      <c r="G96" s="228">
        <v>434.35</v>
      </c>
      <c r="H96" s="228">
        <v>-4.05</v>
      </c>
      <c r="I96" s="229">
        <v>-9.2999999999999992E-3</v>
      </c>
      <c r="J96" s="228">
        <v>429</v>
      </c>
      <c r="K96" s="228">
        <v>432.25</v>
      </c>
      <c r="L96" s="228">
        <v>-3.25</v>
      </c>
      <c r="M96" s="229">
        <v>-7.4999999999999997E-3</v>
      </c>
      <c r="N96" s="228">
        <v>430.3</v>
      </c>
      <c r="O96" s="228">
        <v>434.35</v>
      </c>
      <c r="P96" s="228">
        <v>-4.05</v>
      </c>
      <c r="Q96" s="229">
        <v>-9.2999999999999992E-3</v>
      </c>
      <c r="R96" s="228">
        <v>432.65</v>
      </c>
      <c r="S96" s="228">
        <v>437.15</v>
      </c>
      <c r="T96" s="228">
        <v>-4.5</v>
      </c>
      <c r="U96" s="229">
        <v>-1.03E-2</v>
      </c>
      <c r="V96" s="228">
        <v>435.9</v>
      </c>
      <c r="W96" s="228">
        <v>438.25</v>
      </c>
      <c r="X96" s="228">
        <v>-2.35</v>
      </c>
      <c r="Y96" s="229">
        <v>-5.4000000000000003E-3</v>
      </c>
      <c r="Z96" s="228">
        <v>1.3</v>
      </c>
      <c r="AA96" s="228">
        <v>2.1</v>
      </c>
      <c r="AB96" s="228">
        <v>-0.8</v>
      </c>
      <c r="AC96" s="229">
        <v>3.0000000000000001E-3</v>
      </c>
      <c r="AD96" s="228">
        <v>1.3</v>
      </c>
      <c r="AE96" s="228">
        <v>2.1</v>
      </c>
      <c r="AF96" s="228">
        <v>-0.8</v>
      </c>
      <c r="AG96" s="229">
        <v>3.0000000000000001E-3</v>
      </c>
      <c r="AH96" s="228">
        <v>3.65</v>
      </c>
      <c r="AI96" s="228">
        <v>4.9000000000000004</v>
      </c>
      <c r="AJ96" s="228">
        <v>-1.25</v>
      </c>
      <c r="AK96" s="229">
        <v>8.5000000000000006E-3</v>
      </c>
      <c r="AL96" s="228">
        <v>6.9</v>
      </c>
      <c r="AM96" s="228">
        <v>6</v>
      </c>
      <c r="AN96" s="228">
        <v>0.9</v>
      </c>
      <c r="AO96" s="229">
        <v>1.61E-2</v>
      </c>
      <c r="AP96" s="228">
        <v>431.14</v>
      </c>
      <c r="AQ96" s="228">
        <v>433.3</v>
      </c>
      <c r="AR96" s="228">
        <v>0</v>
      </c>
      <c r="AS96" s="228">
        <v>301</v>
      </c>
      <c r="AT96" s="228">
        <v>356</v>
      </c>
      <c r="AU96" s="228">
        <v>-54</v>
      </c>
      <c r="AV96" s="229">
        <v>-0.1532</v>
      </c>
      <c r="AW96" s="228">
        <v>288</v>
      </c>
      <c r="AX96" s="228">
        <v>343</v>
      </c>
      <c r="AY96" s="228">
        <v>-56</v>
      </c>
      <c r="AZ96" s="229">
        <v>-0.16200000000000001</v>
      </c>
      <c r="BA96" s="228">
        <v>12</v>
      </c>
      <c r="BB96" s="228">
        <v>12</v>
      </c>
      <c r="BC96" s="228">
        <v>1</v>
      </c>
      <c r="BD96" s="229">
        <v>4.9700000000000001E-2</v>
      </c>
      <c r="BE96" s="228">
        <v>1</v>
      </c>
      <c r="BF96" s="228">
        <v>1</v>
      </c>
      <c r="BG96" s="228">
        <v>1</v>
      </c>
      <c r="BH96" s="229">
        <v>0.58330000000000004</v>
      </c>
      <c r="BI96" s="228">
        <v>683</v>
      </c>
      <c r="BJ96" s="228">
        <v>551</v>
      </c>
      <c r="BK96" s="228">
        <v>132</v>
      </c>
      <c r="BL96" s="229">
        <v>0.23880000000000001</v>
      </c>
      <c r="BM96" s="228">
        <v>255</v>
      </c>
      <c r="BN96" s="228">
        <v>266</v>
      </c>
      <c r="BO96" s="228">
        <v>-11</v>
      </c>
      <c r="BP96" s="229">
        <v>-4.1000000000000002E-2</v>
      </c>
      <c r="BQ96" s="230">
        <v>1239</v>
      </c>
      <c r="BR96" s="230">
        <v>1173</v>
      </c>
      <c r="BS96" s="228">
        <v>66</v>
      </c>
      <c r="BT96" s="229">
        <v>5.6500000000000002E-2</v>
      </c>
      <c r="BU96" s="230">
        <v>5115308</v>
      </c>
      <c r="BV96" s="230">
        <v>5888273</v>
      </c>
      <c r="BW96" s="230">
        <v>-772965</v>
      </c>
      <c r="BX96" s="229">
        <v>-0.1313</v>
      </c>
      <c r="BY96" s="230">
        <v>3993</v>
      </c>
      <c r="BZ96" s="230">
        <v>3992</v>
      </c>
      <c r="CA96" s="228">
        <v>1</v>
      </c>
      <c r="CB96" s="229">
        <v>2.9999999999999997E-4</v>
      </c>
      <c r="CC96" s="230">
        <v>3948</v>
      </c>
      <c r="CD96" s="230">
        <v>3950</v>
      </c>
      <c r="CE96" s="228">
        <v>-2</v>
      </c>
      <c r="CF96" s="229">
        <v>-5.9999999999999995E-4</v>
      </c>
      <c r="CG96" s="228">
        <v>40</v>
      </c>
      <c r="CH96" s="228">
        <v>36</v>
      </c>
      <c r="CI96" s="228">
        <v>3</v>
      </c>
      <c r="CJ96" s="229">
        <v>8.8400000000000006E-2</v>
      </c>
      <c r="CK96" s="228">
        <v>6</v>
      </c>
      <c r="CL96" s="228">
        <v>5</v>
      </c>
      <c r="CM96" s="228">
        <v>0</v>
      </c>
      <c r="CN96" s="229">
        <v>5.4100000000000002E-2</v>
      </c>
      <c r="CO96" s="230">
        <v>1077</v>
      </c>
      <c r="CP96" s="230">
        <v>1070</v>
      </c>
      <c r="CQ96" s="228">
        <v>7</v>
      </c>
      <c r="CR96" s="229">
        <v>6.1999999999999998E-3</v>
      </c>
      <c r="CS96" s="228">
        <v>726</v>
      </c>
      <c r="CT96" s="228">
        <v>722</v>
      </c>
      <c r="CU96" s="228">
        <v>4</v>
      </c>
      <c r="CV96" s="229">
        <v>6.1000000000000004E-3</v>
      </c>
      <c r="CW96" s="230">
        <v>5797</v>
      </c>
      <c r="CX96" s="230">
        <v>5784</v>
      </c>
      <c r="CY96" s="228">
        <v>12</v>
      </c>
      <c r="CZ96" s="229">
        <v>2.0999999999999999E-3</v>
      </c>
      <c r="DA96" s="228">
        <v>27.66</v>
      </c>
      <c r="DB96" s="228">
        <v>27.64</v>
      </c>
      <c r="DC96" s="228">
        <v>0.02</v>
      </c>
      <c r="DD96" s="228">
        <v>0.02</v>
      </c>
      <c r="DE96" s="228">
        <v>38.03</v>
      </c>
      <c r="DF96" s="228">
        <v>38.11</v>
      </c>
      <c r="DG96" s="228">
        <v>-10.37</v>
      </c>
      <c r="DH96" s="228">
        <v>-0.08</v>
      </c>
      <c r="DI96" s="228">
        <v>28.02</v>
      </c>
      <c r="DJ96" s="228">
        <v>27.92</v>
      </c>
      <c r="DK96" s="228">
        <v>0.1</v>
      </c>
      <c r="DL96" s="228">
        <v>0.1</v>
      </c>
      <c r="DM96" s="228">
        <v>26.69</v>
      </c>
      <c r="DN96" s="228">
        <v>27.06</v>
      </c>
      <c r="DO96" s="228">
        <v>-0.37</v>
      </c>
      <c r="DP96" s="228">
        <v>-0.37</v>
      </c>
      <c r="DQ96" s="228">
        <v>0.67</v>
      </c>
      <c r="DR96" s="228">
        <v>0.67</v>
      </c>
      <c r="DS96" s="228">
        <v>0</v>
      </c>
      <c r="DT96" s="229">
        <v>0</v>
      </c>
      <c r="DU96" s="228">
        <v>450</v>
      </c>
      <c r="DV96" s="228">
        <v>420</v>
      </c>
      <c r="DW96" s="228">
        <v>0.37</v>
      </c>
      <c r="DX96" s="228">
        <v>0.48</v>
      </c>
      <c r="DY96" s="228">
        <v>-0.11</v>
      </c>
      <c r="DZ96" s="229">
        <v>-0.22919999999999999</v>
      </c>
      <c r="EA96" s="229">
        <v>1.14E-2</v>
      </c>
      <c r="EB96" s="230">
        <v>972400</v>
      </c>
      <c r="EC96" s="229">
        <v>5.4999999999999997E-3</v>
      </c>
      <c r="ED96" s="229">
        <v>1.14E-2</v>
      </c>
      <c r="EE96" s="228">
        <v>2.16</v>
      </c>
      <c r="EF96" s="229">
        <v>5.0000000000000001E-3</v>
      </c>
      <c r="EG96" s="230">
        <v>3377263</v>
      </c>
      <c r="EH96" s="230">
        <v>4177152</v>
      </c>
      <c r="EI96" s="229">
        <v>-0.1915</v>
      </c>
      <c r="EJ96" s="229">
        <v>0.66020000000000001</v>
      </c>
      <c r="EK96" s="228">
        <v>724.32</v>
      </c>
      <c r="EL96" s="228">
        <v>254.87</v>
      </c>
      <c r="EM96" s="228">
        <v>301.98</v>
      </c>
      <c r="EN96" s="228">
        <v>145.19999999999999</v>
      </c>
      <c r="EO96" s="231">
        <v>1281.17</v>
      </c>
      <c r="EP96" s="231">
        <v>1211.97</v>
      </c>
      <c r="EQ96" s="228">
        <v>69.2</v>
      </c>
      <c r="ER96" s="229">
        <v>5.7099999999999998E-2</v>
      </c>
      <c r="ES96" s="231">
        <v>1126.72</v>
      </c>
      <c r="ET96" s="228">
        <v>705.67</v>
      </c>
      <c r="EU96" s="231">
        <v>3993.75</v>
      </c>
      <c r="EV96" s="231">
        <v>193623116</v>
      </c>
      <c r="EW96" s="231">
        <v>5826.14</v>
      </c>
      <c r="EX96" s="231">
        <v>5851.53</v>
      </c>
      <c r="EY96" s="228">
        <v>-25.39</v>
      </c>
      <c r="EZ96" s="229">
        <v>-4.3E-3</v>
      </c>
      <c r="FA96" s="229">
        <v>0.69579999999999997</v>
      </c>
      <c r="FB96" s="227" t="s">
        <v>567</v>
      </c>
      <c r="FC96">
        <f t="shared" si="1"/>
        <v>45</v>
      </c>
    </row>
    <row r="97" spans="1:159" ht="17.25" thickBot="1" x14ac:dyDescent="0.3">
      <c r="A97" s="226">
        <v>46029</v>
      </c>
      <c r="B97" s="227" t="s">
        <v>221</v>
      </c>
      <c r="C97" s="227" t="s">
        <v>240</v>
      </c>
      <c r="D97" s="228">
        <v>400</v>
      </c>
      <c r="E97" s="228">
        <v>20</v>
      </c>
      <c r="F97" s="231">
        <v>1644.6</v>
      </c>
      <c r="G97" s="231">
        <v>1616.8</v>
      </c>
      <c r="H97" s="228">
        <v>27.8</v>
      </c>
      <c r="I97" s="229">
        <v>1.72E-2</v>
      </c>
      <c r="J97" s="231">
        <v>1639</v>
      </c>
      <c r="K97" s="231">
        <v>1612.2</v>
      </c>
      <c r="L97" s="228">
        <v>26.8</v>
      </c>
      <c r="M97" s="229">
        <v>1.66E-2</v>
      </c>
      <c r="N97" s="231">
        <v>1644.6</v>
      </c>
      <c r="O97" s="231">
        <v>1616.8</v>
      </c>
      <c r="P97" s="228">
        <v>27.8</v>
      </c>
      <c r="Q97" s="229">
        <v>1.72E-2</v>
      </c>
      <c r="R97" s="231">
        <v>1652.7</v>
      </c>
      <c r="S97" s="231">
        <v>1623</v>
      </c>
      <c r="T97" s="228">
        <v>29.7</v>
      </c>
      <c r="U97" s="229">
        <v>1.83E-2</v>
      </c>
      <c r="V97" s="231">
        <v>1663.4</v>
      </c>
      <c r="W97" s="231">
        <v>1633.5</v>
      </c>
      <c r="X97" s="228">
        <v>29.9</v>
      </c>
      <c r="Y97" s="229">
        <v>1.83E-2</v>
      </c>
      <c r="Z97" s="228">
        <v>5.6</v>
      </c>
      <c r="AA97" s="228">
        <v>4.5999999999999996</v>
      </c>
      <c r="AB97" s="228">
        <v>1</v>
      </c>
      <c r="AC97" s="229">
        <v>3.3999999999999998E-3</v>
      </c>
      <c r="AD97" s="228">
        <v>5.6</v>
      </c>
      <c r="AE97" s="228">
        <v>4.5999999999999996</v>
      </c>
      <c r="AF97" s="228">
        <v>1</v>
      </c>
      <c r="AG97" s="229">
        <v>3.3999999999999998E-3</v>
      </c>
      <c r="AH97" s="228">
        <v>13.7</v>
      </c>
      <c r="AI97" s="228">
        <v>10.8</v>
      </c>
      <c r="AJ97" s="228">
        <v>2.9</v>
      </c>
      <c r="AK97" s="229">
        <v>8.3999999999999995E-3</v>
      </c>
      <c r="AL97" s="228">
        <v>24.4</v>
      </c>
      <c r="AM97" s="228">
        <v>21.3</v>
      </c>
      <c r="AN97" s="228">
        <v>3.1</v>
      </c>
      <c r="AO97" s="229">
        <v>1.49E-2</v>
      </c>
      <c r="AP97" s="231">
        <v>1638.96</v>
      </c>
      <c r="AQ97" s="231">
        <v>1645.56</v>
      </c>
      <c r="AR97" s="228">
        <v>0</v>
      </c>
      <c r="AS97" s="230">
        <v>1217</v>
      </c>
      <c r="AT97" s="228">
        <v>852</v>
      </c>
      <c r="AU97" s="228">
        <v>365</v>
      </c>
      <c r="AV97" s="229">
        <v>0.4279</v>
      </c>
      <c r="AW97" s="230">
        <v>1158</v>
      </c>
      <c r="AX97" s="228">
        <v>813</v>
      </c>
      <c r="AY97" s="228">
        <v>345</v>
      </c>
      <c r="AZ97" s="229">
        <v>0.42409999999999998</v>
      </c>
      <c r="BA97" s="228">
        <v>43</v>
      </c>
      <c r="BB97" s="228">
        <v>31</v>
      </c>
      <c r="BC97" s="228">
        <v>13</v>
      </c>
      <c r="BD97" s="229">
        <v>0.4138</v>
      </c>
      <c r="BE97" s="228">
        <v>16</v>
      </c>
      <c r="BF97" s="228">
        <v>9</v>
      </c>
      <c r="BG97" s="228">
        <v>7</v>
      </c>
      <c r="BH97" s="229">
        <v>0.82579999999999998</v>
      </c>
      <c r="BI97" s="230">
        <v>5492</v>
      </c>
      <c r="BJ97" s="230">
        <v>2304</v>
      </c>
      <c r="BK97" s="230">
        <v>3188</v>
      </c>
      <c r="BL97" s="229">
        <v>1.3836999999999999</v>
      </c>
      <c r="BM97" s="230">
        <v>1871</v>
      </c>
      <c r="BN97" s="230">
        <v>1240</v>
      </c>
      <c r="BO97" s="228">
        <v>631</v>
      </c>
      <c r="BP97" s="229">
        <v>0.50919999999999999</v>
      </c>
      <c r="BQ97" s="230">
        <v>8580</v>
      </c>
      <c r="BR97" s="230">
        <v>4396</v>
      </c>
      <c r="BS97" s="230">
        <v>4184</v>
      </c>
      <c r="BT97" s="229">
        <v>0.95179999999999998</v>
      </c>
      <c r="BU97" s="230">
        <v>4820926</v>
      </c>
      <c r="BV97" s="230">
        <v>4687323</v>
      </c>
      <c r="BW97" s="230">
        <v>133603</v>
      </c>
      <c r="BX97" s="229">
        <v>2.8500000000000001E-2</v>
      </c>
      <c r="BY97" s="230">
        <v>11878</v>
      </c>
      <c r="BZ97" s="230">
        <v>11941</v>
      </c>
      <c r="CA97" s="228">
        <v>-64</v>
      </c>
      <c r="CB97" s="229">
        <v>-5.3E-3</v>
      </c>
      <c r="CC97" s="230">
        <v>11699</v>
      </c>
      <c r="CD97" s="230">
        <v>11761</v>
      </c>
      <c r="CE97" s="228">
        <v>-62</v>
      </c>
      <c r="CF97" s="229">
        <v>-5.3E-3</v>
      </c>
      <c r="CG97" s="228">
        <v>160</v>
      </c>
      <c r="CH97" s="228">
        <v>158</v>
      </c>
      <c r="CI97" s="228">
        <v>2</v>
      </c>
      <c r="CJ97" s="229">
        <v>1.4200000000000001E-2</v>
      </c>
      <c r="CK97" s="228">
        <v>19</v>
      </c>
      <c r="CL97" s="228">
        <v>22</v>
      </c>
      <c r="CM97" s="228">
        <v>-3</v>
      </c>
      <c r="CN97" s="229">
        <v>-0.1502</v>
      </c>
      <c r="CO97" s="230">
        <v>3885</v>
      </c>
      <c r="CP97" s="230">
        <v>3037</v>
      </c>
      <c r="CQ97" s="228">
        <v>848</v>
      </c>
      <c r="CR97" s="229">
        <v>0.27939999999999998</v>
      </c>
      <c r="CS97" s="230">
        <v>1981</v>
      </c>
      <c r="CT97" s="230">
        <v>1824</v>
      </c>
      <c r="CU97" s="228">
        <v>157</v>
      </c>
      <c r="CV97" s="229">
        <v>8.5999999999999993E-2</v>
      </c>
      <c r="CW97" s="230">
        <v>17743</v>
      </c>
      <c r="CX97" s="230">
        <v>16801</v>
      </c>
      <c r="CY97" s="228">
        <v>942</v>
      </c>
      <c r="CZ97" s="229">
        <v>5.6099999999999997E-2</v>
      </c>
      <c r="DA97" s="228">
        <v>24.31</v>
      </c>
      <c r="DB97" s="228">
        <v>24.7</v>
      </c>
      <c r="DC97" s="228">
        <v>-0.39</v>
      </c>
      <c r="DD97" s="228">
        <v>-0.39</v>
      </c>
      <c r="DE97" s="228">
        <v>28.22</v>
      </c>
      <c r="DF97" s="228">
        <v>28.2</v>
      </c>
      <c r="DG97" s="228">
        <v>-3.91</v>
      </c>
      <c r="DH97" s="228">
        <v>0.02</v>
      </c>
      <c r="DI97" s="228">
        <v>23.81</v>
      </c>
      <c r="DJ97" s="228">
        <v>24.08</v>
      </c>
      <c r="DK97" s="228">
        <v>-0.27</v>
      </c>
      <c r="DL97" s="228">
        <v>-0.27</v>
      </c>
      <c r="DM97" s="228">
        <v>25.78</v>
      </c>
      <c r="DN97" s="228">
        <v>25.84</v>
      </c>
      <c r="DO97" s="228">
        <v>-0.06</v>
      </c>
      <c r="DP97" s="228">
        <v>-0.06</v>
      </c>
      <c r="DQ97" s="228">
        <v>0.51</v>
      </c>
      <c r="DR97" s="228">
        <v>0.6</v>
      </c>
      <c r="DS97" s="228">
        <v>-0.09</v>
      </c>
      <c r="DT97" s="229">
        <v>-0.15</v>
      </c>
      <c r="DU97" s="231">
        <v>1660</v>
      </c>
      <c r="DV97" s="231">
        <v>1620</v>
      </c>
      <c r="DW97" s="228">
        <v>0.34</v>
      </c>
      <c r="DX97" s="228">
        <v>0.54</v>
      </c>
      <c r="DY97" s="228">
        <v>-0.2</v>
      </c>
      <c r="DZ97" s="229">
        <v>-0.37040000000000001</v>
      </c>
      <c r="EA97" s="229">
        <v>1.5100000000000001E-2</v>
      </c>
      <c r="EB97" s="230">
        <v>1093600</v>
      </c>
      <c r="EC97" s="229">
        <v>4.8999999999999998E-3</v>
      </c>
      <c r="ED97" s="229">
        <v>1.5100000000000001E-2</v>
      </c>
      <c r="EE97" s="228">
        <v>6.6</v>
      </c>
      <c r="EF97" s="229">
        <v>4.0000000000000001E-3</v>
      </c>
      <c r="EG97" s="230">
        <v>2597866</v>
      </c>
      <c r="EH97" s="230">
        <v>2694505</v>
      </c>
      <c r="EI97" s="229">
        <v>-3.5900000000000001E-2</v>
      </c>
      <c r="EJ97" s="229">
        <v>0.53890000000000005</v>
      </c>
      <c r="EK97" s="231">
        <v>5681.88</v>
      </c>
      <c r="EL97" s="231">
        <v>1826.23</v>
      </c>
      <c r="EM97" s="231">
        <v>1213.04</v>
      </c>
      <c r="EN97" s="228">
        <v>151.31</v>
      </c>
      <c r="EO97" s="231">
        <v>8721.15</v>
      </c>
      <c r="EP97" s="231">
        <v>4407.12</v>
      </c>
      <c r="EQ97" s="231">
        <v>4314.04</v>
      </c>
      <c r="ER97" s="229">
        <v>0.97889999999999999</v>
      </c>
      <c r="ES97" s="231">
        <v>3983.56</v>
      </c>
      <c r="ET97" s="231">
        <v>1889.77</v>
      </c>
      <c r="EU97" s="231">
        <v>11878.63</v>
      </c>
      <c r="EV97" s="231">
        <v>368703409</v>
      </c>
      <c r="EW97" s="231">
        <v>17751.96</v>
      </c>
      <c r="EX97" s="231">
        <v>16590.169999999998</v>
      </c>
      <c r="EY97" s="231">
        <v>1161.79</v>
      </c>
      <c r="EZ97" s="229">
        <v>7.0000000000000007E-2</v>
      </c>
      <c r="FA97" s="229">
        <v>0.29260000000000003</v>
      </c>
      <c r="FB97" s="227" t="s">
        <v>556</v>
      </c>
      <c r="FC97">
        <f t="shared" si="1"/>
        <v>179</v>
      </c>
    </row>
    <row r="98" spans="1:159" ht="17.25" thickBot="1" x14ac:dyDescent="0.3">
      <c r="A98" s="226">
        <v>46029</v>
      </c>
      <c r="B98" s="227" t="s">
        <v>161</v>
      </c>
      <c r="C98" s="227" t="s">
        <v>669</v>
      </c>
      <c r="D98" s="228">
        <v>3575</v>
      </c>
      <c r="E98" s="228">
        <v>20</v>
      </c>
      <c r="F98" s="228">
        <v>123.23</v>
      </c>
      <c r="G98" s="228">
        <v>123.33</v>
      </c>
      <c r="H98" s="228">
        <v>-0.1</v>
      </c>
      <c r="I98" s="229">
        <v>-8.0000000000000004E-4</v>
      </c>
      <c r="J98" s="228">
        <v>122.94</v>
      </c>
      <c r="K98" s="228">
        <v>122.57</v>
      </c>
      <c r="L98" s="228">
        <v>0.37</v>
      </c>
      <c r="M98" s="229">
        <v>3.0000000000000001E-3</v>
      </c>
      <c r="N98" s="228">
        <v>123.23</v>
      </c>
      <c r="O98" s="228">
        <v>123.33</v>
      </c>
      <c r="P98" s="228">
        <v>-0.1</v>
      </c>
      <c r="Q98" s="229">
        <v>-8.0000000000000004E-4</v>
      </c>
      <c r="R98" s="228">
        <v>123.95</v>
      </c>
      <c r="S98" s="228">
        <v>123.98</v>
      </c>
      <c r="T98" s="228">
        <v>-0.03</v>
      </c>
      <c r="U98" s="229">
        <v>-2.0000000000000001E-4</v>
      </c>
      <c r="V98" s="228">
        <v>123.88</v>
      </c>
      <c r="W98" s="228">
        <v>125.02</v>
      </c>
      <c r="X98" s="228">
        <v>-1.1399999999999999</v>
      </c>
      <c r="Y98" s="229">
        <v>-9.1000000000000004E-3</v>
      </c>
      <c r="Z98" s="228">
        <v>0.28999999999999998</v>
      </c>
      <c r="AA98" s="228">
        <v>0.76</v>
      </c>
      <c r="AB98" s="228">
        <v>-0.47</v>
      </c>
      <c r="AC98" s="229">
        <v>2.3999999999999998E-3</v>
      </c>
      <c r="AD98" s="228">
        <v>0.28999999999999998</v>
      </c>
      <c r="AE98" s="228">
        <v>0.76</v>
      </c>
      <c r="AF98" s="228">
        <v>-0.47</v>
      </c>
      <c r="AG98" s="229">
        <v>2.3999999999999998E-3</v>
      </c>
      <c r="AH98" s="228">
        <v>1.01</v>
      </c>
      <c r="AI98" s="228">
        <v>1.41</v>
      </c>
      <c r="AJ98" s="228">
        <v>-0.4</v>
      </c>
      <c r="AK98" s="229">
        <v>8.2000000000000007E-3</v>
      </c>
      <c r="AL98" s="228">
        <v>0.94</v>
      </c>
      <c r="AM98" s="228">
        <v>2.4500000000000002</v>
      </c>
      <c r="AN98" s="228">
        <v>-1.51</v>
      </c>
      <c r="AO98" s="229">
        <v>7.6E-3</v>
      </c>
      <c r="AP98" s="228">
        <v>123.21</v>
      </c>
      <c r="AQ98" s="228">
        <v>123.77</v>
      </c>
      <c r="AR98" s="228">
        <v>0</v>
      </c>
      <c r="AS98" s="228">
        <v>145</v>
      </c>
      <c r="AT98" s="228">
        <v>193</v>
      </c>
      <c r="AU98" s="228">
        <v>-49</v>
      </c>
      <c r="AV98" s="229">
        <v>-0.25109999999999999</v>
      </c>
      <c r="AW98" s="228">
        <v>130</v>
      </c>
      <c r="AX98" s="228">
        <v>174</v>
      </c>
      <c r="AY98" s="228">
        <v>-44</v>
      </c>
      <c r="AZ98" s="229">
        <v>-0.25080000000000002</v>
      </c>
      <c r="BA98" s="228">
        <v>13</v>
      </c>
      <c r="BB98" s="228">
        <v>16</v>
      </c>
      <c r="BC98" s="228">
        <v>-3</v>
      </c>
      <c r="BD98" s="229">
        <v>-0.1762</v>
      </c>
      <c r="BE98" s="228">
        <v>1</v>
      </c>
      <c r="BF98" s="228">
        <v>3</v>
      </c>
      <c r="BG98" s="228">
        <v>-2</v>
      </c>
      <c r="BH98" s="229">
        <v>-0.67649999999999999</v>
      </c>
      <c r="BI98" s="228">
        <v>210</v>
      </c>
      <c r="BJ98" s="228">
        <v>241</v>
      </c>
      <c r="BK98" s="228">
        <v>-31</v>
      </c>
      <c r="BL98" s="229">
        <v>-0.12759999999999999</v>
      </c>
      <c r="BM98" s="228">
        <v>105</v>
      </c>
      <c r="BN98" s="228">
        <v>108</v>
      </c>
      <c r="BO98" s="228">
        <v>-2</v>
      </c>
      <c r="BP98" s="229">
        <v>-2.2100000000000002E-2</v>
      </c>
      <c r="BQ98" s="228">
        <v>460</v>
      </c>
      <c r="BR98" s="228">
        <v>542</v>
      </c>
      <c r="BS98" s="228">
        <v>-82</v>
      </c>
      <c r="BT98" s="229">
        <v>-0.1507</v>
      </c>
      <c r="BU98" s="230">
        <v>8480101</v>
      </c>
      <c r="BV98" s="230">
        <v>10400172</v>
      </c>
      <c r="BW98" s="230">
        <v>-1920071</v>
      </c>
      <c r="BX98" s="229">
        <v>-0.18459999999999999</v>
      </c>
      <c r="BY98" s="230">
        <v>1183</v>
      </c>
      <c r="BZ98" s="230">
        <v>1176</v>
      </c>
      <c r="CA98" s="228">
        <v>7</v>
      </c>
      <c r="CB98" s="229">
        <v>6.0000000000000001E-3</v>
      </c>
      <c r="CC98" s="230">
        <v>1118</v>
      </c>
      <c r="CD98" s="230">
        <v>1116</v>
      </c>
      <c r="CE98" s="228">
        <v>2</v>
      </c>
      <c r="CF98" s="229">
        <v>1.6999999999999999E-3</v>
      </c>
      <c r="CG98" s="228">
        <v>61</v>
      </c>
      <c r="CH98" s="228">
        <v>56</v>
      </c>
      <c r="CI98" s="228">
        <v>5</v>
      </c>
      <c r="CJ98" s="229">
        <v>9.0499999999999997E-2</v>
      </c>
      <c r="CK98" s="228">
        <v>3</v>
      </c>
      <c r="CL98" s="228">
        <v>3</v>
      </c>
      <c r="CM98" s="228">
        <v>0</v>
      </c>
      <c r="CN98" s="229">
        <v>2.7799999999999998E-2</v>
      </c>
      <c r="CO98" s="228">
        <v>333</v>
      </c>
      <c r="CP98" s="228">
        <v>297</v>
      </c>
      <c r="CQ98" s="228">
        <v>36</v>
      </c>
      <c r="CR98" s="229">
        <v>0.121</v>
      </c>
      <c r="CS98" s="228">
        <v>212</v>
      </c>
      <c r="CT98" s="228">
        <v>202</v>
      </c>
      <c r="CU98" s="228">
        <v>10</v>
      </c>
      <c r="CV98" s="229">
        <v>4.7699999999999999E-2</v>
      </c>
      <c r="CW98" s="230">
        <v>1728</v>
      </c>
      <c r="CX98" s="230">
        <v>1675</v>
      </c>
      <c r="CY98" s="228">
        <v>53</v>
      </c>
      <c r="CZ98" s="229">
        <v>3.15E-2</v>
      </c>
      <c r="DA98" s="228">
        <v>38.64</v>
      </c>
      <c r="DB98" s="228">
        <v>36.86</v>
      </c>
      <c r="DC98" s="228">
        <v>1.78</v>
      </c>
      <c r="DD98" s="228">
        <v>1.78</v>
      </c>
      <c r="DE98" s="228">
        <v>51.97</v>
      </c>
      <c r="DF98" s="228">
        <v>52.1</v>
      </c>
      <c r="DG98" s="228">
        <v>-13.33</v>
      </c>
      <c r="DH98" s="228">
        <v>-0.13</v>
      </c>
      <c r="DI98" s="228">
        <v>37.78</v>
      </c>
      <c r="DJ98" s="228">
        <v>36.83</v>
      </c>
      <c r="DK98" s="228">
        <v>0.95</v>
      </c>
      <c r="DL98" s="228">
        <v>0.95</v>
      </c>
      <c r="DM98" s="228">
        <v>40.35</v>
      </c>
      <c r="DN98" s="228">
        <v>36.92</v>
      </c>
      <c r="DO98" s="228">
        <v>3.43</v>
      </c>
      <c r="DP98" s="228">
        <v>3.43</v>
      </c>
      <c r="DQ98" s="228">
        <v>0.64</v>
      </c>
      <c r="DR98" s="228">
        <v>0.68</v>
      </c>
      <c r="DS98" s="228">
        <v>-0.04</v>
      </c>
      <c r="DT98" s="229">
        <v>-5.8799999999999998E-2</v>
      </c>
      <c r="DU98" s="228">
        <v>125</v>
      </c>
      <c r="DV98" s="228">
        <v>125</v>
      </c>
      <c r="DW98" s="228">
        <v>0.5</v>
      </c>
      <c r="DX98" s="228">
        <v>0.45</v>
      </c>
      <c r="DY98" s="228">
        <v>0.05</v>
      </c>
      <c r="DZ98" s="229">
        <v>0.1111</v>
      </c>
      <c r="EA98" s="229">
        <v>5.4399999999999997E-2</v>
      </c>
      <c r="EB98" s="230">
        <v>4801225</v>
      </c>
      <c r="EC98" s="229">
        <v>5.7999999999999996E-3</v>
      </c>
      <c r="ED98" s="229">
        <v>5.4399999999999997E-2</v>
      </c>
      <c r="EE98" s="228">
        <v>0.56000000000000005</v>
      </c>
      <c r="EF98" s="229">
        <v>4.4999999999999997E-3</v>
      </c>
      <c r="EG98" s="230">
        <v>4010877</v>
      </c>
      <c r="EH98" s="230">
        <v>4866055</v>
      </c>
      <c r="EI98" s="229">
        <v>-0.1757</v>
      </c>
      <c r="EJ98" s="229">
        <v>0.47299999999999998</v>
      </c>
      <c r="EK98" s="228">
        <v>226.53</v>
      </c>
      <c r="EL98" s="228">
        <v>99.25</v>
      </c>
      <c r="EM98" s="228">
        <v>144.86000000000001</v>
      </c>
      <c r="EN98" s="228">
        <v>36.68</v>
      </c>
      <c r="EO98" s="228">
        <v>470.64</v>
      </c>
      <c r="EP98" s="228">
        <v>560.30999999999995</v>
      </c>
      <c r="EQ98" s="228">
        <v>-89.67</v>
      </c>
      <c r="ER98" s="229">
        <v>-0.16</v>
      </c>
      <c r="ES98" s="228">
        <v>363</v>
      </c>
      <c r="ET98" s="228">
        <v>215.28</v>
      </c>
      <c r="EU98" s="231">
        <v>1183.07</v>
      </c>
      <c r="EV98" s="231">
        <v>144708707</v>
      </c>
      <c r="EW98" s="231">
        <v>1761.35</v>
      </c>
      <c r="EX98" s="231">
        <v>1707.81</v>
      </c>
      <c r="EY98" s="228">
        <v>53.54</v>
      </c>
      <c r="EZ98" s="229">
        <v>3.1399999999999997E-2</v>
      </c>
      <c r="FA98" s="229">
        <v>0.96899999999999997</v>
      </c>
      <c r="FB98" s="227" t="s">
        <v>567</v>
      </c>
      <c r="FC98">
        <f t="shared" si="1"/>
        <v>65</v>
      </c>
    </row>
    <row r="99" spans="1:159" ht="17.25" thickBot="1" x14ac:dyDescent="0.3">
      <c r="A99" s="226">
        <v>46029</v>
      </c>
      <c r="B99" s="227" t="s">
        <v>193</v>
      </c>
      <c r="C99" s="227" t="s">
        <v>241</v>
      </c>
      <c r="D99" s="228">
        <v>4875</v>
      </c>
      <c r="E99" s="228">
        <v>20</v>
      </c>
      <c r="F99" s="228">
        <v>163.31</v>
      </c>
      <c r="G99" s="228">
        <v>164.39</v>
      </c>
      <c r="H99" s="228">
        <v>-1.08</v>
      </c>
      <c r="I99" s="229">
        <v>-6.6E-3</v>
      </c>
      <c r="J99" s="228">
        <v>162.66999999999999</v>
      </c>
      <c r="K99" s="228">
        <v>164</v>
      </c>
      <c r="L99" s="228">
        <v>-1.33</v>
      </c>
      <c r="M99" s="229">
        <v>-8.0999999999999996E-3</v>
      </c>
      <c r="N99" s="228">
        <v>163.31</v>
      </c>
      <c r="O99" s="228">
        <v>164.39</v>
      </c>
      <c r="P99" s="228">
        <v>-1.08</v>
      </c>
      <c r="Q99" s="229">
        <v>-6.6E-3</v>
      </c>
      <c r="R99" s="228">
        <v>164.2</v>
      </c>
      <c r="S99" s="228">
        <v>165.37</v>
      </c>
      <c r="T99" s="228">
        <v>-1.17</v>
      </c>
      <c r="U99" s="229">
        <v>-7.1000000000000004E-3</v>
      </c>
      <c r="V99" s="228">
        <v>164.78</v>
      </c>
      <c r="W99" s="228">
        <v>165.8</v>
      </c>
      <c r="X99" s="228">
        <v>-1.02</v>
      </c>
      <c r="Y99" s="229">
        <v>-6.1999999999999998E-3</v>
      </c>
      <c r="Z99" s="228">
        <v>0.64</v>
      </c>
      <c r="AA99" s="228">
        <v>0.39</v>
      </c>
      <c r="AB99" s="228">
        <v>0.25</v>
      </c>
      <c r="AC99" s="229">
        <v>3.8999999999999998E-3</v>
      </c>
      <c r="AD99" s="228">
        <v>0.64</v>
      </c>
      <c r="AE99" s="228">
        <v>0.39</v>
      </c>
      <c r="AF99" s="228">
        <v>0.25</v>
      </c>
      <c r="AG99" s="229">
        <v>3.8999999999999998E-3</v>
      </c>
      <c r="AH99" s="228">
        <v>1.53</v>
      </c>
      <c r="AI99" s="228">
        <v>1.37</v>
      </c>
      <c r="AJ99" s="228">
        <v>0.16</v>
      </c>
      <c r="AK99" s="229">
        <v>9.4000000000000004E-3</v>
      </c>
      <c r="AL99" s="228">
        <v>2.11</v>
      </c>
      <c r="AM99" s="228">
        <v>1.8</v>
      </c>
      <c r="AN99" s="228">
        <v>0.31</v>
      </c>
      <c r="AO99" s="229">
        <v>1.2999999999999999E-2</v>
      </c>
      <c r="AP99" s="228">
        <v>163.57</v>
      </c>
      <c r="AQ99" s="228">
        <v>164.5</v>
      </c>
      <c r="AR99" s="228">
        <v>0</v>
      </c>
      <c r="AS99" s="228">
        <v>131</v>
      </c>
      <c r="AT99" s="228">
        <v>287</v>
      </c>
      <c r="AU99" s="228">
        <v>-156</v>
      </c>
      <c r="AV99" s="229">
        <v>-0.54320000000000002</v>
      </c>
      <c r="AW99" s="228">
        <v>123</v>
      </c>
      <c r="AX99" s="228">
        <v>255</v>
      </c>
      <c r="AY99" s="228">
        <v>-132</v>
      </c>
      <c r="AZ99" s="229">
        <v>-0.51839999999999997</v>
      </c>
      <c r="BA99" s="228">
        <v>7</v>
      </c>
      <c r="BB99" s="228">
        <v>25</v>
      </c>
      <c r="BC99" s="228">
        <v>-18</v>
      </c>
      <c r="BD99" s="229">
        <v>-0.73250000000000004</v>
      </c>
      <c r="BE99" s="228">
        <v>1</v>
      </c>
      <c r="BF99" s="228">
        <v>6</v>
      </c>
      <c r="BG99" s="228">
        <v>-5</v>
      </c>
      <c r="BH99" s="229">
        <v>-0.79010000000000002</v>
      </c>
      <c r="BI99" s="228">
        <v>494</v>
      </c>
      <c r="BJ99" s="228">
        <v>945</v>
      </c>
      <c r="BK99" s="228">
        <v>-451</v>
      </c>
      <c r="BL99" s="229">
        <v>-0.47710000000000002</v>
      </c>
      <c r="BM99" s="228">
        <v>253</v>
      </c>
      <c r="BN99" s="228">
        <v>588</v>
      </c>
      <c r="BO99" s="228">
        <v>-335</v>
      </c>
      <c r="BP99" s="229">
        <v>-0.57010000000000005</v>
      </c>
      <c r="BQ99" s="228">
        <v>878</v>
      </c>
      <c r="BR99" s="230">
        <v>1819</v>
      </c>
      <c r="BS99" s="228">
        <v>-941</v>
      </c>
      <c r="BT99" s="229">
        <v>-0.51759999999999995</v>
      </c>
      <c r="BU99" s="230">
        <v>11183737</v>
      </c>
      <c r="BV99" s="230">
        <v>11847476</v>
      </c>
      <c r="BW99" s="230">
        <v>-663739</v>
      </c>
      <c r="BX99" s="229">
        <v>-5.6000000000000001E-2</v>
      </c>
      <c r="BY99" s="230">
        <v>1755</v>
      </c>
      <c r="BZ99" s="230">
        <v>1741</v>
      </c>
      <c r="CA99" s="228">
        <v>14</v>
      </c>
      <c r="CB99" s="229">
        <v>8.0000000000000002E-3</v>
      </c>
      <c r="CC99" s="230">
        <v>1692</v>
      </c>
      <c r="CD99" s="230">
        <v>1679</v>
      </c>
      <c r="CE99" s="228">
        <v>13</v>
      </c>
      <c r="CF99" s="229">
        <v>8.0000000000000002E-3</v>
      </c>
      <c r="CG99" s="228">
        <v>51</v>
      </c>
      <c r="CH99" s="228">
        <v>50</v>
      </c>
      <c r="CI99" s="228">
        <v>0</v>
      </c>
      <c r="CJ99" s="229">
        <v>6.3E-3</v>
      </c>
      <c r="CK99" s="228">
        <v>12</v>
      </c>
      <c r="CL99" s="228">
        <v>12</v>
      </c>
      <c r="CM99" s="228">
        <v>0</v>
      </c>
      <c r="CN99" s="229">
        <v>1.3100000000000001E-2</v>
      </c>
      <c r="CO99" s="228">
        <v>838</v>
      </c>
      <c r="CP99" s="228">
        <v>786</v>
      </c>
      <c r="CQ99" s="228">
        <v>52</v>
      </c>
      <c r="CR99" s="229">
        <v>6.6699999999999995E-2</v>
      </c>
      <c r="CS99" s="228">
        <v>502</v>
      </c>
      <c r="CT99" s="228">
        <v>478</v>
      </c>
      <c r="CU99" s="228">
        <v>23</v>
      </c>
      <c r="CV99" s="229">
        <v>4.8800000000000003E-2</v>
      </c>
      <c r="CW99" s="230">
        <v>3095</v>
      </c>
      <c r="CX99" s="230">
        <v>3006</v>
      </c>
      <c r="CY99" s="228">
        <v>90</v>
      </c>
      <c r="CZ99" s="229">
        <v>2.98E-2</v>
      </c>
      <c r="DA99" s="228">
        <v>23.54</v>
      </c>
      <c r="DB99" s="228">
        <v>23.51</v>
      </c>
      <c r="DC99" s="228">
        <v>0.03</v>
      </c>
      <c r="DD99" s="228">
        <v>0.03</v>
      </c>
      <c r="DE99" s="228">
        <v>30.45</v>
      </c>
      <c r="DF99" s="228">
        <v>30.51</v>
      </c>
      <c r="DG99" s="228">
        <v>-6.91</v>
      </c>
      <c r="DH99" s="228">
        <v>-0.06</v>
      </c>
      <c r="DI99" s="228">
        <v>23.6</v>
      </c>
      <c r="DJ99" s="228">
        <v>23.45</v>
      </c>
      <c r="DK99" s="228">
        <v>0.15</v>
      </c>
      <c r="DL99" s="228">
        <v>0.15</v>
      </c>
      <c r="DM99" s="228">
        <v>23.41</v>
      </c>
      <c r="DN99" s="228">
        <v>23.59</v>
      </c>
      <c r="DO99" s="228">
        <v>-0.18</v>
      </c>
      <c r="DP99" s="228">
        <v>-0.18</v>
      </c>
      <c r="DQ99" s="228">
        <v>0.6</v>
      </c>
      <c r="DR99" s="228">
        <v>0.61</v>
      </c>
      <c r="DS99" s="228">
        <v>-0.01</v>
      </c>
      <c r="DT99" s="229">
        <v>-1.6400000000000001E-2</v>
      </c>
      <c r="DU99" s="228">
        <v>170</v>
      </c>
      <c r="DV99" s="228">
        <v>160</v>
      </c>
      <c r="DW99" s="228">
        <v>0.51</v>
      </c>
      <c r="DX99" s="228">
        <v>0.62</v>
      </c>
      <c r="DY99" s="228">
        <v>-0.11</v>
      </c>
      <c r="DZ99" s="229">
        <v>-0.1774</v>
      </c>
      <c r="EA99" s="229">
        <v>3.5900000000000001E-2</v>
      </c>
      <c r="EB99" s="230">
        <v>3831750</v>
      </c>
      <c r="EC99" s="229">
        <v>5.4000000000000003E-3</v>
      </c>
      <c r="ED99" s="229">
        <v>3.5900000000000001E-2</v>
      </c>
      <c r="EE99" s="228">
        <v>0.93</v>
      </c>
      <c r="EF99" s="229">
        <v>5.7000000000000002E-3</v>
      </c>
      <c r="EG99" s="230">
        <v>6581230</v>
      </c>
      <c r="EH99" s="230">
        <v>5413350</v>
      </c>
      <c r="EI99" s="229">
        <v>0.2157</v>
      </c>
      <c r="EJ99" s="229">
        <v>0.58850000000000002</v>
      </c>
      <c r="EK99" s="228">
        <v>514.11</v>
      </c>
      <c r="EL99" s="228">
        <v>251.05</v>
      </c>
      <c r="EM99" s="228">
        <v>131.30000000000001</v>
      </c>
      <c r="EN99" s="228">
        <v>42.35</v>
      </c>
      <c r="EO99" s="228">
        <v>896.46</v>
      </c>
      <c r="EP99" s="231">
        <v>1856.94</v>
      </c>
      <c r="EQ99" s="228">
        <v>-960.48</v>
      </c>
      <c r="ER99" s="229">
        <v>-0.51719999999999999</v>
      </c>
      <c r="ES99" s="228">
        <v>874.2</v>
      </c>
      <c r="ET99" s="228">
        <v>493.15</v>
      </c>
      <c r="EU99" s="231">
        <v>1755.71</v>
      </c>
      <c r="EV99" s="231">
        <v>684903861</v>
      </c>
      <c r="EW99" s="231">
        <v>3123.05</v>
      </c>
      <c r="EX99" s="231">
        <v>3043.92</v>
      </c>
      <c r="EY99" s="228">
        <v>79.13</v>
      </c>
      <c r="EZ99" s="229">
        <v>2.5999999999999999E-2</v>
      </c>
      <c r="FA99" s="229">
        <v>0.2767</v>
      </c>
      <c r="FB99" s="227" t="s">
        <v>567</v>
      </c>
      <c r="FC99">
        <f t="shared" si="1"/>
        <v>63</v>
      </c>
    </row>
    <row r="100" spans="1:159" ht="17.25" thickBot="1" x14ac:dyDescent="0.3">
      <c r="A100" s="226">
        <v>46029</v>
      </c>
      <c r="B100" s="227" t="s">
        <v>215</v>
      </c>
      <c r="C100" s="227" t="s">
        <v>490</v>
      </c>
      <c r="D100" s="228">
        <v>875</v>
      </c>
      <c r="E100" s="228">
        <v>20</v>
      </c>
      <c r="F100" s="228">
        <v>674.6</v>
      </c>
      <c r="G100" s="228">
        <v>672.5</v>
      </c>
      <c r="H100" s="228">
        <v>2.1</v>
      </c>
      <c r="I100" s="229">
        <v>3.0999999999999999E-3</v>
      </c>
      <c r="J100" s="228">
        <v>672.8</v>
      </c>
      <c r="K100" s="228">
        <v>671.2</v>
      </c>
      <c r="L100" s="228">
        <v>1.6</v>
      </c>
      <c r="M100" s="229">
        <v>2.3999999999999998E-3</v>
      </c>
      <c r="N100" s="228">
        <v>674.6</v>
      </c>
      <c r="O100" s="228">
        <v>672.5</v>
      </c>
      <c r="P100" s="228">
        <v>2.1</v>
      </c>
      <c r="Q100" s="229">
        <v>3.0999999999999999E-3</v>
      </c>
      <c r="R100" s="228">
        <v>675.75</v>
      </c>
      <c r="S100" s="228">
        <v>674.5</v>
      </c>
      <c r="T100" s="228">
        <v>1.25</v>
      </c>
      <c r="U100" s="229">
        <v>1.9E-3</v>
      </c>
      <c r="V100" s="228">
        <v>0</v>
      </c>
      <c r="W100" s="228">
        <v>0</v>
      </c>
      <c r="X100" s="228">
        <v>0</v>
      </c>
      <c r="Y100" s="229">
        <v>0</v>
      </c>
      <c r="Z100" s="228">
        <v>1.8</v>
      </c>
      <c r="AA100" s="228">
        <v>1.3</v>
      </c>
      <c r="AB100" s="228">
        <v>0.5</v>
      </c>
      <c r="AC100" s="229">
        <v>2.7000000000000001E-3</v>
      </c>
      <c r="AD100" s="228">
        <v>1.8</v>
      </c>
      <c r="AE100" s="228">
        <v>1.3</v>
      </c>
      <c r="AF100" s="228">
        <v>0.5</v>
      </c>
      <c r="AG100" s="229">
        <v>2.7000000000000001E-3</v>
      </c>
      <c r="AH100" s="228">
        <v>2.95</v>
      </c>
      <c r="AI100" s="228">
        <v>3.3</v>
      </c>
      <c r="AJ100" s="228">
        <v>-0.35</v>
      </c>
      <c r="AK100" s="229">
        <v>4.4000000000000003E-3</v>
      </c>
      <c r="AL100" s="228">
        <v>0</v>
      </c>
      <c r="AM100" s="228">
        <v>0</v>
      </c>
      <c r="AN100" s="228">
        <v>0</v>
      </c>
      <c r="AO100" s="229">
        <v>0</v>
      </c>
      <c r="AP100" s="228">
        <v>672.35</v>
      </c>
      <c r="AQ100" s="228">
        <v>673.97</v>
      </c>
      <c r="AR100" s="228">
        <v>0</v>
      </c>
      <c r="AS100" s="228">
        <v>210</v>
      </c>
      <c r="AT100" s="228">
        <v>216</v>
      </c>
      <c r="AU100" s="228">
        <v>-6</v>
      </c>
      <c r="AV100" s="229">
        <v>-2.98E-2</v>
      </c>
      <c r="AW100" s="228">
        <v>169</v>
      </c>
      <c r="AX100" s="228">
        <v>187</v>
      </c>
      <c r="AY100" s="228">
        <v>-18</v>
      </c>
      <c r="AZ100" s="229">
        <v>-9.6000000000000002E-2</v>
      </c>
      <c r="BA100" s="228">
        <v>41</v>
      </c>
      <c r="BB100" s="228">
        <v>29</v>
      </c>
      <c r="BC100" s="228">
        <v>12</v>
      </c>
      <c r="BD100" s="229">
        <v>0.39550000000000002</v>
      </c>
      <c r="BE100" s="228">
        <v>0</v>
      </c>
      <c r="BF100" s="228">
        <v>0</v>
      </c>
      <c r="BG100" s="228">
        <v>0</v>
      </c>
      <c r="BH100" s="229">
        <v>0</v>
      </c>
      <c r="BI100" s="228">
        <v>998</v>
      </c>
      <c r="BJ100" s="228">
        <v>845</v>
      </c>
      <c r="BK100" s="228">
        <v>154</v>
      </c>
      <c r="BL100" s="229">
        <v>0.1817</v>
      </c>
      <c r="BM100" s="228">
        <v>193</v>
      </c>
      <c r="BN100" s="228">
        <v>271</v>
      </c>
      <c r="BO100" s="228">
        <v>-79</v>
      </c>
      <c r="BP100" s="229">
        <v>-0.2898</v>
      </c>
      <c r="BQ100" s="230">
        <v>1401</v>
      </c>
      <c r="BR100" s="230">
        <v>1332</v>
      </c>
      <c r="BS100" s="228">
        <v>68</v>
      </c>
      <c r="BT100" s="229">
        <v>5.1400000000000001E-2</v>
      </c>
      <c r="BU100" s="230">
        <v>1015915</v>
      </c>
      <c r="BV100" s="230">
        <v>1474257</v>
      </c>
      <c r="BW100" s="230">
        <v>-458342</v>
      </c>
      <c r="BX100" s="229">
        <v>-0.31090000000000001</v>
      </c>
      <c r="BY100" s="230">
        <v>1611</v>
      </c>
      <c r="BZ100" s="230">
        <v>1561</v>
      </c>
      <c r="CA100" s="228">
        <v>50</v>
      </c>
      <c r="CB100" s="229">
        <v>3.2199999999999999E-2</v>
      </c>
      <c r="CC100" s="230">
        <v>1433</v>
      </c>
      <c r="CD100" s="230">
        <v>1394</v>
      </c>
      <c r="CE100" s="228">
        <v>38</v>
      </c>
      <c r="CF100" s="229">
        <v>2.75E-2</v>
      </c>
      <c r="CG100" s="228">
        <v>178</v>
      </c>
      <c r="CH100" s="228">
        <v>166</v>
      </c>
      <c r="CI100" s="228">
        <v>12</v>
      </c>
      <c r="CJ100" s="229">
        <v>7.1400000000000005E-2</v>
      </c>
      <c r="CK100" s="228">
        <v>0</v>
      </c>
      <c r="CL100" s="228">
        <v>0</v>
      </c>
      <c r="CM100" s="228">
        <v>0</v>
      </c>
      <c r="CN100" s="229">
        <v>0</v>
      </c>
      <c r="CO100" s="230">
        <v>1548</v>
      </c>
      <c r="CP100" s="230">
        <v>1397</v>
      </c>
      <c r="CQ100" s="228">
        <v>151</v>
      </c>
      <c r="CR100" s="229">
        <v>0.108</v>
      </c>
      <c r="CS100" s="228">
        <v>688</v>
      </c>
      <c r="CT100" s="228">
        <v>657</v>
      </c>
      <c r="CU100" s="228">
        <v>30</v>
      </c>
      <c r="CV100" s="229">
        <v>4.6100000000000002E-2</v>
      </c>
      <c r="CW100" s="230">
        <v>3847</v>
      </c>
      <c r="CX100" s="230">
        <v>3615</v>
      </c>
      <c r="CY100" s="228">
        <v>231</v>
      </c>
      <c r="CZ100" s="229">
        <v>6.4000000000000001E-2</v>
      </c>
      <c r="DA100" s="228">
        <v>27.08</v>
      </c>
      <c r="DB100" s="228">
        <v>25.79</v>
      </c>
      <c r="DC100" s="228">
        <v>1.29</v>
      </c>
      <c r="DD100" s="228">
        <v>1.29</v>
      </c>
      <c r="DE100" s="228">
        <v>29.25</v>
      </c>
      <c r="DF100" s="228">
        <v>29.32</v>
      </c>
      <c r="DG100" s="228">
        <v>-2.17</v>
      </c>
      <c r="DH100" s="228">
        <v>-7.0000000000000007E-2</v>
      </c>
      <c r="DI100" s="228">
        <v>27.56</v>
      </c>
      <c r="DJ100" s="228">
        <v>26.2</v>
      </c>
      <c r="DK100" s="228">
        <v>1.36</v>
      </c>
      <c r="DL100" s="228">
        <v>1.36</v>
      </c>
      <c r="DM100" s="228">
        <v>24.6</v>
      </c>
      <c r="DN100" s="228">
        <v>24.49</v>
      </c>
      <c r="DO100" s="228">
        <v>0.11</v>
      </c>
      <c r="DP100" s="228">
        <v>0.11</v>
      </c>
      <c r="DQ100" s="228">
        <v>0.44</v>
      </c>
      <c r="DR100" s="228">
        <v>0.47</v>
      </c>
      <c r="DS100" s="228">
        <v>-0.03</v>
      </c>
      <c r="DT100" s="229">
        <v>-6.3799999999999996E-2</v>
      </c>
      <c r="DU100" s="228">
        <v>700</v>
      </c>
      <c r="DV100" s="228">
        <v>700</v>
      </c>
      <c r="DW100" s="228">
        <v>0.19</v>
      </c>
      <c r="DX100" s="228">
        <v>0.32</v>
      </c>
      <c r="DY100" s="228">
        <v>-0.13</v>
      </c>
      <c r="DZ100" s="229">
        <v>-0.40629999999999999</v>
      </c>
      <c r="EA100" s="229">
        <v>0.1106</v>
      </c>
      <c r="EB100" s="230">
        <v>2464875</v>
      </c>
      <c r="EC100" s="229">
        <v>1.6999999999999999E-3</v>
      </c>
      <c r="ED100" s="229">
        <v>0.1106</v>
      </c>
      <c r="EE100" s="228">
        <v>1.62</v>
      </c>
      <c r="EF100" s="229">
        <v>2.3999999999999998E-3</v>
      </c>
      <c r="EG100" s="230">
        <v>382230</v>
      </c>
      <c r="EH100" s="230">
        <v>632405</v>
      </c>
      <c r="EI100" s="229">
        <v>-0.39560000000000001</v>
      </c>
      <c r="EJ100" s="229">
        <v>0.37619999999999998</v>
      </c>
      <c r="EK100" s="231">
        <v>1060.48</v>
      </c>
      <c r="EL100" s="228">
        <v>190.6</v>
      </c>
      <c r="EM100" s="228">
        <v>208.95</v>
      </c>
      <c r="EN100" s="228">
        <v>37.479999999999997</v>
      </c>
      <c r="EO100" s="231">
        <v>1460.02</v>
      </c>
      <c r="EP100" s="231">
        <v>1376.41</v>
      </c>
      <c r="EQ100" s="228">
        <v>83.61</v>
      </c>
      <c r="ER100" s="229">
        <v>6.0699999999999997E-2</v>
      </c>
      <c r="ES100" s="231">
        <v>1662.73</v>
      </c>
      <c r="ET100" s="228">
        <v>690.9</v>
      </c>
      <c r="EU100" s="231">
        <v>1611.28</v>
      </c>
      <c r="EV100" s="231">
        <v>32504261</v>
      </c>
      <c r="EW100" s="231">
        <v>3964.91</v>
      </c>
      <c r="EX100" s="231">
        <v>3722.04</v>
      </c>
      <c r="EY100" s="228">
        <v>242.87</v>
      </c>
      <c r="EZ100" s="229">
        <v>6.5299999999999997E-2</v>
      </c>
      <c r="FA100" s="229">
        <v>1.7544</v>
      </c>
      <c r="FB100" s="227" t="s">
        <v>555</v>
      </c>
      <c r="FC100">
        <f t="shared" si="1"/>
        <v>178</v>
      </c>
    </row>
    <row r="101" spans="1:159" ht="17.25" thickBot="1" x14ac:dyDescent="0.3">
      <c r="A101" s="226">
        <v>46029</v>
      </c>
      <c r="B101" s="227" t="s">
        <v>175</v>
      </c>
      <c r="C101" s="227" t="s">
        <v>664</v>
      </c>
      <c r="D101" s="228">
        <v>3450</v>
      </c>
      <c r="E101" s="228">
        <v>20</v>
      </c>
      <c r="F101" s="228">
        <v>145.9</v>
      </c>
      <c r="G101" s="228">
        <v>143.82</v>
      </c>
      <c r="H101" s="228">
        <v>2.08</v>
      </c>
      <c r="I101" s="229">
        <v>1.4500000000000001E-2</v>
      </c>
      <c r="J101" s="228">
        <v>146.03</v>
      </c>
      <c r="K101" s="228">
        <v>143.55000000000001</v>
      </c>
      <c r="L101" s="228">
        <v>2.48</v>
      </c>
      <c r="M101" s="229">
        <v>1.7299999999999999E-2</v>
      </c>
      <c r="N101" s="228">
        <v>145.9</v>
      </c>
      <c r="O101" s="228">
        <v>143.82</v>
      </c>
      <c r="P101" s="228">
        <v>2.08</v>
      </c>
      <c r="Q101" s="229">
        <v>1.4500000000000001E-2</v>
      </c>
      <c r="R101" s="228">
        <v>145.58000000000001</v>
      </c>
      <c r="S101" s="228">
        <v>143.5</v>
      </c>
      <c r="T101" s="228">
        <v>2.08</v>
      </c>
      <c r="U101" s="229">
        <v>1.4500000000000001E-2</v>
      </c>
      <c r="V101" s="228">
        <v>145.6</v>
      </c>
      <c r="W101" s="228">
        <v>143.72999999999999</v>
      </c>
      <c r="X101" s="228">
        <v>1.87</v>
      </c>
      <c r="Y101" s="229">
        <v>1.2999999999999999E-2</v>
      </c>
      <c r="Z101" s="228">
        <v>-0.13</v>
      </c>
      <c r="AA101" s="228">
        <v>0.27</v>
      </c>
      <c r="AB101" s="228">
        <v>-0.4</v>
      </c>
      <c r="AC101" s="229">
        <v>-8.9999999999999998E-4</v>
      </c>
      <c r="AD101" s="228">
        <v>-0.13</v>
      </c>
      <c r="AE101" s="228">
        <v>0.27</v>
      </c>
      <c r="AF101" s="228">
        <v>-0.4</v>
      </c>
      <c r="AG101" s="229">
        <v>-8.9999999999999998E-4</v>
      </c>
      <c r="AH101" s="228">
        <v>-0.45</v>
      </c>
      <c r="AI101" s="228">
        <v>-0.05</v>
      </c>
      <c r="AJ101" s="228">
        <v>-0.4</v>
      </c>
      <c r="AK101" s="229">
        <v>-3.0999999999999999E-3</v>
      </c>
      <c r="AL101" s="228">
        <v>-0.43</v>
      </c>
      <c r="AM101" s="228">
        <v>0.18</v>
      </c>
      <c r="AN101" s="228">
        <v>-0.61</v>
      </c>
      <c r="AO101" s="229">
        <v>-2.8999999999999998E-3</v>
      </c>
      <c r="AP101" s="228">
        <v>145.28</v>
      </c>
      <c r="AQ101" s="228">
        <v>144.94</v>
      </c>
      <c r="AR101" s="228">
        <v>0</v>
      </c>
      <c r="AS101" s="228">
        <v>241</v>
      </c>
      <c r="AT101" s="228">
        <v>173</v>
      </c>
      <c r="AU101" s="228">
        <v>68</v>
      </c>
      <c r="AV101" s="229">
        <v>0.3931</v>
      </c>
      <c r="AW101" s="228">
        <v>214</v>
      </c>
      <c r="AX101" s="228">
        <v>153</v>
      </c>
      <c r="AY101" s="228">
        <v>61</v>
      </c>
      <c r="AZ101" s="229">
        <v>0.40029999999999999</v>
      </c>
      <c r="BA101" s="228">
        <v>24</v>
      </c>
      <c r="BB101" s="228">
        <v>18</v>
      </c>
      <c r="BC101" s="228">
        <v>6</v>
      </c>
      <c r="BD101" s="229">
        <v>0.31280000000000002</v>
      </c>
      <c r="BE101" s="228">
        <v>4</v>
      </c>
      <c r="BF101" s="228">
        <v>2</v>
      </c>
      <c r="BG101" s="228">
        <v>1</v>
      </c>
      <c r="BH101" s="229">
        <v>0.54349999999999998</v>
      </c>
      <c r="BI101" s="228">
        <v>440</v>
      </c>
      <c r="BJ101" s="228">
        <v>339</v>
      </c>
      <c r="BK101" s="228">
        <v>101</v>
      </c>
      <c r="BL101" s="229">
        <v>0.29849999999999999</v>
      </c>
      <c r="BM101" s="228">
        <v>97</v>
      </c>
      <c r="BN101" s="228">
        <v>116</v>
      </c>
      <c r="BO101" s="228">
        <v>-18</v>
      </c>
      <c r="BP101" s="229">
        <v>-0.15679999999999999</v>
      </c>
      <c r="BQ101" s="228">
        <v>779</v>
      </c>
      <c r="BR101" s="228">
        <v>628</v>
      </c>
      <c r="BS101" s="228">
        <v>151</v>
      </c>
      <c r="BT101" s="229">
        <v>0.24079999999999999</v>
      </c>
      <c r="BU101" s="230">
        <v>9576609</v>
      </c>
      <c r="BV101" s="230">
        <v>9068318</v>
      </c>
      <c r="BW101" s="230">
        <v>508291</v>
      </c>
      <c r="BX101" s="229">
        <v>5.6099999999999997E-2</v>
      </c>
      <c r="BY101" s="228">
        <v>846</v>
      </c>
      <c r="BZ101" s="228">
        <v>780</v>
      </c>
      <c r="CA101" s="228">
        <v>66</v>
      </c>
      <c r="CB101" s="229">
        <v>8.4199999999999997E-2</v>
      </c>
      <c r="CC101" s="228">
        <v>744</v>
      </c>
      <c r="CD101" s="228">
        <v>687</v>
      </c>
      <c r="CE101" s="228">
        <v>57</v>
      </c>
      <c r="CF101" s="229">
        <v>8.2600000000000007E-2</v>
      </c>
      <c r="CG101" s="228">
        <v>89</v>
      </c>
      <c r="CH101" s="228">
        <v>82</v>
      </c>
      <c r="CI101" s="228">
        <v>7</v>
      </c>
      <c r="CJ101" s="229">
        <v>8.7900000000000006E-2</v>
      </c>
      <c r="CK101" s="228">
        <v>13</v>
      </c>
      <c r="CL101" s="228">
        <v>12</v>
      </c>
      <c r="CM101" s="228">
        <v>2</v>
      </c>
      <c r="CN101" s="229">
        <v>0.15279999999999999</v>
      </c>
      <c r="CO101" s="228">
        <v>509</v>
      </c>
      <c r="CP101" s="228">
        <v>495</v>
      </c>
      <c r="CQ101" s="228">
        <v>14</v>
      </c>
      <c r="CR101" s="229">
        <v>2.81E-2</v>
      </c>
      <c r="CS101" s="228">
        <v>292</v>
      </c>
      <c r="CT101" s="228">
        <v>283</v>
      </c>
      <c r="CU101" s="228">
        <v>9</v>
      </c>
      <c r="CV101" s="229">
        <v>3.1E-2</v>
      </c>
      <c r="CW101" s="230">
        <v>1647</v>
      </c>
      <c r="CX101" s="230">
        <v>1558</v>
      </c>
      <c r="CY101" s="228">
        <v>88</v>
      </c>
      <c r="CZ101" s="229">
        <v>5.67E-2</v>
      </c>
      <c r="DA101" s="228">
        <v>44.48</v>
      </c>
      <c r="DB101" s="228">
        <v>42.63</v>
      </c>
      <c r="DC101" s="228">
        <v>1.85</v>
      </c>
      <c r="DD101" s="228">
        <v>1.85</v>
      </c>
      <c r="DE101" s="228">
        <v>48.23</v>
      </c>
      <c r="DF101" s="228">
        <v>48.31</v>
      </c>
      <c r="DG101" s="228">
        <v>-3.75</v>
      </c>
      <c r="DH101" s="228">
        <v>-0.08</v>
      </c>
      <c r="DI101" s="228">
        <v>44.45</v>
      </c>
      <c r="DJ101" s="228">
        <v>42.55</v>
      </c>
      <c r="DK101" s="228">
        <v>1.9</v>
      </c>
      <c r="DL101" s="228">
        <v>1.9</v>
      </c>
      <c r="DM101" s="228">
        <v>44.59</v>
      </c>
      <c r="DN101" s="228">
        <v>42.87</v>
      </c>
      <c r="DO101" s="228">
        <v>1.72</v>
      </c>
      <c r="DP101" s="228">
        <v>1.72</v>
      </c>
      <c r="DQ101" s="228">
        <v>0.56999999999999995</v>
      </c>
      <c r="DR101" s="228">
        <v>0.56999999999999995</v>
      </c>
      <c r="DS101" s="228">
        <v>0</v>
      </c>
      <c r="DT101" s="229">
        <v>0</v>
      </c>
      <c r="DU101" s="228">
        <v>145</v>
      </c>
      <c r="DV101" s="228">
        <v>140</v>
      </c>
      <c r="DW101" s="228">
        <v>0.22</v>
      </c>
      <c r="DX101" s="228">
        <v>0.34</v>
      </c>
      <c r="DY101" s="228">
        <v>-0.12</v>
      </c>
      <c r="DZ101" s="229">
        <v>-0.35289999999999999</v>
      </c>
      <c r="EA101" s="229">
        <v>0.121</v>
      </c>
      <c r="EB101" s="230">
        <v>6403200</v>
      </c>
      <c r="EC101" s="229">
        <v>-2.2000000000000001E-3</v>
      </c>
      <c r="ED101" s="229">
        <v>0.121</v>
      </c>
      <c r="EE101" s="228">
        <v>-0.34</v>
      </c>
      <c r="EF101" s="229">
        <v>-2.3E-3</v>
      </c>
      <c r="EG101" s="230">
        <v>3080388</v>
      </c>
      <c r="EH101" s="230">
        <v>2330260</v>
      </c>
      <c r="EI101" s="229">
        <v>0.32190000000000002</v>
      </c>
      <c r="EJ101" s="229">
        <v>0.32169999999999999</v>
      </c>
      <c r="EK101" s="228">
        <v>470.43</v>
      </c>
      <c r="EL101" s="228">
        <v>95.71</v>
      </c>
      <c r="EM101" s="228">
        <v>240.28</v>
      </c>
      <c r="EN101" s="228">
        <v>45.25</v>
      </c>
      <c r="EO101" s="228">
        <v>806.42</v>
      </c>
      <c r="EP101" s="228">
        <v>642.54</v>
      </c>
      <c r="EQ101" s="228">
        <v>163.87</v>
      </c>
      <c r="ER101" s="229">
        <v>0.255</v>
      </c>
      <c r="ES101" s="228">
        <v>521.32000000000005</v>
      </c>
      <c r="ET101" s="228">
        <v>278.72000000000003</v>
      </c>
      <c r="EU101" s="228">
        <v>845.92</v>
      </c>
      <c r="EV101" s="231">
        <v>119011160</v>
      </c>
      <c r="EW101" s="231">
        <v>1645.96</v>
      </c>
      <c r="EX101" s="231">
        <v>1544.87</v>
      </c>
      <c r="EY101" s="228">
        <v>101.09</v>
      </c>
      <c r="EZ101" s="229">
        <v>6.54E-2</v>
      </c>
      <c r="FA101" s="229">
        <v>0.94830000000000003</v>
      </c>
      <c r="FB101" s="227" t="s">
        <v>555</v>
      </c>
      <c r="FC101">
        <f t="shared" si="1"/>
        <v>102</v>
      </c>
    </row>
    <row r="102" spans="1:159" ht="17.25" thickBot="1" x14ac:dyDescent="0.3">
      <c r="A102" s="226">
        <v>46029</v>
      </c>
      <c r="B102" s="227" t="s">
        <v>215</v>
      </c>
      <c r="C102" s="227" t="s">
        <v>592</v>
      </c>
      <c r="D102" s="228">
        <v>4250</v>
      </c>
      <c r="E102" s="228">
        <v>20</v>
      </c>
      <c r="F102" s="228">
        <v>128.65</v>
      </c>
      <c r="G102" s="228">
        <v>127.83</v>
      </c>
      <c r="H102" s="228">
        <v>0.82</v>
      </c>
      <c r="I102" s="229">
        <v>6.4000000000000003E-3</v>
      </c>
      <c r="J102" s="228">
        <v>128.04</v>
      </c>
      <c r="K102" s="228">
        <v>127.22</v>
      </c>
      <c r="L102" s="228">
        <v>0.82</v>
      </c>
      <c r="M102" s="229">
        <v>6.4000000000000003E-3</v>
      </c>
      <c r="N102" s="228">
        <v>128.65</v>
      </c>
      <c r="O102" s="228">
        <v>127.83</v>
      </c>
      <c r="P102" s="228">
        <v>0.82</v>
      </c>
      <c r="Q102" s="229">
        <v>6.4000000000000003E-3</v>
      </c>
      <c r="R102" s="228">
        <v>129.29</v>
      </c>
      <c r="S102" s="228">
        <v>128.44</v>
      </c>
      <c r="T102" s="228">
        <v>0.85</v>
      </c>
      <c r="U102" s="229">
        <v>6.6E-3</v>
      </c>
      <c r="V102" s="228">
        <v>129.77000000000001</v>
      </c>
      <c r="W102" s="228">
        <v>128.96</v>
      </c>
      <c r="X102" s="228">
        <v>0.81</v>
      </c>
      <c r="Y102" s="229">
        <v>6.3E-3</v>
      </c>
      <c r="Z102" s="228">
        <v>0.61</v>
      </c>
      <c r="AA102" s="228">
        <v>0.61</v>
      </c>
      <c r="AB102" s="228">
        <v>0</v>
      </c>
      <c r="AC102" s="229">
        <v>4.7999999999999996E-3</v>
      </c>
      <c r="AD102" s="228">
        <v>0.61</v>
      </c>
      <c r="AE102" s="228">
        <v>0.61</v>
      </c>
      <c r="AF102" s="228">
        <v>0</v>
      </c>
      <c r="AG102" s="229">
        <v>4.7999999999999996E-3</v>
      </c>
      <c r="AH102" s="228">
        <v>1.25</v>
      </c>
      <c r="AI102" s="228">
        <v>1.22</v>
      </c>
      <c r="AJ102" s="228">
        <v>0.03</v>
      </c>
      <c r="AK102" s="229">
        <v>9.7999999999999997E-3</v>
      </c>
      <c r="AL102" s="228">
        <v>1.73</v>
      </c>
      <c r="AM102" s="228">
        <v>1.74</v>
      </c>
      <c r="AN102" s="228">
        <v>-0.01</v>
      </c>
      <c r="AO102" s="229">
        <v>1.35E-2</v>
      </c>
      <c r="AP102" s="228">
        <v>128.5</v>
      </c>
      <c r="AQ102" s="228">
        <v>129.06</v>
      </c>
      <c r="AR102" s="228">
        <v>0</v>
      </c>
      <c r="AS102" s="228">
        <v>141</v>
      </c>
      <c r="AT102" s="228">
        <v>187</v>
      </c>
      <c r="AU102" s="228">
        <v>-46</v>
      </c>
      <c r="AV102" s="229">
        <v>-0.24360000000000001</v>
      </c>
      <c r="AW102" s="228">
        <v>123</v>
      </c>
      <c r="AX102" s="228">
        <v>164</v>
      </c>
      <c r="AY102" s="228">
        <v>-40</v>
      </c>
      <c r="AZ102" s="229">
        <v>-0.24510000000000001</v>
      </c>
      <c r="BA102" s="228">
        <v>15</v>
      </c>
      <c r="BB102" s="228">
        <v>22</v>
      </c>
      <c r="BC102" s="228">
        <v>-6</v>
      </c>
      <c r="BD102" s="229">
        <v>-0.28539999999999999</v>
      </c>
      <c r="BE102" s="228">
        <v>3</v>
      </c>
      <c r="BF102" s="228">
        <v>2</v>
      </c>
      <c r="BG102" s="228">
        <v>1</v>
      </c>
      <c r="BH102" s="229">
        <v>0.39389999999999997</v>
      </c>
      <c r="BI102" s="228">
        <v>352</v>
      </c>
      <c r="BJ102" s="228">
        <v>542</v>
      </c>
      <c r="BK102" s="228">
        <v>-190</v>
      </c>
      <c r="BL102" s="229">
        <v>-0.3503</v>
      </c>
      <c r="BM102" s="228">
        <v>115</v>
      </c>
      <c r="BN102" s="228">
        <v>153</v>
      </c>
      <c r="BO102" s="228">
        <v>-38</v>
      </c>
      <c r="BP102" s="229">
        <v>-0.24940000000000001</v>
      </c>
      <c r="BQ102" s="228">
        <v>608</v>
      </c>
      <c r="BR102" s="228">
        <v>881</v>
      </c>
      <c r="BS102" s="228">
        <v>-273</v>
      </c>
      <c r="BT102" s="229">
        <v>-0.31019999999999998</v>
      </c>
      <c r="BU102" s="230">
        <v>11484512</v>
      </c>
      <c r="BV102" s="230">
        <v>15619992</v>
      </c>
      <c r="BW102" s="230">
        <v>-4135480</v>
      </c>
      <c r="BX102" s="229">
        <v>-0.26479999999999998</v>
      </c>
      <c r="BY102" s="228">
        <v>844</v>
      </c>
      <c r="BZ102" s="228">
        <v>843</v>
      </c>
      <c r="CA102" s="228">
        <v>2</v>
      </c>
      <c r="CB102" s="229">
        <v>2E-3</v>
      </c>
      <c r="CC102" s="228">
        <v>770</v>
      </c>
      <c r="CD102" s="228">
        <v>771</v>
      </c>
      <c r="CE102" s="228">
        <v>-2</v>
      </c>
      <c r="CF102" s="229">
        <v>-2E-3</v>
      </c>
      <c r="CG102" s="228">
        <v>69</v>
      </c>
      <c r="CH102" s="228">
        <v>66</v>
      </c>
      <c r="CI102" s="228">
        <v>3</v>
      </c>
      <c r="CJ102" s="229">
        <v>4.4400000000000002E-2</v>
      </c>
      <c r="CK102" s="228">
        <v>5</v>
      </c>
      <c r="CL102" s="228">
        <v>5</v>
      </c>
      <c r="CM102" s="228">
        <v>0</v>
      </c>
      <c r="CN102" s="229">
        <v>5.3800000000000001E-2</v>
      </c>
      <c r="CO102" s="230">
        <v>1020</v>
      </c>
      <c r="CP102" s="230">
        <v>1019</v>
      </c>
      <c r="CQ102" s="228">
        <v>1</v>
      </c>
      <c r="CR102" s="229">
        <v>1.1000000000000001E-3</v>
      </c>
      <c r="CS102" s="228">
        <v>470</v>
      </c>
      <c r="CT102" s="228">
        <v>456</v>
      </c>
      <c r="CU102" s="228">
        <v>14</v>
      </c>
      <c r="CV102" s="229">
        <v>3.1300000000000001E-2</v>
      </c>
      <c r="CW102" s="230">
        <v>2335</v>
      </c>
      <c r="CX102" s="230">
        <v>2318</v>
      </c>
      <c r="CY102" s="228">
        <v>17</v>
      </c>
      <c r="CZ102" s="229">
        <v>7.4000000000000003E-3</v>
      </c>
      <c r="DA102" s="228">
        <v>39.31</v>
      </c>
      <c r="DB102" s="228">
        <v>39.44</v>
      </c>
      <c r="DC102" s="228">
        <v>-0.13</v>
      </c>
      <c r="DD102" s="228">
        <v>-0.13</v>
      </c>
      <c r="DE102" s="228">
        <v>45.53</v>
      </c>
      <c r="DF102" s="228">
        <v>45.63</v>
      </c>
      <c r="DG102" s="228">
        <v>-6.22</v>
      </c>
      <c r="DH102" s="228">
        <v>-0.1</v>
      </c>
      <c r="DI102" s="228">
        <v>39.61</v>
      </c>
      <c r="DJ102" s="228">
        <v>39.79</v>
      </c>
      <c r="DK102" s="228">
        <v>-0.18</v>
      </c>
      <c r="DL102" s="228">
        <v>-0.18</v>
      </c>
      <c r="DM102" s="228">
        <v>38.369999999999997</v>
      </c>
      <c r="DN102" s="228">
        <v>38.200000000000003</v>
      </c>
      <c r="DO102" s="228">
        <v>0.17</v>
      </c>
      <c r="DP102" s="228">
        <v>0.17</v>
      </c>
      <c r="DQ102" s="228">
        <v>0.46</v>
      </c>
      <c r="DR102" s="228">
        <v>0.45</v>
      </c>
      <c r="DS102" s="228">
        <v>0.01</v>
      </c>
      <c r="DT102" s="229">
        <v>2.2200000000000001E-2</v>
      </c>
      <c r="DU102" s="228">
        <v>140</v>
      </c>
      <c r="DV102" s="228">
        <v>125</v>
      </c>
      <c r="DW102" s="228">
        <v>0.33</v>
      </c>
      <c r="DX102" s="228">
        <v>0.28000000000000003</v>
      </c>
      <c r="DY102" s="228">
        <v>0.05</v>
      </c>
      <c r="DZ102" s="229">
        <v>0.17860000000000001</v>
      </c>
      <c r="EA102" s="229">
        <v>8.8499999999999995E-2</v>
      </c>
      <c r="EB102" s="230">
        <v>5559000</v>
      </c>
      <c r="EC102" s="229">
        <v>5.0000000000000001E-3</v>
      </c>
      <c r="ED102" s="229">
        <v>8.8499999999999995E-2</v>
      </c>
      <c r="EE102" s="228">
        <v>0.56000000000000005</v>
      </c>
      <c r="EF102" s="229">
        <v>4.4000000000000003E-3</v>
      </c>
      <c r="EG102" s="230">
        <v>3667092</v>
      </c>
      <c r="EH102" s="230">
        <v>3897523</v>
      </c>
      <c r="EI102" s="229">
        <v>-5.91E-2</v>
      </c>
      <c r="EJ102" s="229">
        <v>0.31929999999999997</v>
      </c>
      <c r="EK102" s="228">
        <v>376.39</v>
      </c>
      <c r="EL102" s="228">
        <v>111.94</v>
      </c>
      <c r="EM102" s="228">
        <v>141.37</v>
      </c>
      <c r="EN102" s="228">
        <v>39.270000000000003</v>
      </c>
      <c r="EO102" s="228">
        <v>629.71</v>
      </c>
      <c r="EP102" s="228">
        <v>913.36</v>
      </c>
      <c r="EQ102" s="228">
        <v>-283.64999999999998</v>
      </c>
      <c r="ER102" s="229">
        <v>-0.31059999999999999</v>
      </c>
      <c r="ES102" s="231">
        <v>1080.75</v>
      </c>
      <c r="ET102" s="228">
        <v>445.11</v>
      </c>
      <c r="EU102" s="228">
        <v>844.81</v>
      </c>
      <c r="EV102" s="231">
        <v>200960551</v>
      </c>
      <c r="EW102" s="231">
        <v>2370.67</v>
      </c>
      <c r="EX102" s="231">
        <v>2346.59</v>
      </c>
      <c r="EY102" s="228">
        <v>24.08</v>
      </c>
      <c r="EZ102" s="229">
        <v>1.03E-2</v>
      </c>
      <c r="FA102" s="229">
        <v>0.90300000000000002</v>
      </c>
      <c r="FB102" s="227" t="s">
        <v>555</v>
      </c>
      <c r="FC102">
        <f t="shared" si="1"/>
        <v>74</v>
      </c>
    </row>
    <row r="103" spans="1:159" ht="17.25" thickBot="1" x14ac:dyDescent="0.3">
      <c r="A103" s="226">
        <v>46029</v>
      </c>
      <c r="B103" s="227" t="s">
        <v>168</v>
      </c>
      <c r="C103" s="227" t="s">
        <v>242</v>
      </c>
      <c r="D103" s="228">
        <v>1600</v>
      </c>
      <c r="E103" s="228">
        <v>20</v>
      </c>
      <c r="F103" s="228">
        <v>342.9</v>
      </c>
      <c r="G103" s="228">
        <v>344.2</v>
      </c>
      <c r="H103" s="228">
        <v>-1.3</v>
      </c>
      <c r="I103" s="229">
        <v>-3.8E-3</v>
      </c>
      <c r="J103" s="228">
        <v>341.25</v>
      </c>
      <c r="K103" s="228">
        <v>342.45</v>
      </c>
      <c r="L103" s="228">
        <v>-1.2</v>
      </c>
      <c r="M103" s="229">
        <v>-3.5000000000000001E-3</v>
      </c>
      <c r="N103" s="228">
        <v>342.9</v>
      </c>
      <c r="O103" s="228">
        <v>344.2</v>
      </c>
      <c r="P103" s="228">
        <v>-1.3</v>
      </c>
      <c r="Q103" s="229">
        <v>-3.8E-3</v>
      </c>
      <c r="R103" s="228">
        <v>343.15</v>
      </c>
      <c r="S103" s="228">
        <v>344.75</v>
      </c>
      <c r="T103" s="228">
        <v>-1.6</v>
      </c>
      <c r="U103" s="229">
        <v>-4.5999999999999999E-3</v>
      </c>
      <c r="V103" s="228">
        <v>345.75</v>
      </c>
      <c r="W103" s="228">
        <v>347.2</v>
      </c>
      <c r="X103" s="228">
        <v>-1.45</v>
      </c>
      <c r="Y103" s="229">
        <v>-4.1999999999999997E-3</v>
      </c>
      <c r="Z103" s="228">
        <v>1.65</v>
      </c>
      <c r="AA103" s="228">
        <v>1.75</v>
      </c>
      <c r="AB103" s="228">
        <v>-0.1</v>
      </c>
      <c r="AC103" s="229">
        <v>4.7999999999999996E-3</v>
      </c>
      <c r="AD103" s="228">
        <v>1.65</v>
      </c>
      <c r="AE103" s="228">
        <v>1.75</v>
      </c>
      <c r="AF103" s="228">
        <v>-0.1</v>
      </c>
      <c r="AG103" s="229">
        <v>4.7999999999999996E-3</v>
      </c>
      <c r="AH103" s="228">
        <v>1.9</v>
      </c>
      <c r="AI103" s="228">
        <v>2.2999999999999998</v>
      </c>
      <c r="AJ103" s="228">
        <v>-0.4</v>
      </c>
      <c r="AK103" s="229">
        <v>5.5999999999999999E-3</v>
      </c>
      <c r="AL103" s="228">
        <v>4.5</v>
      </c>
      <c r="AM103" s="228">
        <v>4.75</v>
      </c>
      <c r="AN103" s="228">
        <v>-0.25</v>
      </c>
      <c r="AO103" s="229">
        <v>1.32E-2</v>
      </c>
      <c r="AP103" s="228">
        <v>343.16</v>
      </c>
      <c r="AQ103" s="228">
        <v>343.61</v>
      </c>
      <c r="AR103" s="228">
        <v>0</v>
      </c>
      <c r="AS103" s="228">
        <v>855</v>
      </c>
      <c r="AT103" s="230">
        <v>2195</v>
      </c>
      <c r="AU103" s="230">
        <v>-1339</v>
      </c>
      <c r="AV103" s="229">
        <v>-0.61019999999999996</v>
      </c>
      <c r="AW103" s="228">
        <v>694</v>
      </c>
      <c r="AX103" s="230">
        <v>1832</v>
      </c>
      <c r="AY103" s="230">
        <v>-1138</v>
      </c>
      <c r="AZ103" s="229">
        <v>-0.62139999999999995</v>
      </c>
      <c r="BA103" s="228">
        <v>132</v>
      </c>
      <c r="BB103" s="228">
        <v>305</v>
      </c>
      <c r="BC103" s="228">
        <v>-173</v>
      </c>
      <c r="BD103" s="229">
        <v>-0.5665</v>
      </c>
      <c r="BE103" s="228">
        <v>30</v>
      </c>
      <c r="BF103" s="228">
        <v>58</v>
      </c>
      <c r="BG103" s="228">
        <v>-29</v>
      </c>
      <c r="BH103" s="229">
        <v>-0.48920000000000002</v>
      </c>
      <c r="BI103" s="230">
        <v>8664</v>
      </c>
      <c r="BJ103" s="230">
        <v>19733</v>
      </c>
      <c r="BK103" s="230">
        <v>-11068</v>
      </c>
      <c r="BL103" s="229">
        <v>-0.56089999999999995</v>
      </c>
      <c r="BM103" s="230">
        <v>3342</v>
      </c>
      <c r="BN103" s="230">
        <v>8107</v>
      </c>
      <c r="BO103" s="230">
        <v>-4765</v>
      </c>
      <c r="BP103" s="229">
        <v>-0.58779999999999999</v>
      </c>
      <c r="BQ103" s="230">
        <v>12862</v>
      </c>
      <c r="BR103" s="230">
        <v>30035</v>
      </c>
      <c r="BS103" s="230">
        <v>-17173</v>
      </c>
      <c r="BT103" s="229">
        <v>-0.57179999999999997</v>
      </c>
      <c r="BU103" s="230">
        <v>31497241</v>
      </c>
      <c r="BV103" s="230">
        <v>76438159</v>
      </c>
      <c r="BW103" s="230">
        <v>-44940918</v>
      </c>
      <c r="BX103" s="229">
        <v>-0.58789999999999998</v>
      </c>
      <c r="BY103" s="230">
        <v>8591</v>
      </c>
      <c r="BZ103" s="230">
        <v>8491</v>
      </c>
      <c r="CA103" s="228">
        <v>100</v>
      </c>
      <c r="CB103" s="229">
        <v>1.18E-2</v>
      </c>
      <c r="CC103" s="230">
        <v>7413</v>
      </c>
      <c r="CD103" s="230">
        <v>7374</v>
      </c>
      <c r="CE103" s="228">
        <v>39</v>
      </c>
      <c r="CF103" s="229">
        <v>5.1999999999999998E-3</v>
      </c>
      <c r="CG103" s="228">
        <v>986</v>
      </c>
      <c r="CH103" s="228">
        <v>937</v>
      </c>
      <c r="CI103" s="228">
        <v>48</v>
      </c>
      <c r="CJ103" s="229">
        <v>5.1700000000000003E-2</v>
      </c>
      <c r="CK103" s="228">
        <v>192</v>
      </c>
      <c r="CL103" s="228">
        <v>180</v>
      </c>
      <c r="CM103" s="228">
        <v>13</v>
      </c>
      <c r="CN103" s="229">
        <v>7.1499999999999994E-2</v>
      </c>
      <c r="CO103" s="230">
        <v>12565</v>
      </c>
      <c r="CP103" s="230">
        <v>12095</v>
      </c>
      <c r="CQ103" s="228">
        <v>470</v>
      </c>
      <c r="CR103" s="229">
        <v>3.8899999999999997E-2</v>
      </c>
      <c r="CS103" s="230">
        <v>4686</v>
      </c>
      <c r="CT103" s="230">
        <v>4534</v>
      </c>
      <c r="CU103" s="228">
        <v>153</v>
      </c>
      <c r="CV103" s="229">
        <v>3.3700000000000001E-2</v>
      </c>
      <c r="CW103" s="230">
        <v>25843</v>
      </c>
      <c r="CX103" s="230">
        <v>25120</v>
      </c>
      <c r="CY103" s="228">
        <v>723</v>
      </c>
      <c r="CZ103" s="229">
        <v>2.8799999999999999E-2</v>
      </c>
      <c r="DA103" s="228">
        <v>23.09</v>
      </c>
      <c r="DB103" s="228">
        <v>23.11</v>
      </c>
      <c r="DC103" s="228">
        <v>-0.02</v>
      </c>
      <c r="DD103" s="228">
        <v>-0.02</v>
      </c>
      <c r="DE103" s="228">
        <v>23.34</v>
      </c>
      <c r="DF103" s="228">
        <v>23.4</v>
      </c>
      <c r="DG103" s="228">
        <v>-0.25</v>
      </c>
      <c r="DH103" s="228">
        <v>-0.06</v>
      </c>
      <c r="DI103" s="228">
        <v>23.63</v>
      </c>
      <c r="DJ103" s="228">
        <v>23.72</v>
      </c>
      <c r="DK103" s="228">
        <v>-0.09</v>
      </c>
      <c r="DL103" s="228">
        <v>-0.09</v>
      </c>
      <c r="DM103" s="228">
        <v>21.69</v>
      </c>
      <c r="DN103" s="228">
        <v>21.6</v>
      </c>
      <c r="DO103" s="228">
        <v>0.09</v>
      </c>
      <c r="DP103" s="228">
        <v>0.09</v>
      </c>
      <c r="DQ103" s="228">
        <v>0.37</v>
      </c>
      <c r="DR103" s="228">
        <v>0.37</v>
      </c>
      <c r="DS103" s="228">
        <v>0</v>
      </c>
      <c r="DT103" s="229">
        <v>0</v>
      </c>
      <c r="DU103" s="228">
        <v>400</v>
      </c>
      <c r="DV103" s="228">
        <v>350</v>
      </c>
      <c r="DW103" s="228">
        <v>0.39</v>
      </c>
      <c r="DX103" s="228">
        <v>0.41</v>
      </c>
      <c r="DY103" s="228">
        <v>-0.02</v>
      </c>
      <c r="DZ103" s="229">
        <v>-4.8800000000000003E-2</v>
      </c>
      <c r="EA103" s="229">
        <v>0.1371</v>
      </c>
      <c r="EB103" s="230">
        <v>32568000</v>
      </c>
      <c r="EC103" s="229">
        <v>6.9999999999999999E-4</v>
      </c>
      <c r="ED103" s="229">
        <v>0.1371</v>
      </c>
      <c r="EE103" s="228">
        <v>0.45</v>
      </c>
      <c r="EF103" s="229">
        <v>1.2999999999999999E-3</v>
      </c>
      <c r="EG103" s="230">
        <v>19862953</v>
      </c>
      <c r="EH103" s="230">
        <v>46689412</v>
      </c>
      <c r="EI103" s="229">
        <v>-0.5746</v>
      </c>
      <c r="EJ103" s="229">
        <v>0.63060000000000005</v>
      </c>
      <c r="EK103" s="231">
        <v>9269.9</v>
      </c>
      <c r="EL103" s="231">
        <v>3314.9</v>
      </c>
      <c r="EM103" s="228">
        <v>856.58</v>
      </c>
      <c r="EN103" s="228">
        <v>566.52</v>
      </c>
      <c r="EO103" s="231">
        <v>13441.38</v>
      </c>
      <c r="EP103" s="231">
        <v>31630.95</v>
      </c>
      <c r="EQ103" s="231">
        <v>-18189.57</v>
      </c>
      <c r="ER103" s="229">
        <v>-0.57509999999999994</v>
      </c>
      <c r="ES103" s="231">
        <v>13819.81</v>
      </c>
      <c r="ET103" s="231">
        <v>4809.71</v>
      </c>
      <c r="EU103" s="231">
        <v>8593.25</v>
      </c>
      <c r="EV103" s="231">
        <v>1252401670</v>
      </c>
      <c r="EW103" s="231">
        <v>27222.77</v>
      </c>
      <c r="EX103" s="231">
        <v>26545.84</v>
      </c>
      <c r="EY103" s="228">
        <v>676.93</v>
      </c>
      <c r="EZ103" s="229">
        <v>2.5499999999999998E-2</v>
      </c>
      <c r="FA103" s="229">
        <v>0.6018</v>
      </c>
      <c r="FB103" s="227" t="s">
        <v>567</v>
      </c>
      <c r="FC103">
        <f t="shared" si="1"/>
        <v>1178</v>
      </c>
    </row>
    <row r="104" spans="1:159" ht="17.25" thickBot="1" x14ac:dyDescent="0.3">
      <c r="A104" s="226">
        <v>46029</v>
      </c>
      <c r="B104" s="227" t="s">
        <v>227</v>
      </c>
      <c r="C104" s="227" t="s">
        <v>243</v>
      </c>
      <c r="D104" s="228">
        <v>625</v>
      </c>
      <c r="E104" s="228">
        <v>20</v>
      </c>
      <c r="F104" s="231">
        <v>1077.3</v>
      </c>
      <c r="G104" s="231">
        <v>1083.5999999999999</v>
      </c>
      <c r="H104" s="228">
        <v>-6.3</v>
      </c>
      <c r="I104" s="229">
        <v>-5.7999999999999996E-3</v>
      </c>
      <c r="J104" s="231">
        <v>1074.7</v>
      </c>
      <c r="K104" s="231">
        <v>1079.8</v>
      </c>
      <c r="L104" s="228">
        <v>-5.0999999999999996</v>
      </c>
      <c r="M104" s="229">
        <v>-4.7000000000000002E-3</v>
      </c>
      <c r="N104" s="231">
        <v>1077.3</v>
      </c>
      <c r="O104" s="231">
        <v>1083.5999999999999</v>
      </c>
      <c r="P104" s="228">
        <v>-6.3</v>
      </c>
      <c r="Q104" s="229">
        <v>-5.7999999999999996E-3</v>
      </c>
      <c r="R104" s="231">
        <v>1083.7</v>
      </c>
      <c r="S104" s="231">
        <v>1090.4000000000001</v>
      </c>
      <c r="T104" s="228">
        <v>-6.7</v>
      </c>
      <c r="U104" s="229">
        <v>-6.1000000000000004E-3</v>
      </c>
      <c r="V104" s="231">
        <v>1090.2</v>
      </c>
      <c r="W104" s="231">
        <v>1096.2</v>
      </c>
      <c r="X104" s="228">
        <v>-6</v>
      </c>
      <c r="Y104" s="229">
        <v>-5.4999999999999997E-3</v>
      </c>
      <c r="Z104" s="228">
        <v>2.6</v>
      </c>
      <c r="AA104" s="228">
        <v>3.8</v>
      </c>
      <c r="AB104" s="228">
        <v>-1.2</v>
      </c>
      <c r="AC104" s="229">
        <v>2.3999999999999998E-3</v>
      </c>
      <c r="AD104" s="228">
        <v>2.6</v>
      </c>
      <c r="AE104" s="228">
        <v>3.8</v>
      </c>
      <c r="AF104" s="228">
        <v>-1.2</v>
      </c>
      <c r="AG104" s="229">
        <v>2.3999999999999998E-3</v>
      </c>
      <c r="AH104" s="228">
        <v>9</v>
      </c>
      <c r="AI104" s="228">
        <v>10.6</v>
      </c>
      <c r="AJ104" s="228">
        <v>-1.6</v>
      </c>
      <c r="AK104" s="229">
        <v>8.3999999999999995E-3</v>
      </c>
      <c r="AL104" s="228">
        <v>15.5</v>
      </c>
      <c r="AM104" s="228">
        <v>16.399999999999999</v>
      </c>
      <c r="AN104" s="228">
        <v>-0.9</v>
      </c>
      <c r="AO104" s="229">
        <v>1.44E-2</v>
      </c>
      <c r="AP104" s="231">
        <v>1079.6600000000001</v>
      </c>
      <c r="AQ104" s="231">
        <v>1086.93</v>
      </c>
      <c r="AR104" s="228">
        <v>0</v>
      </c>
      <c r="AS104" s="228">
        <v>234</v>
      </c>
      <c r="AT104" s="228">
        <v>216</v>
      </c>
      <c r="AU104" s="228">
        <v>18</v>
      </c>
      <c r="AV104" s="229">
        <v>8.1699999999999995E-2</v>
      </c>
      <c r="AW104" s="228">
        <v>230</v>
      </c>
      <c r="AX104" s="228">
        <v>211</v>
      </c>
      <c r="AY104" s="228">
        <v>19</v>
      </c>
      <c r="AZ104" s="229">
        <v>9.11E-2</v>
      </c>
      <c r="BA104" s="228">
        <v>3</v>
      </c>
      <c r="BB104" s="228">
        <v>4</v>
      </c>
      <c r="BC104" s="228">
        <v>-1</v>
      </c>
      <c r="BD104" s="229">
        <v>-0.16669999999999999</v>
      </c>
      <c r="BE104" s="228">
        <v>1</v>
      </c>
      <c r="BF104" s="228">
        <v>2</v>
      </c>
      <c r="BG104" s="228">
        <v>-1</v>
      </c>
      <c r="BH104" s="229">
        <v>-0.60870000000000002</v>
      </c>
      <c r="BI104" s="228">
        <v>392</v>
      </c>
      <c r="BJ104" s="228">
        <v>543</v>
      </c>
      <c r="BK104" s="228">
        <v>-151</v>
      </c>
      <c r="BL104" s="229">
        <v>-0.27839999999999998</v>
      </c>
      <c r="BM104" s="228">
        <v>438</v>
      </c>
      <c r="BN104" s="228">
        <v>282</v>
      </c>
      <c r="BO104" s="228">
        <v>156</v>
      </c>
      <c r="BP104" s="229">
        <v>0.55559999999999998</v>
      </c>
      <c r="BQ104" s="230">
        <v>1063</v>
      </c>
      <c r="BR104" s="230">
        <v>1041</v>
      </c>
      <c r="BS104" s="228">
        <v>23</v>
      </c>
      <c r="BT104" s="229">
        <v>2.2100000000000002E-2</v>
      </c>
      <c r="BU104" s="230">
        <v>571515</v>
      </c>
      <c r="BV104" s="230">
        <v>1128233</v>
      </c>
      <c r="BW104" s="230">
        <v>-556718</v>
      </c>
      <c r="BX104" s="229">
        <v>-0.49340000000000001</v>
      </c>
      <c r="BY104" s="230">
        <v>1394</v>
      </c>
      <c r="BZ104" s="230">
        <v>1357</v>
      </c>
      <c r="CA104" s="228">
        <v>37</v>
      </c>
      <c r="CB104" s="229">
        <v>2.7099999999999999E-2</v>
      </c>
      <c r="CC104" s="230">
        <v>1377</v>
      </c>
      <c r="CD104" s="230">
        <v>1340</v>
      </c>
      <c r="CE104" s="228">
        <v>36</v>
      </c>
      <c r="CF104" s="229">
        <v>2.7E-2</v>
      </c>
      <c r="CG104" s="228">
        <v>16</v>
      </c>
      <c r="CH104" s="228">
        <v>15</v>
      </c>
      <c r="CI104" s="228">
        <v>1</v>
      </c>
      <c r="CJ104" s="229">
        <v>3.5099999999999999E-2</v>
      </c>
      <c r="CK104" s="228">
        <v>2</v>
      </c>
      <c r="CL104" s="228">
        <v>2</v>
      </c>
      <c r="CM104" s="228">
        <v>0</v>
      </c>
      <c r="CN104" s="229">
        <v>4.1700000000000001E-2</v>
      </c>
      <c r="CO104" s="228">
        <v>457</v>
      </c>
      <c r="CP104" s="228">
        <v>437</v>
      </c>
      <c r="CQ104" s="228">
        <v>19</v>
      </c>
      <c r="CR104" s="229">
        <v>4.4499999999999998E-2</v>
      </c>
      <c r="CS104" s="228">
        <v>466</v>
      </c>
      <c r="CT104" s="228">
        <v>411</v>
      </c>
      <c r="CU104" s="228">
        <v>55</v>
      </c>
      <c r="CV104" s="229">
        <v>0.13389999999999999</v>
      </c>
      <c r="CW104" s="230">
        <v>2317</v>
      </c>
      <c r="CX104" s="230">
        <v>2206</v>
      </c>
      <c r="CY104" s="228">
        <v>111</v>
      </c>
      <c r="CZ104" s="229">
        <v>5.0500000000000003E-2</v>
      </c>
      <c r="DA104" s="228">
        <v>26.62</v>
      </c>
      <c r="DB104" s="228">
        <v>25.63</v>
      </c>
      <c r="DC104" s="228">
        <v>0.99</v>
      </c>
      <c r="DD104" s="228">
        <v>0.99</v>
      </c>
      <c r="DE104" s="228">
        <v>34.03</v>
      </c>
      <c r="DF104" s="228">
        <v>34.11</v>
      </c>
      <c r="DG104" s="228">
        <v>-7.41</v>
      </c>
      <c r="DH104" s="228">
        <v>-0.08</v>
      </c>
      <c r="DI104" s="228">
        <v>26.33</v>
      </c>
      <c r="DJ104" s="228">
        <v>25.23</v>
      </c>
      <c r="DK104" s="228">
        <v>1.1000000000000001</v>
      </c>
      <c r="DL104" s="228">
        <v>1.1000000000000001</v>
      </c>
      <c r="DM104" s="228">
        <v>26.87</v>
      </c>
      <c r="DN104" s="228">
        <v>26.39</v>
      </c>
      <c r="DO104" s="228">
        <v>0.48</v>
      </c>
      <c r="DP104" s="228">
        <v>0.48</v>
      </c>
      <c r="DQ104" s="228">
        <v>1.02</v>
      </c>
      <c r="DR104" s="228">
        <v>0.94</v>
      </c>
      <c r="DS104" s="228">
        <v>0.08</v>
      </c>
      <c r="DT104" s="229">
        <v>8.5099999999999995E-2</v>
      </c>
      <c r="DU104" s="231">
        <v>1100</v>
      </c>
      <c r="DV104" s="231">
        <v>1000</v>
      </c>
      <c r="DW104" s="228">
        <v>1.1200000000000001</v>
      </c>
      <c r="DX104" s="228">
        <v>0.52</v>
      </c>
      <c r="DY104" s="228">
        <v>0.6</v>
      </c>
      <c r="DZ104" s="229">
        <v>1.1537999999999999</v>
      </c>
      <c r="EA104" s="229">
        <v>1.26E-2</v>
      </c>
      <c r="EB104" s="230">
        <v>157500</v>
      </c>
      <c r="EC104" s="229">
        <v>5.8999999999999999E-3</v>
      </c>
      <c r="ED104" s="229">
        <v>1.26E-2</v>
      </c>
      <c r="EE104" s="228">
        <v>7.27</v>
      </c>
      <c r="EF104" s="229">
        <v>6.7000000000000002E-3</v>
      </c>
      <c r="EG104" s="230">
        <v>190940</v>
      </c>
      <c r="EH104" s="230">
        <v>473878</v>
      </c>
      <c r="EI104" s="229">
        <v>-0.59709999999999996</v>
      </c>
      <c r="EJ104" s="229">
        <v>0.33410000000000001</v>
      </c>
      <c r="EK104" s="228">
        <v>409.14</v>
      </c>
      <c r="EL104" s="228">
        <v>434.69</v>
      </c>
      <c r="EM104" s="228">
        <v>234.04</v>
      </c>
      <c r="EN104" s="228">
        <v>53.69</v>
      </c>
      <c r="EO104" s="231">
        <v>1077.8699999999999</v>
      </c>
      <c r="EP104" s="231">
        <v>1060.52</v>
      </c>
      <c r="EQ104" s="228">
        <v>17.350000000000001</v>
      </c>
      <c r="ER104" s="229">
        <v>1.6400000000000001E-2</v>
      </c>
      <c r="ES104" s="228">
        <v>468.37</v>
      </c>
      <c r="ET104" s="228">
        <v>441.17</v>
      </c>
      <c r="EU104" s="231">
        <v>1394.21</v>
      </c>
      <c r="EV104" s="231">
        <v>48257090</v>
      </c>
      <c r="EW104" s="231">
        <v>2303.75</v>
      </c>
      <c r="EX104" s="231">
        <v>2200.12</v>
      </c>
      <c r="EY104" s="228">
        <v>103.63</v>
      </c>
      <c r="EZ104" s="229">
        <v>4.7100000000000003E-2</v>
      </c>
      <c r="FA104" s="229">
        <v>0.44569999999999999</v>
      </c>
      <c r="FB104" s="227" t="s">
        <v>567</v>
      </c>
      <c r="FC104">
        <f t="shared" si="1"/>
        <v>17</v>
      </c>
    </row>
    <row r="105" spans="1:159" ht="17.25" thickBot="1" x14ac:dyDescent="0.3">
      <c r="A105" s="226">
        <v>46029</v>
      </c>
      <c r="B105" s="227" t="s">
        <v>175</v>
      </c>
      <c r="C105" s="227" t="s">
        <v>570</v>
      </c>
      <c r="D105" s="228">
        <v>2350</v>
      </c>
      <c r="E105" s="228">
        <v>20</v>
      </c>
      <c r="F105" s="228">
        <v>305.10000000000002</v>
      </c>
      <c r="G105" s="228">
        <v>299.2</v>
      </c>
      <c r="H105" s="228">
        <v>5.9</v>
      </c>
      <c r="I105" s="229">
        <v>1.9699999999999999E-2</v>
      </c>
      <c r="J105" s="228">
        <v>303.5</v>
      </c>
      <c r="K105" s="228">
        <v>298.55</v>
      </c>
      <c r="L105" s="228">
        <v>4.95</v>
      </c>
      <c r="M105" s="229">
        <v>1.66E-2</v>
      </c>
      <c r="N105" s="228">
        <v>305.10000000000002</v>
      </c>
      <c r="O105" s="228">
        <v>299.2</v>
      </c>
      <c r="P105" s="228">
        <v>5.9</v>
      </c>
      <c r="Q105" s="229">
        <v>1.9699999999999999E-2</v>
      </c>
      <c r="R105" s="228">
        <v>306.8</v>
      </c>
      <c r="S105" s="228">
        <v>300.95</v>
      </c>
      <c r="T105" s="228">
        <v>5.85</v>
      </c>
      <c r="U105" s="229">
        <v>1.9400000000000001E-2</v>
      </c>
      <c r="V105" s="228">
        <v>308.7</v>
      </c>
      <c r="W105" s="228">
        <v>302.8</v>
      </c>
      <c r="X105" s="228">
        <v>5.9</v>
      </c>
      <c r="Y105" s="229">
        <v>1.95E-2</v>
      </c>
      <c r="Z105" s="228">
        <v>1.6</v>
      </c>
      <c r="AA105" s="228">
        <v>0.65</v>
      </c>
      <c r="AB105" s="228">
        <v>0.95</v>
      </c>
      <c r="AC105" s="229">
        <v>5.3E-3</v>
      </c>
      <c r="AD105" s="228">
        <v>1.6</v>
      </c>
      <c r="AE105" s="228">
        <v>0.65</v>
      </c>
      <c r="AF105" s="228">
        <v>0.95</v>
      </c>
      <c r="AG105" s="229">
        <v>5.3E-3</v>
      </c>
      <c r="AH105" s="228">
        <v>3.3</v>
      </c>
      <c r="AI105" s="228">
        <v>2.4</v>
      </c>
      <c r="AJ105" s="228">
        <v>0.9</v>
      </c>
      <c r="AK105" s="229">
        <v>1.09E-2</v>
      </c>
      <c r="AL105" s="228">
        <v>5.2</v>
      </c>
      <c r="AM105" s="228">
        <v>4.25</v>
      </c>
      <c r="AN105" s="228">
        <v>0.95</v>
      </c>
      <c r="AO105" s="229">
        <v>1.7100000000000001E-2</v>
      </c>
      <c r="AP105" s="228">
        <v>304.62</v>
      </c>
      <c r="AQ105" s="228">
        <v>306.01</v>
      </c>
      <c r="AR105" s="228">
        <v>0</v>
      </c>
      <c r="AS105" s="230">
        <v>1238</v>
      </c>
      <c r="AT105" s="228">
        <v>719</v>
      </c>
      <c r="AU105" s="228">
        <v>518</v>
      </c>
      <c r="AV105" s="229">
        <v>0.72070000000000001</v>
      </c>
      <c r="AW105" s="230">
        <v>1135</v>
      </c>
      <c r="AX105" s="228">
        <v>651</v>
      </c>
      <c r="AY105" s="228">
        <v>484</v>
      </c>
      <c r="AZ105" s="229">
        <v>0.74399999999999999</v>
      </c>
      <c r="BA105" s="228">
        <v>89</v>
      </c>
      <c r="BB105" s="228">
        <v>52</v>
      </c>
      <c r="BC105" s="228">
        <v>37</v>
      </c>
      <c r="BD105" s="229">
        <v>0.71289999999999998</v>
      </c>
      <c r="BE105" s="228">
        <v>13</v>
      </c>
      <c r="BF105" s="228">
        <v>16</v>
      </c>
      <c r="BG105" s="228">
        <v>-3</v>
      </c>
      <c r="BH105" s="229">
        <v>-0.17979999999999999</v>
      </c>
      <c r="BI105" s="230">
        <v>4043</v>
      </c>
      <c r="BJ105" s="230">
        <v>1935</v>
      </c>
      <c r="BK105" s="230">
        <v>2108</v>
      </c>
      <c r="BL105" s="229">
        <v>1.0896999999999999</v>
      </c>
      <c r="BM105" s="230">
        <v>1242</v>
      </c>
      <c r="BN105" s="228">
        <v>896</v>
      </c>
      <c r="BO105" s="228">
        <v>346</v>
      </c>
      <c r="BP105" s="229">
        <v>0.38650000000000001</v>
      </c>
      <c r="BQ105" s="230">
        <v>6523</v>
      </c>
      <c r="BR105" s="230">
        <v>3550</v>
      </c>
      <c r="BS105" s="230">
        <v>2973</v>
      </c>
      <c r="BT105" s="229">
        <v>0.83750000000000002</v>
      </c>
      <c r="BU105" s="230">
        <v>21013924</v>
      </c>
      <c r="BV105" s="230">
        <v>11332642</v>
      </c>
      <c r="BW105" s="230">
        <v>9681282</v>
      </c>
      <c r="BX105" s="229">
        <v>0.85429999999999995</v>
      </c>
      <c r="BY105" s="230">
        <v>4878</v>
      </c>
      <c r="BZ105" s="230">
        <v>4779</v>
      </c>
      <c r="CA105" s="228">
        <v>98</v>
      </c>
      <c r="CB105" s="229">
        <v>2.06E-2</v>
      </c>
      <c r="CC105" s="230">
        <v>4641</v>
      </c>
      <c r="CD105" s="230">
        <v>4552</v>
      </c>
      <c r="CE105" s="228">
        <v>89</v>
      </c>
      <c r="CF105" s="229">
        <v>1.9599999999999999E-2</v>
      </c>
      <c r="CG105" s="228">
        <v>220</v>
      </c>
      <c r="CH105" s="228">
        <v>209</v>
      </c>
      <c r="CI105" s="228">
        <v>11</v>
      </c>
      <c r="CJ105" s="229">
        <v>5.2900000000000003E-2</v>
      </c>
      <c r="CK105" s="228">
        <v>16</v>
      </c>
      <c r="CL105" s="228">
        <v>18</v>
      </c>
      <c r="CM105" s="228">
        <v>-2</v>
      </c>
      <c r="CN105" s="229">
        <v>-0.1128</v>
      </c>
      <c r="CO105" s="230">
        <v>1657</v>
      </c>
      <c r="CP105" s="230">
        <v>1618</v>
      </c>
      <c r="CQ105" s="228">
        <v>39</v>
      </c>
      <c r="CR105" s="229">
        <v>2.4199999999999999E-2</v>
      </c>
      <c r="CS105" s="230">
        <v>1282</v>
      </c>
      <c r="CT105" s="230">
        <v>1227</v>
      </c>
      <c r="CU105" s="228">
        <v>55</v>
      </c>
      <c r="CV105" s="229">
        <v>4.4900000000000002E-2</v>
      </c>
      <c r="CW105" s="230">
        <v>7817</v>
      </c>
      <c r="CX105" s="230">
        <v>7625</v>
      </c>
      <c r="CY105" s="228">
        <v>193</v>
      </c>
      <c r="CZ105" s="229">
        <v>2.53E-2</v>
      </c>
      <c r="DA105" s="228">
        <v>26.52</v>
      </c>
      <c r="DB105" s="228">
        <v>25.77</v>
      </c>
      <c r="DC105" s="228">
        <v>0.75</v>
      </c>
      <c r="DD105" s="228">
        <v>0.75</v>
      </c>
      <c r="DE105" s="228">
        <v>33.26</v>
      </c>
      <c r="DF105" s="228">
        <v>33.24</v>
      </c>
      <c r="DG105" s="228">
        <v>-6.74</v>
      </c>
      <c r="DH105" s="228">
        <v>0.02</v>
      </c>
      <c r="DI105" s="228">
        <v>26.62</v>
      </c>
      <c r="DJ105" s="228">
        <v>25.76</v>
      </c>
      <c r="DK105" s="228">
        <v>0.86</v>
      </c>
      <c r="DL105" s="228">
        <v>0.86</v>
      </c>
      <c r="DM105" s="228">
        <v>26.18</v>
      </c>
      <c r="DN105" s="228">
        <v>25.8</v>
      </c>
      <c r="DO105" s="228">
        <v>0.38</v>
      </c>
      <c r="DP105" s="228">
        <v>0.38</v>
      </c>
      <c r="DQ105" s="228">
        <v>0.77</v>
      </c>
      <c r="DR105" s="228">
        <v>0.76</v>
      </c>
      <c r="DS105" s="228">
        <v>0.01</v>
      </c>
      <c r="DT105" s="229">
        <v>1.32E-2</v>
      </c>
      <c r="DU105" s="228">
        <v>310</v>
      </c>
      <c r="DV105" s="228">
        <v>290</v>
      </c>
      <c r="DW105" s="228">
        <v>0.31</v>
      </c>
      <c r="DX105" s="228">
        <v>0.46</v>
      </c>
      <c r="DY105" s="228">
        <v>-0.15</v>
      </c>
      <c r="DZ105" s="229">
        <v>-0.3261</v>
      </c>
      <c r="EA105" s="229">
        <v>4.8399999999999999E-2</v>
      </c>
      <c r="EB105" s="230">
        <v>7449500</v>
      </c>
      <c r="EC105" s="229">
        <v>5.5999999999999999E-3</v>
      </c>
      <c r="ED105" s="229">
        <v>4.8399999999999999E-2</v>
      </c>
      <c r="EE105" s="228">
        <v>1.39</v>
      </c>
      <c r="EF105" s="229">
        <v>4.5999999999999999E-3</v>
      </c>
      <c r="EG105" s="230">
        <v>12141949</v>
      </c>
      <c r="EH105" s="230">
        <v>4967401</v>
      </c>
      <c r="EI105" s="229">
        <v>1.4442999999999999</v>
      </c>
      <c r="EJ105" s="229">
        <v>0.57779999999999998</v>
      </c>
      <c r="EK105" s="231">
        <v>4214.24</v>
      </c>
      <c r="EL105" s="231">
        <v>1224.1300000000001</v>
      </c>
      <c r="EM105" s="231">
        <v>1236.4000000000001</v>
      </c>
      <c r="EN105" s="228">
        <v>70.680000000000007</v>
      </c>
      <c r="EO105" s="231">
        <v>6674.78</v>
      </c>
      <c r="EP105" s="231">
        <v>3567.01</v>
      </c>
      <c r="EQ105" s="231">
        <v>3107.76</v>
      </c>
      <c r="ER105" s="229">
        <v>0.87129999999999996</v>
      </c>
      <c r="ES105" s="231">
        <v>1708.34</v>
      </c>
      <c r="ET105" s="231">
        <v>1263.4100000000001</v>
      </c>
      <c r="EU105" s="231">
        <v>4879.1400000000003</v>
      </c>
      <c r="EV105" s="231">
        <v>355358091</v>
      </c>
      <c r="EW105" s="231">
        <v>7850.88</v>
      </c>
      <c r="EX105" s="231">
        <v>7564.2</v>
      </c>
      <c r="EY105" s="228">
        <v>286.68</v>
      </c>
      <c r="EZ105" s="229">
        <v>3.7900000000000003E-2</v>
      </c>
      <c r="FA105" s="229">
        <v>0.72099999999999997</v>
      </c>
      <c r="FB105" s="227" t="s">
        <v>555</v>
      </c>
      <c r="FC105">
        <f t="shared" si="1"/>
        <v>237</v>
      </c>
    </row>
    <row r="106" spans="1:159" ht="17.25" thickBot="1" x14ac:dyDescent="0.3">
      <c r="A106" s="226">
        <v>46029</v>
      </c>
      <c r="B106" s="227" t="s">
        <v>161</v>
      </c>
      <c r="C106" s="227" t="s">
        <v>580</v>
      </c>
      <c r="D106" s="228">
        <v>1000</v>
      </c>
      <c r="E106" s="228">
        <v>20</v>
      </c>
      <c r="F106" s="228">
        <v>513.6</v>
      </c>
      <c r="G106" s="228">
        <v>516.70000000000005</v>
      </c>
      <c r="H106" s="228">
        <v>-3.1</v>
      </c>
      <c r="I106" s="229">
        <v>-6.0000000000000001E-3</v>
      </c>
      <c r="J106" s="228">
        <v>512.6</v>
      </c>
      <c r="K106" s="228">
        <v>514.85</v>
      </c>
      <c r="L106" s="228">
        <v>-2.25</v>
      </c>
      <c r="M106" s="229">
        <v>-4.4000000000000003E-3</v>
      </c>
      <c r="N106" s="228">
        <v>513.6</v>
      </c>
      <c r="O106" s="228">
        <v>516.70000000000005</v>
      </c>
      <c r="P106" s="228">
        <v>-3.1</v>
      </c>
      <c r="Q106" s="229">
        <v>-6.0000000000000001E-3</v>
      </c>
      <c r="R106" s="228">
        <v>516.79999999999995</v>
      </c>
      <c r="S106" s="228">
        <v>518.79999999999995</v>
      </c>
      <c r="T106" s="228">
        <v>-2</v>
      </c>
      <c r="U106" s="229">
        <v>-3.8999999999999998E-3</v>
      </c>
      <c r="V106" s="228">
        <v>518.15</v>
      </c>
      <c r="W106" s="228">
        <v>522</v>
      </c>
      <c r="X106" s="228">
        <v>-3.85</v>
      </c>
      <c r="Y106" s="229">
        <v>-7.4000000000000003E-3</v>
      </c>
      <c r="Z106" s="228">
        <v>1</v>
      </c>
      <c r="AA106" s="228">
        <v>1.85</v>
      </c>
      <c r="AB106" s="228">
        <v>-0.85</v>
      </c>
      <c r="AC106" s="229">
        <v>2E-3</v>
      </c>
      <c r="AD106" s="228">
        <v>1</v>
      </c>
      <c r="AE106" s="228">
        <v>1.85</v>
      </c>
      <c r="AF106" s="228">
        <v>-0.85</v>
      </c>
      <c r="AG106" s="229">
        <v>2E-3</v>
      </c>
      <c r="AH106" s="228">
        <v>4.2</v>
      </c>
      <c r="AI106" s="228">
        <v>3.95</v>
      </c>
      <c r="AJ106" s="228">
        <v>0.25</v>
      </c>
      <c r="AK106" s="229">
        <v>8.2000000000000007E-3</v>
      </c>
      <c r="AL106" s="228">
        <v>5.55</v>
      </c>
      <c r="AM106" s="228">
        <v>7.15</v>
      </c>
      <c r="AN106" s="228">
        <v>-1.6</v>
      </c>
      <c r="AO106" s="229">
        <v>1.0800000000000001E-2</v>
      </c>
      <c r="AP106" s="228">
        <v>513.70000000000005</v>
      </c>
      <c r="AQ106" s="228">
        <v>516.14</v>
      </c>
      <c r="AR106" s="228">
        <v>0</v>
      </c>
      <c r="AS106" s="228">
        <v>141</v>
      </c>
      <c r="AT106" s="228">
        <v>144</v>
      </c>
      <c r="AU106" s="228">
        <v>-4</v>
      </c>
      <c r="AV106" s="229">
        <v>-2.4899999999999999E-2</v>
      </c>
      <c r="AW106" s="228">
        <v>135</v>
      </c>
      <c r="AX106" s="228">
        <v>142</v>
      </c>
      <c r="AY106" s="228">
        <v>-7</v>
      </c>
      <c r="AZ106" s="229">
        <v>-5.0700000000000002E-2</v>
      </c>
      <c r="BA106" s="228">
        <v>6</v>
      </c>
      <c r="BB106" s="228">
        <v>2</v>
      </c>
      <c r="BC106" s="228">
        <v>4</v>
      </c>
      <c r="BD106" s="229">
        <v>2.0278</v>
      </c>
      <c r="BE106" s="228">
        <v>0</v>
      </c>
      <c r="BF106" s="228">
        <v>0</v>
      </c>
      <c r="BG106" s="228">
        <v>0</v>
      </c>
      <c r="BH106" s="229">
        <v>-0.42859999999999998</v>
      </c>
      <c r="BI106" s="228">
        <v>171</v>
      </c>
      <c r="BJ106" s="228">
        <v>227</v>
      </c>
      <c r="BK106" s="228">
        <v>-56</v>
      </c>
      <c r="BL106" s="229">
        <v>-0.24709999999999999</v>
      </c>
      <c r="BM106" s="228">
        <v>127</v>
      </c>
      <c r="BN106" s="228">
        <v>138</v>
      </c>
      <c r="BO106" s="228">
        <v>-12</v>
      </c>
      <c r="BP106" s="229">
        <v>-8.3199999999999996E-2</v>
      </c>
      <c r="BQ106" s="228">
        <v>438</v>
      </c>
      <c r="BR106" s="228">
        <v>509</v>
      </c>
      <c r="BS106" s="228">
        <v>-71</v>
      </c>
      <c r="BT106" s="229">
        <v>-0.13969999999999999</v>
      </c>
      <c r="BU106" s="230">
        <v>1325355</v>
      </c>
      <c r="BV106" s="230">
        <v>1675883</v>
      </c>
      <c r="BW106" s="230">
        <v>-350528</v>
      </c>
      <c r="BX106" s="229">
        <v>-0.2092</v>
      </c>
      <c r="BY106" s="230">
        <v>1952</v>
      </c>
      <c r="BZ106" s="230">
        <v>1980</v>
      </c>
      <c r="CA106" s="228">
        <v>-28</v>
      </c>
      <c r="CB106" s="229">
        <v>-1.4200000000000001E-2</v>
      </c>
      <c r="CC106" s="230">
        <v>1933</v>
      </c>
      <c r="CD106" s="230">
        <v>1961</v>
      </c>
      <c r="CE106" s="228">
        <v>-29</v>
      </c>
      <c r="CF106" s="229">
        <v>-1.46E-2</v>
      </c>
      <c r="CG106" s="228">
        <v>18</v>
      </c>
      <c r="CH106" s="228">
        <v>17</v>
      </c>
      <c r="CI106" s="228">
        <v>0</v>
      </c>
      <c r="CJ106" s="229">
        <v>2.3599999999999999E-2</v>
      </c>
      <c r="CK106" s="228">
        <v>2</v>
      </c>
      <c r="CL106" s="228">
        <v>2</v>
      </c>
      <c r="CM106" s="228">
        <v>0</v>
      </c>
      <c r="CN106" s="229">
        <v>0</v>
      </c>
      <c r="CO106" s="228">
        <v>354</v>
      </c>
      <c r="CP106" s="228">
        <v>337</v>
      </c>
      <c r="CQ106" s="228">
        <v>18</v>
      </c>
      <c r="CR106" s="229">
        <v>5.3100000000000001E-2</v>
      </c>
      <c r="CS106" s="228">
        <v>366</v>
      </c>
      <c r="CT106" s="228">
        <v>357</v>
      </c>
      <c r="CU106" s="228">
        <v>9</v>
      </c>
      <c r="CV106" s="229">
        <v>2.47E-2</v>
      </c>
      <c r="CW106" s="230">
        <v>2673</v>
      </c>
      <c r="CX106" s="230">
        <v>2674</v>
      </c>
      <c r="CY106" s="228">
        <v>-1</v>
      </c>
      <c r="CZ106" s="229">
        <v>-5.9999999999999995E-4</v>
      </c>
      <c r="DA106" s="228">
        <v>28.91</v>
      </c>
      <c r="DB106" s="228">
        <v>27.88</v>
      </c>
      <c r="DC106" s="228">
        <v>1.03</v>
      </c>
      <c r="DD106" s="228">
        <v>1.03</v>
      </c>
      <c r="DE106" s="228">
        <v>42.39</v>
      </c>
      <c r="DF106" s="228">
        <v>42.49</v>
      </c>
      <c r="DG106" s="228">
        <v>-13.48</v>
      </c>
      <c r="DH106" s="228">
        <v>-0.1</v>
      </c>
      <c r="DI106" s="228">
        <v>28.93</v>
      </c>
      <c r="DJ106" s="228">
        <v>27.62</v>
      </c>
      <c r="DK106" s="228">
        <v>1.31</v>
      </c>
      <c r="DL106" s="228">
        <v>1.31</v>
      </c>
      <c r="DM106" s="228">
        <v>28.87</v>
      </c>
      <c r="DN106" s="228">
        <v>28.31</v>
      </c>
      <c r="DO106" s="228">
        <v>0.56000000000000005</v>
      </c>
      <c r="DP106" s="228">
        <v>0.56000000000000005</v>
      </c>
      <c r="DQ106" s="228">
        <v>1.03</v>
      </c>
      <c r="DR106" s="228">
        <v>1.06</v>
      </c>
      <c r="DS106" s="228">
        <v>-0.03</v>
      </c>
      <c r="DT106" s="229">
        <v>-2.8299999999999999E-2</v>
      </c>
      <c r="DU106" s="228">
        <v>530</v>
      </c>
      <c r="DV106" s="228">
        <v>530</v>
      </c>
      <c r="DW106" s="228">
        <v>0.74</v>
      </c>
      <c r="DX106" s="228">
        <v>0.61</v>
      </c>
      <c r="DY106" s="228">
        <v>0.13</v>
      </c>
      <c r="DZ106" s="229">
        <v>0.21310000000000001</v>
      </c>
      <c r="EA106" s="229">
        <v>1.01E-2</v>
      </c>
      <c r="EB106" s="230">
        <v>375000</v>
      </c>
      <c r="EC106" s="229">
        <v>6.1999999999999998E-3</v>
      </c>
      <c r="ED106" s="229">
        <v>1.01E-2</v>
      </c>
      <c r="EE106" s="228">
        <v>2.44</v>
      </c>
      <c r="EF106" s="229">
        <v>4.7000000000000002E-3</v>
      </c>
      <c r="EG106" s="230">
        <v>551928</v>
      </c>
      <c r="EH106" s="230">
        <v>700742</v>
      </c>
      <c r="EI106" s="229">
        <v>-0.21240000000000001</v>
      </c>
      <c r="EJ106" s="229">
        <v>0.41639999999999999</v>
      </c>
      <c r="EK106" s="228">
        <v>179.18</v>
      </c>
      <c r="EL106" s="228">
        <v>124.43</v>
      </c>
      <c r="EM106" s="228">
        <v>140.58000000000001</v>
      </c>
      <c r="EN106" s="228">
        <v>47.36</v>
      </c>
      <c r="EO106" s="228">
        <v>444.18</v>
      </c>
      <c r="EP106" s="228">
        <v>520.14</v>
      </c>
      <c r="EQ106" s="228">
        <v>-75.959999999999994</v>
      </c>
      <c r="ER106" s="229">
        <v>-0.14599999999999999</v>
      </c>
      <c r="ES106" s="228">
        <v>358.64</v>
      </c>
      <c r="ET106" s="228">
        <v>353.8</v>
      </c>
      <c r="EU106" s="231">
        <v>1952.37</v>
      </c>
      <c r="EV106" s="231">
        <v>80385888</v>
      </c>
      <c r="EW106" s="231">
        <v>2664.81</v>
      </c>
      <c r="EX106" s="231">
        <v>2676.96</v>
      </c>
      <c r="EY106" s="228">
        <v>-12.15</v>
      </c>
      <c r="EZ106" s="229">
        <v>-4.4999999999999997E-3</v>
      </c>
      <c r="FA106" s="229">
        <v>0.64729999999999999</v>
      </c>
      <c r="FB106" s="227" t="s">
        <v>568</v>
      </c>
      <c r="FC106">
        <f t="shared" si="1"/>
        <v>19</v>
      </c>
    </row>
    <row r="107" spans="1:159" ht="17.25" thickBot="1" x14ac:dyDescent="0.3">
      <c r="A107" s="226">
        <v>46029</v>
      </c>
      <c r="B107" s="227" t="s">
        <v>227</v>
      </c>
      <c r="C107" s="227" t="s">
        <v>244</v>
      </c>
      <c r="D107" s="228">
        <v>675</v>
      </c>
      <c r="E107" s="228">
        <v>20</v>
      </c>
      <c r="F107" s="231">
        <v>1192.4000000000001</v>
      </c>
      <c r="G107" s="231">
        <v>1181.7</v>
      </c>
      <c r="H107" s="228">
        <v>10.7</v>
      </c>
      <c r="I107" s="229">
        <v>9.1000000000000004E-3</v>
      </c>
      <c r="J107" s="231">
        <v>1189.8</v>
      </c>
      <c r="K107" s="231">
        <v>1176.3</v>
      </c>
      <c r="L107" s="228">
        <v>13.5</v>
      </c>
      <c r="M107" s="229">
        <v>1.15E-2</v>
      </c>
      <c r="N107" s="231">
        <v>1192.4000000000001</v>
      </c>
      <c r="O107" s="231">
        <v>1181.7</v>
      </c>
      <c r="P107" s="228">
        <v>10.7</v>
      </c>
      <c r="Q107" s="229">
        <v>9.1000000000000004E-3</v>
      </c>
      <c r="R107" s="231">
        <v>1199.7</v>
      </c>
      <c r="S107" s="231">
        <v>1190.4000000000001</v>
      </c>
      <c r="T107" s="228">
        <v>9.3000000000000007</v>
      </c>
      <c r="U107" s="229">
        <v>7.7999999999999996E-3</v>
      </c>
      <c r="V107" s="231">
        <v>1205</v>
      </c>
      <c r="W107" s="231">
        <v>1191.2</v>
      </c>
      <c r="X107" s="228">
        <v>13.8</v>
      </c>
      <c r="Y107" s="229">
        <v>1.1599999999999999E-2</v>
      </c>
      <c r="Z107" s="228">
        <v>2.6</v>
      </c>
      <c r="AA107" s="228">
        <v>5.4</v>
      </c>
      <c r="AB107" s="228">
        <v>-2.8</v>
      </c>
      <c r="AC107" s="229">
        <v>2.2000000000000001E-3</v>
      </c>
      <c r="AD107" s="228">
        <v>2.6</v>
      </c>
      <c r="AE107" s="228">
        <v>5.4</v>
      </c>
      <c r="AF107" s="228">
        <v>-2.8</v>
      </c>
      <c r="AG107" s="229">
        <v>2.2000000000000001E-3</v>
      </c>
      <c r="AH107" s="228">
        <v>9.9</v>
      </c>
      <c r="AI107" s="228">
        <v>14.1</v>
      </c>
      <c r="AJ107" s="228">
        <v>-4.2</v>
      </c>
      <c r="AK107" s="229">
        <v>8.3000000000000001E-3</v>
      </c>
      <c r="AL107" s="228">
        <v>15.2</v>
      </c>
      <c r="AM107" s="228">
        <v>14.9</v>
      </c>
      <c r="AN107" s="228">
        <v>0.3</v>
      </c>
      <c r="AO107" s="229">
        <v>1.2800000000000001E-2</v>
      </c>
      <c r="AP107" s="231">
        <v>1186.69</v>
      </c>
      <c r="AQ107" s="231">
        <v>1193.73</v>
      </c>
      <c r="AR107" s="228">
        <v>0</v>
      </c>
      <c r="AS107" s="228">
        <v>444</v>
      </c>
      <c r="AT107" s="228">
        <v>674</v>
      </c>
      <c r="AU107" s="228">
        <v>-230</v>
      </c>
      <c r="AV107" s="229">
        <v>-0.34160000000000001</v>
      </c>
      <c r="AW107" s="228">
        <v>435</v>
      </c>
      <c r="AX107" s="228">
        <v>663</v>
      </c>
      <c r="AY107" s="228">
        <v>-228</v>
      </c>
      <c r="AZ107" s="229">
        <v>-0.34350000000000003</v>
      </c>
      <c r="BA107" s="228">
        <v>8</v>
      </c>
      <c r="BB107" s="228">
        <v>10</v>
      </c>
      <c r="BC107" s="228">
        <v>-3</v>
      </c>
      <c r="BD107" s="229">
        <v>-0.2462</v>
      </c>
      <c r="BE107" s="228">
        <v>1</v>
      </c>
      <c r="BF107" s="228">
        <v>1</v>
      </c>
      <c r="BG107" s="228">
        <v>0</v>
      </c>
      <c r="BH107" s="229">
        <v>-9.0899999999999995E-2</v>
      </c>
      <c r="BI107" s="228">
        <v>701</v>
      </c>
      <c r="BJ107" s="230">
        <v>1155</v>
      </c>
      <c r="BK107" s="228">
        <v>-454</v>
      </c>
      <c r="BL107" s="229">
        <v>-0.39340000000000003</v>
      </c>
      <c r="BM107" s="228">
        <v>565</v>
      </c>
      <c r="BN107" s="230">
        <v>1206</v>
      </c>
      <c r="BO107" s="228">
        <v>-641</v>
      </c>
      <c r="BP107" s="229">
        <v>-0.53139999999999998</v>
      </c>
      <c r="BQ107" s="230">
        <v>1709</v>
      </c>
      <c r="BR107" s="230">
        <v>3035</v>
      </c>
      <c r="BS107" s="230">
        <v>-1325</v>
      </c>
      <c r="BT107" s="229">
        <v>-0.43669999999999998</v>
      </c>
      <c r="BU107" s="230">
        <v>1201247</v>
      </c>
      <c r="BV107" s="230">
        <v>1440932</v>
      </c>
      <c r="BW107" s="230">
        <v>-239685</v>
      </c>
      <c r="BX107" s="229">
        <v>-0.1663</v>
      </c>
      <c r="BY107" s="230">
        <v>5948</v>
      </c>
      <c r="BZ107" s="230">
        <v>5932</v>
      </c>
      <c r="CA107" s="228">
        <v>15</v>
      </c>
      <c r="CB107" s="229">
        <v>2.5999999999999999E-3</v>
      </c>
      <c r="CC107" s="230">
        <v>5904</v>
      </c>
      <c r="CD107" s="230">
        <v>5889</v>
      </c>
      <c r="CE107" s="228">
        <v>15</v>
      </c>
      <c r="CF107" s="229">
        <v>2.5999999999999999E-3</v>
      </c>
      <c r="CG107" s="228">
        <v>39</v>
      </c>
      <c r="CH107" s="228">
        <v>39</v>
      </c>
      <c r="CI107" s="228">
        <v>0</v>
      </c>
      <c r="CJ107" s="229">
        <v>0</v>
      </c>
      <c r="CK107" s="228">
        <v>5</v>
      </c>
      <c r="CL107" s="228">
        <v>5</v>
      </c>
      <c r="CM107" s="228">
        <v>0</v>
      </c>
      <c r="CN107" s="229">
        <v>0</v>
      </c>
      <c r="CO107" s="230">
        <v>1073</v>
      </c>
      <c r="CP107" s="230">
        <v>1066</v>
      </c>
      <c r="CQ107" s="228">
        <v>7</v>
      </c>
      <c r="CR107" s="229">
        <v>7.0000000000000001E-3</v>
      </c>
      <c r="CS107" s="230">
        <v>1040</v>
      </c>
      <c r="CT107" s="228">
        <v>991</v>
      </c>
      <c r="CU107" s="228">
        <v>49</v>
      </c>
      <c r="CV107" s="229">
        <v>0.05</v>
      </c>
      <c r="CW107" s="230">
        <v>8061</v>
      </c>
      <c r="CX107" s="230">
        <v>7989</v>
      </c>
      <c r="CY107" s="228">
        <v>72</v>
      </c>
      <c r="CZ107" s="229">
        <v>8.9999999999999993E-3</v>
      </c>
      <c r="DA107" s="228">
        <v>24.59</v>
      </c>
      <c r="DB107" s="228">
        <v>24.39</v>
      </c>
      <c r="DC107" s="228">
        <v>0.2</v>
      </c>
      <c r="DD107" s="228">
        <v>0.2</v>
      </c>
      <c r="DE107" s="228">
        <v>29.24</v>
      </c>
      <c r="DF107" s="228">
        <v>29.29</v>
      </c>
      <c r="DG107" s="228">
        <v>-4.6500000000000004</v>
      </c>
      <c r="DH107" s="228">
        <v>-0.05</v>
      </c>
      <c r="DI107" s="228">
        <v>24.12</v>
      </c>
      <c r="DJ107" s="228">
        <v>24.08</v>
      </c>
      <c r="DK107" s="228">
        <v>0.04</v>
      </c>
      <c r="DL107" s="228">
        <v>0.04</v>
      </c>
      <c r="DM107" s="228">
        <v>25.18</v>
      </c>
      <c r="DN107" s="228">
        <v>24.69</v>
      </c>
      <c r="DO107" s="228">
        <v>0.49</v>
      </c>
      <c r="DP107" s="228">
        <v>0.49</v>
      </c>
      <c r="DQ107" s="228">
        <v>0.97</v>
      </c>
      <c r="DR107" s="228">
        <v>0.93</v>
      </c>
      <c r="DS107" s="228">
        <v>0.04</v>
      </c>
      <c r="DT107" s="229">
        <v>4.2999999999999997E-2</v>
      </c>
      <c r="DU107" s="231">
        <v>1160</v>
      </c>
      <c r="DV107" s="231">
        <v>1100</v>
      </c>
      <c r="DW107" s="228">
        <v>0.81</v>
      </c>
      <c r="DX107" s="228">
        <v>1.04</v>
      </c>
      <c r="DY107" s="228">
        <v>-0.23</v>
      </c>
      <c r="DZ107" s="229">
        <v>-0.22120000000000001</v>
      </c>
      <c r="EA107" s="229">
        <v>7.3000000000000001E-3</v>
      </c>
      <c r="EB107" s="230">
        <v>366525</v>
      </c>
      <c r="EC107" s="229">
        <v>6.1000000000000004E-3</v>
      </c>
      <c r="ED107" s="229">
        <v>7.3000000000000001E-3</v>
      </c>
      <c r="EE107" s="228">
        <v>7.04</v>
      </c>
      <c r="EF107" s="229">
        <v>5.8999999999999999E-3</v>
      </c>
      <c r="EG107" s="230">
        <v>722818</v>
      </c>
      <c r="EH107" s="230">
        <v>656596</v>
      </c>
      <c r="EI107" s="229">
        <v>0.1009</v>
      </c>
      <c r="EJ107" s="229">
        <v>0.60170000000000001</v>
      </c>
      <c r="EK107" s="228">
        <v>724.69</v>
      </c>
      <c r="EL107" s="228">
        <v>549.62</v>
      </c>
      <c r="EM107" s="228">
        <v>441.74</v>
      </c>
      <c r="EN107" s="228">
        <v>83.96</v>
      </c>
      <c r="EO107" s="231">
        <v>1716.05</v>
      </c>
      <c r="EP107" s="231">
        <v>3035.38</v>
      </c>
      <c r="EQ107" s="231">
        <v>-1319.33</v>
      </c>
      <c r="ER107" s="229">
        <v>-0.43469999999999998</v>
      </c>
      <c r="ES107" s="231">
        <v>1066.9100000000001</v>
      </c>
      <c r="ET107" s="228">
        <v>975.17</v>
      </c>
      <c r="EU107" s="231">
        <v>5947.8</v>
      </c>
      <c r="EV107" s="231">
        <v>133434355</v>
      </c>
      <c r="EW107" s="231">
        <v>7989.87</v>
      </c>
      <c r="EX107" s="231">
        <v>7864.64</v>
      </c>
      <c r="EY107" s="228">
        <v>125.23</v>
      </c>
      <c r="EZ107" s="229">
        <v>1.5900000000000001E-2</v>
      </c>
      <c r="FA107" s="229">
        <v>0.50660000000000005</v>
      </c>
      <c r="FB107" s="227" t="s">
        <v>555</v>
      </c>
      <c r="FC107">
        <f t="shared" si="1"/>
        <v>44</v>
      </c>
    </row>
    <row r="108" spans="1:159" ht="17.25" thickBot="1" x14ac:dyDescent="0.3">
      <c r="A108" s="226">
        <v>46029</v>
      </c>
      <c r="B108" s="227" t="s">
        <v>168</v>
      </c>
      <c r="C108" s="227" t="s">
        <v>245</v>
      </c>
      <c r="D108" s="228">
        <v>1250</v>
      </c>
      <c r="E108" s="228">
        <v>20</v>
      </c>
      <c r="F108" s="228">
        <v>539.45000000000005</v>
      </c>
      <c r="G108" s="228">
        <v>545.54999999999995</v>
      </c>
      <c r="H108" s="228">
        <v>-6.1</v>
      </c>
      <c r="I108" s="229">
        <v>-1.12E-2</v>
      </c>
      <c r="J108" s="228">
        <v>537.4</v>
      </c>
      <c r="K108" s="228">
        <v>546.5</v>
      </c>
      <c r="L108" s="228">
        <v>-9.1</v>
      </c>
      <c r="M108" s="229">
        <v>-1.67E-2</v>
      </c>
      <c r="N108" s="228">
        <v>539.45000000000005</v>
      </c>
      <c r="O108" s="228">
        <v>545.54999999999995</v>
      </c>
      <c r="P108" s="228">
        <v>-6.1</v>
      </c>
      <c r="Q108" s="229">
        <v>-1.12E-2</v>
      </c>
      <c r="R108" s="228">
        <v>537.54999999999995</v>
      </c>
      <c r="S108" s="228">
        <v>543.29999999999995</v>
      </c>
      <c r="T108" s="228">
        <v>-5.75</v>
      </c>
      <c r="U108" s="229">
        <v>-1.06E-2</v>
      </c>
      <c r="V108" s="228">
        <v>536.6</v>
      </c>
      <c r="W108" s="228">
        <v>542.65</v>
      </c>
      <c r="X108" s="228">
        <v>-6.05</v>
      </c>
      <c r="Y108" s="229">
        <v>-1.11E-2</v>
      </c>
      <c r="Z108" s="228">
        <v>2.0499999999999998</v>
      </c>
      <c r="AA108" s="228">
        <v>-0.95</v>
      </c>
      <c r="AB108" s="228">
        <v>3</v>
      </c>
      <c r="AC108" s="229">
        <v>3.8E-3</v>
      </c>
      <c r="AD108" s="228">
        <v>2.0499999999999998</v>
      </c>
      <c r="AE108" s="228">
        <v>-0.95</v>
      </c>
      <c r="AF108" s="228">
        <v>3</v>
      </c>
      <c r="AG108" s="229">
        <v>3.8E-3</v>
      </c>
      <c r="AH108" s="228">
        <v>0.15</v>
      </c>
      <c r="AI108" s="228">
        <v>-3.2</v>
      </c>
      <c r="AJ108" s="228">
        <v>3.35</v>
      </c>
      <c r="AK108" s="229">
        <v>2.9999999999999997E-4</v>
      </c>
      <c r="AL108" s="228">
        <v>-0.8</v>
      </c>
      <c r="AM108" s="228">
        <v>-3.85</v>
      </c>
      <c r="AN108" s="228">
        <v>3.05</v>
      </c>
      <c r="AO108" s="229">
        <v>-1.5E-3</v>
      </c>
      <c r="AP108" s="228">
        <v>542.13</v>
      </c>
      <c r="AQ108" s="228">
        <v>538.86</v>
      </c>
      <c r="AR108" s="228">
        <v>0</v>
      </c>
      <c r="AS108" s="228">
        <v>520</v>
      </c>
      <c r="AT108" s="228">
        <v>373</v>
      </c>
      <c r="AU108" s="228">
        <v>146</v>
      </c>
      <c r="AV108" s="229">
        <v>0.39250000000000002</v>
      </c>
      <c r="AW108" s="228">
        <v>484</v>
      </c>
      <c r="AX108" s="228">
        <v>348</v>
      </c>
      <c r="AY108" s="228">
        <v>136</v>
      </c>
      <c r="AZ108" s="229">
        <v>0.38940000000000002</v>
      </c>
      <c r="BA108" s="228">
        <v>33</v>
      </c>
      <c r="BB108" s="228">
        <v>22</v>
      </c>
      <c r="BC108" s="228">
        <v>11</v>
      </c>
      <c r="BD108" s="229">
        <v>0.47589999999999999</v>
      </c>
      <c r="BE108" s="228">
        <v>2</v>
      </c>
      <c r="BF108" s="228">
        <v>2</v>
      </c>
      <c r="BG108" s="228">
        <v>0</v>
      </c>
      <c r="BH108" s="229">
        <v>5.7099999999999998E-2</v>
      </c>
      <c r="BI108" s="228">
        <v>897</v>
      </c>
      <c r="BJ108" s="228">
        <v>785</v>
      </c>
      <c r="BK108" s="228">
        <v>112</v>
      </c>
      <c r="BL108" s="229">
        <v>0.14269999999999999</v>
      </c>
      <c r="BM108" s="228">
        <v>463</v>
      </c>
      <c r="BN108" s="228">
        <v>374</v>
      </c>
      <c r="BO108" s="228">
        <v>88</v>
      </c>
      <c r="BP108" s="229">
        <v>0.2354</v>
      </c>
      <c r="BQ108" s="230">
        <v>1879</v>
      </c>
      <c r="BR108" s="230">
        <v>1533</v>
      </c>
      <c r="BS108" s="228">
        <v>347</v>
      </c>
      <c r="BT108" s="229">
        <v>0.22620000000000001</v>
      </c>
      <c r="BU108" s="230">
        <v>3581507</v>
      </c>
      <c r="BV108" s="230">
        <v>2271036</v>
      </c>
      <c r="BW108" s="230">
        <v>1310471</v>
      </c>
      <c r="BX108" s="229">
        <v>0.57699999999999996</v>
      </c>
      <c r="BY108" s="230">
        <v>1429</v>
      </c>
      <c r="BZ108" s="230">
        <v>1433</v>
      </c>
      <c r="CA108" s="228">
        <v>-4</v>
      </c>
      <c r="CB108" s="229">
        <v>-3.0000000000000001E-3</v>
      </c>
      <c r="CC108" s="230">
        <v>1335</v>
      </c>
      <c r="CD108" s="230">
        <v>1349</v>
      </c>
      <c r="CE108" s="228">
        <v>-13</v>
      </c>
      <c r="CF108" s="229">
        <v>-9.7999999999999997E-3</v>
      </c>
      <c r="CG108" s="228">
        <v>83</v>
      </c>
      <c r="CH108" s="228">
        <v>75</v>
      </c>
      <c r="CI108" s="228">
        <v>8</v>
      </c>
      <c r="CJ108" s="229">
        <v>0.10290000000000001</v>
      </c>
      <c r="CK108" s="228">
        <v>10</v>
      </c>
      <c r="CL108" s="228">
        <v>9</v>
      </c>
      <c r="CM108" s="228">
        <v>1</v>
      </c>
      <c r="CN108" s="229">
        <v>0.1203</v>
      </c>
      <c r="CO108" s="228">
        <v>673</v>
      </c>
      <c r="CP108" s="228">
        <v>611</v>
      </c>
      <c r="CQ108" s="228">
        <v>61</v>
      </c>
      <c r="CR108" s="229">
        <v>0.1002</v>
      </c>
      <c r="CS108" s="228">
        <v>424</v>
      </c>
      <c r="CT108" s="228">
        <v>398</v>
      </c>
      <c r="CU108" s="228">
        <v>26</v>
      </c>
      <c r="CV108" s="229">
        <v>6.6400000000000001E-2</v>
      </c>
      <c r="CW108" s="230">
        <v>2526</v>
      </c>
      <c r="CX108" s="230">
        <v>2442</v>
      </c>
      <c r="CY108" s="228">
        <v>83</v>
      </c>
      <c r="CZ108" s="229">
        <v>3.4200000000000001E-2</v>
      </c>
      <c r="DA108" s="228">
        <v>27.29</v>
      </c>
      <c r="DB108" s="228">
        <v>29.57</v>
      </c>
      <c r="DC108" s="228">
        <v>-2.2799999999999998</v>
      </c>
      <c r="DD108" s="228">
        <v>-2.2799999999999998</v>
      </c>
      <c r="DE108" s="228">
        <v>33.11</v>
      </c>
      <c r="DF108" s="228">
        <v>33.11</v>
      </c>
      <c r="DG108" s="228">
        <v>-5.82</v>
      </c>
      <c r="DH108" s="228">
        <v>0</v>
      </c>
      <c r="DI108" s="228">
        <v>27.54</v>
      </c>
      <c r="DJ108" s="228">
        <v>29.59</v>
      </c>
      <c r="DK108" s="228">
        <v>-2.0499999999999998</v>
      </c>
      <c r="DL108" s="228">
        <v>-2.0499999999999998</v>
      </c>
      <c r="DM108" s="228">
        <v>26.81</v>
      </c>
      <c r="DN108" s="228">
        <v>29.53</v>
      </c>
      <c r="DO108" s="228">
        <v>-2.72</v>
      </c>
      <c r="DP108" s="228">
        <v>-2.72</v>
      </c>
      <c r="DQ108" s="228">
        <v>0.63</v>
      </c>
      <c r="DR108" s="228">
        <v>0.65</v>
      </c>
      <c r="DS108" s="228">
        <v>-0.02</v>
      </c>
      <c r="DT108" s="229">
        <v>-3.0800000000000001E-2</v>
      </c>
      <c r="DU108" s="228">
        <v>600</v>
      </c>
      <c r="DV108" s="228">
        <v>560</v>
      </c>
      <c r="DW108" s="228">
        <v>0.52</v>
      </c>
      <c r="DX108" s="228">
        <v>0.48</v>
      </c>
      <c r="DY108" s="228">
        <v>0.04</v>
      </c>
      <c r="DZ108" s="229">
        <v>8.3299999999999999E-2</v>
      </c>
      <c r="EA108" s="229">
        <v>6.5199999999999994E-2</v>
      </c>
      <c r="EB108" s="230">
        <v>1563750</v>
      </c>
      <c r="EC108" s="229">
        <v>-3.5000000000000001E-3</v>
      </c>
      <c r="ED108" s="229">
        <v>6.5199999999999994E-2</v>
      </c>
      <c r="EE108" s="228">
        <v>-3.27</v>
      </c>
      <c r="EF108" s="229">
        <v>-6.0000000000000001E-3</v>
      </c>
      <c r="EG108" s="230">
        <v>1325793</v>
      </c>
      <c r="EH108" s="230">
        <v>999632</v>
      </c>
      <c r="EI108" s="229">
        <v>0.32629999999999998</v>
      </c>
      <c r="EJ108" s="229">
        <v>0.37019999999999997</v>
      </c>
      <c r="EK108" s="228">
        <v>949.86</v>
      </c>
      <c r="EL108" s="228">
        <v>465.36</v>
      </c>
      <c r="EM108" s="228">
        <v>521.99</v>
      </c>
      <c r="EN108" s="228">
        <v>41.95</v>
      </c>
      <c r="EO108" s="231">
        <v>1937.2</v>
      </c>
      <c r="EP108" s="231">
        <v>1578.13</v>
      </c>
      <c r="EQ108" s="228">
        <v>359.06</v>
      </c>
      <c r="ER108" s="229">
        <v>0.22750000000000001</v>
      </c>
      <c r="ES108" s="228">
        <v>728.04</v>
      </c>
      <c r="ET108" s="228">
        <v>424.62</v>
      </c>
      <c r="EU108" s="231">
        <v>1428.25</v>
      </c>
      <c r="EV108" s="231">
        <v>58761693</v>
      </c>
      <c r="EW108" s="231">
        <v>2580.92</v>
      </c>
      <c r="EX108" s="231">
        <v>2511.52</v>
      </c>
      <c r="EY108" s="228">
        <v>69.400000000000006</v>
      </c>
      <c r="EZ108" s="229">
        <v>2.76E-2</v>
      </c>
      <c r="FA108" s="229">
        <v>0.79679999999999995</v>
      </c>
      <c r="FB108" s="227" t="s">
        <v>568</v>
      </c>
      <c r="FC108">
        <f t="shared" si="1"/>
        <v>94</v>
      </c>
    </row>
    <row r="109" spans="1:159" ht="17.25" thickBot="1" x14ac:dyDescent="0.3">
      <c r="A109" s="226">
        <v>46029</v>
      </c>
      <c r="B109" s="227" t="s">
        <v>168</v>
      </c>
      <c r="C109" s="227" t="s">
        <v>582</v>
      </c>
      <c r="D109" s="228">
        <v>1175</v>
      </c>
      <c r="E109" s="228">
        <v>20</v>
      </c>
      <c r="F109" s="228">
        <v>523.29999999999995</v>
      </c>
      <c r="G109" s="228">
        <v>502.45</v>
      </c>
      <c r="H109" s="228">
        <v>20.85</v>
      </c>
      <c r="I109" s="229">
        <v>4.1500000000000002E-2</v>
      </c>
      <c r="J109" s="228">
        <v>520.75</v>
      </c>
      <c r="K109" s="228">
        <v>500.15</v>
      </c>
      <c r="L109" s="228">
        <v>20.6</v>
      </c>
      <c r="M109" s="229">
        <v>4.1200000000000001E-2</v>
      </c>
      <c r="N109" s="228">
        <v>523.29999999999995</v>
      </c>
      <c r="O109" s="228">
        <v>502.45</v>
      </c>
      <c r="P109" s="228">
        <v>20.85</v>
      </c>
      <c r="Q109" s="229">
        <v>4.1500000000000002E-2</v>
      </c>
      <c r="R109" s="228">
        <v>526.15</v>
      </c>
      <c r="S109" s="228">
        <v>505.35</v>
      </c>
      <c r="T109" s="228">
        <v>20.8</v>
      </c>
      <c r="U109" s="229">
        <v>4.1200000000000001E-2</v>
      </c>
      <c r="V109" s="228">
        <v>529.04999999999995</v>
      </c>
      <c r="W109" s="228">
        <v>509.05</v>
      </c>
      <c r="X109" s="228">
        <v>20</v>
      </c>
      <c r="Y109" s="229">
        <v>3.9300000000000002E-2</v>
      </c>
      <c r="Z109" s="228">
        <v>2.5499999999999998</v>
      </c>
      <c r="AA109" s="228">
        <v>2.2999999999999998</v>
      </c>
      <c r="AB109" s="228">
        <v>0.25</v>
      </c>
      <c r="AC109" s="229">
        <v>4.8999999999999998E-3</v>
      </c>
      <c r="AD109" s="228">
        <v>2.5499999999999998</v>
      </c>
      <c r="AE109" s="228">
        <v>2.2999999999999998</v>
      </c>
      <c r="AF109" s="228">
        <v>0.25</v>
      </c>
      <c r="AG109" s="229">
        <v>4.8999999999999998E-3</v>
      </c>
      <c r="AH109" s="228">
        <v>5.4</v>
      </c>
      <c r="AI109" s="228">
        <v>5.2</v>
      </c>
      <c r="AJ109" s="228">
        <v>0.2</v>
      </c>
      <c r="AK109" s="229">
        <v>1.04E-2</v>
      </c>
      <c r="AL109" s="228">
        <v>8.3000000000000007</v>
      </c>
      <c r="AM109" s="228">
        <v>8.9</v>
      </c>
      <c r="AN109" s="228">
        <v>-0.6</v>
      </c>
      <c r="AO109" s="229">
        <v>1.5900000000000001E-2</v>
      </c>
      <c r="AP109" s="228">
        <v>520.83000000000004</v>
      </c>
      <c r="AQ109" s="228">
        <v>525.86</v>
      </c>
      <c r="AR109" s="228">
        <v>0</v>
      </c>
      <c r="AS109" s="228">
        <v>819</v>
      </c>
      <c r="AT109" s="228">
        <v>229</v>
      </c>
      <c r="AU109" s="228">
        <v>590</v>
      </c>
      <c r="AV109" s="229">
        <v>2.5703999999999998</v>
      </c>
      <c r="AW109" s="228">
        <v>752</v>
      </c>
      <c r="AX109" s="228">
        <v>178</v>
      </c>
      <c r="AY109" s="228">
        <v>574</v>
      </c>
      <c r="AZ109" s="229">
        <v>3.2347999999999999</v>
      </c>
      <c r="BA109" s="228">
        <v>63</v>
      </c>
      <c r="BB109" s="228">
        <v>51</v>
      </c>
      <c r="BC109" s="228">
        <v>12</v>
      </c>
      <c r="BD109" s="229">
        <v>0.24179999999999999</v>
      </c>
      <c r="BE109" s="228">
        <v>4</v>
      </c>
      <c r="BF109" s="228">
        <v>1</v>
      </c>
      <c r="BG109" s="228">
        <v>3</v>
      </c>
      <c r="BH109" s="229">
        <v>2.4762</v>
      </c>
      <c r="BI109" s="230">
        <v>4419</v>
      </c>
      <c r="BJ109" s="228">
        <v>335</v>
      </c>
      <c r="BK109" s="230">
        <v>4084</v>
      </c>
      <c r="BL109" s="229">
        <v>12.1989</v>
      </c>
      <c r="BM109" s="230">
        <v>1284</v>
      </c>
      <c r="BN109" s="228">
        <v>134</v>
      </c>
      <c r="BO109" s="230">
        <v>1150</v>
      </c>
      <c r="BP109" s="229">
        <v>8.5949000000000009</v>
      </c>
      <c r="BQ109" s="230">
        <v>6522</v>
      </c>
      <c r="BR109" s="228">
        <v>698</v>
      </c>
      <c r="BS109" s="230">
        <v>5824</v>
      </c>
      <c r="BT109" s="229">
        <v>8.3435000000000006</v>
      </c>
      <c r="BU109" s="230">
        <v>17118427</v>
      </c>
      <c r="BV109" s="230">
        <v>2127710</v>
      </c>
      <c r="BW109" s="230">
        <v>14990717</v>
      </c>
      <c r="BX109" s="229">
        <v>7.0454999999999997</v>
      </c>
      <c r="BY109" s="230">
        <v>1960</v>
      </c>
      <c r="BZ109" s="230">
        <v>1903</v>
      </c>
      <c r="CA109" s="228">
        <v>57</v>
      </c>
      <c r="CB109" s="229">
        <v>0.03</v>
      </c>
      <c r="CC109" s="230">
        <v>1894</v>
      </c>
      <c r="CD109" s="230">
        <v>1851</v>
      </c>
      <c r="CE109" s="228">
        <v>43</v>
      </c>
      <c r="CF109" s="229">
        <v>2.3199999999999998E-2</v>
      </c>
      <c r="CG109" s="228">
        <v>62</v>
      </c>
      <c r="CH109" s="228">
        <v>50</v>
      </c>
      <c r="CI109" s="228">
        <v>12</v>
      </c>
      <c r="CJ109" s="229">
        <v>0.24660000000000001</v>
      </c>
      <c r="CK109" s="228">
        <v>4</v>
      </c>
      <c r="CL109" s="228">
        <v>2</v>
      </c>
      <c r="CM109" s="228">
        <v>2</v>
      </c>
      <c r="CN109" s="229">
        <v>0.83779999999999999</v>
      </c>
      <c r="CO109" s="228">
        <v>538</v>
      </c>
      <c r="CP109" s="228">
        <v>273</v>
      </c>
      <c r="CQ109" s="228">
        <v>265</v>
      </c>
      <c r="CR109" s="229">
        <v>0.96940000000000004</v>
      </c>
      <c r="CS109" s="228">
        <v>302</v>
      </c>
      <c r="CT109" s="228">
        <v>190</v>
      </c>
      <c r="CU109" s="228">
        <v>112</v>
      </c>
      <c r="CV109" s="229">
        <v>0.5927</v>
      </c>
      <c r="CW109" s="230">
        <v>2801</v>
      </c>
      <c r="CX109" s="230">
        <v>2366</v>
      </c>
      <c r="CY109" s="228">
        <v>435</v>
      </c>
      <c r="CZ109" s="229">
        <v>0.1837</v>
      </c>
      <c r="DA109" s="228">
        <v>33.14</v>
      </c>
      <c r="DB109" s="228">
        <v>32.99</v>
      </c>
      <c r="DC109" s="228">
        <v>0.15</v>
      </c>
      <c r="DD109" s="228">
        <v>0.15</v>
      </c>
      <c r="DE109" s="228">
        <v>47.2</v>
      </c>
      <c r="DF109" s="228">
        <v>47</v>
      </c>
      <c r="DG109" s="228">
        <v>-14.06</v>
      </c>
      <c r="DH109" s="228">
        <v>0.2</v>
      </c>
      <c r="DI109" s="228">
        <v>33.299999999999997</v>
      </c>
      <c r="DJ109" s="228">
        <v>32.85</v>
      </c>
      <c r="DK109" s="228">
        <v>0.45</v>
      </c>
      <c r="DL109" s="228">
        <v>0.45</v>
      </c>
      <c r="DM109" s="228">
        <v>32.6</v>
      </c>
      <c r="DN109" s="228">
        <v>33.33</v>
      </c>
      <c r="DO109" s="228">
        <v>-0.73</v>
      </c>
      <c r="DP109" s="228">
        <v>-0.73</v>
      </c>
      <c r="DQ109" s="228">
        <v>0.56000000000000005</v>
      </c>
      <c r="DR109" s="228">
        <v>0.69</v>
      </c>
      <c r="DS109" s="228">
        <v>-0.13</v>
      </c>
      <c r="DT109" s="229">
        <v>-0.18840000000000001</v>
      </c>
      <c r="DU109" s="228">
        <v>530</v>
      </c>
      <c r="DV109" s="228">
        <v>500</v>
      </c>
      <c r="DW109" s="228">
        <v>0.28999999999999998</v>
      </c>
      <c r="DX109" s="228">
        <v>0.4</v>
      </c>
      <c r="DY109" s="228">
        <v>-0.11</v>
      </c>
      <c r="DZ109" s="229">
        <v>-0.27500000000000002</v>
      </c>
      <c r="EA109" s="229">
        <v>3.3700000000000001E-2</v>
      </c>
      <c r="EB109" s="230">
        <v>991700</v>
      </c>
      <c r="EC109" s="229">
        <v>5.4000000000000003E-3</v>
      </c>
      <c r="ED109" s="229">
        <v>3.3700000000000001E-2</v>
      </c>
      <c r="EE109" s="228">
        <v>5.03</v>
      </c>
      <c r="EF109" s="229">
        <v>9.7000000000000003E-3</v>
      </c>
      <c r="EG109" s="230">
        <v>3307880</v>
      </c>
      <c r="EH109" s="230">
        <v>981084</v>
      </c>
      <c r="EI109" s="229">
        <v>2.3717000000000001</v>
      </c>
      <c r="EJ109" s="229">
        <v>0.19320000000000001</v>
      </c>
      <c r="EK109" s="231">
        <v>4649.3500000000004</v>
      </c>
      <c r="EL109" s="231">
        <v>1244.1500000000001</v>
      </c>
      <c r="EM109" s="228">
        <v>815.89</v>
      </c>
      <c r="EN109" s="228">
        <v>24.69</v>
      </c>
      <c r="EO109" s="231">
        <v>6709.4</v>
      </c>
      <c r="EP109" s="228">
        <v>686.03</v>
      </c>
      <c r="EQ109" s="231">
        <v>6023.37</v>
      </c>
      <c r="ER109" s="229">
        <v>8.7800999999999991</v>
      </c>
      <c r="ES109" s="228">
        <v>555.84</v>
      </c>
      <c r="ET109" s="228">
        <v>283.26</v>
      </c>
      <c r="EU109" s="231">
        <v>1960.74</v>
      </c>
      <c r="EV109" s="231">
        <v>57654984</v>
      </c>
      <c r="EW109" s="231">
        <v>2799.83</v>
      </c>
      <c r="EX109" s="231">
        <v>2271.7399999999998</v>
      </c>
      <c r="EY109" s="228">
        <v>528.09</v>
      </c>
      <c r="EZ109" s="229">
        <v>0.23250000000000001</v>
      </c>
      <c r="FA109" s="229">
        <v>0.9284</v>
      </c>
      <c r="FB109" s="227" t="s">
        <v>555</v>
      </c>
      <c r="FC109">
        <f t="shared" si="1"/>
        <v>66</v>
      </c>
    </row>
    <row r="110" spans="1:159" ht="17.25" thickBot="1" x14ac:dyDescent="0.3">
      <c r="A110" s="226">
        <v>46029</v>
      </c>
      <c r="B110" s="227" t="s">
        <v>184</v>
      </c>
      <c r="C110" s="227" t="s">
        <v>676</v>
      </c>
      <c r="D110" s="228">
        <v>100</v>
      </c>
      <c r="E110" s="228">
        <v>20</v>
      </c>
      <c r="F110" s="231">
        <v>3850.8</v>
      </c>
      <c r="G110" s="231">
        <v>3794.5</v>
      </c>
      <c r="H110" s="228">
        <v>56.3</v>
      </c>
      <c r="I110" s="229">
        <v>1.4800000000000001E-2</v>
      </c>
      <c r="J110" s="231">
        <v>3831.3</v>
      </c>
      <c r="K110" s="231">
        <v>3791.4</v>
      </c>
      <c r="L110" s="228">
        <v>39.9</v>
      </c>
      <c r="M110" s="229">
        <v>1.0500000000000001E-2</v>
      </c>
      <c r="N110" s="231">
        <v>3850.8</v>
      </c>
      <c r="O110" s="231">
        <v>3794.5</v>
      </c>
      <c r="P110" s="228">
        <v>56.3</v>
      </c>
      <c r="Q110" s="229">
        <v>1.4800000000000001E-2</v>
      </c>
      <c r="R110" s="231">
        <v>3867</v>
      </c>
      <c r="S110" s="231">
        <v>3814.2</v>
      </c>
      <c r="T110" s="228">
        <v>52.8</v>
      </c>
      <c r="U110" s="229">
        <v>1.38E-2</v>
      </c>
      <c r="V110" s="231">
        <v>3888.6</v>
      </c>
      <c r="W110" s="231">
        <v>3836.3</v>
      </c>
      <c r="X110" s="228">
        <v>52.3</v>
      </c>
      <c r="Y110" s="229">
        <v>1.3599999999999999E-2</v>
      </c>
      <c r="Z110" s="228">
        <v>19.5</v>
      </c>
      <c r="AA110" s="228">
        <v>3.1</v>
      </c>
      <c r="AB110" s="228">
        <v>16.399999999999999</v>
      </c>
      <c r="AC110" s="229">
        <v>5.1000000000000004E-3</v>
      </c>
      <c r="AD110" s="228">
        <v>19.5</v>
      </c>
      <c r="AE110" s="228">
        <v>3.1</v>
      </c>
      <c r="AF110" s="228">
        <v>16.399999999999999</v>
      </c>
      <c r="AG110" s="229">
        <v>5.1000000000000004E-3</v>
      </c>
      <c r="AH110" s="228">
        <v>35.700000000000003</v>
      </c>
      <c r="AI110" s="228">
        <v>22.8</v>
      </c>
      <c r="AJ110" s="228">
        <v>12.9</v>
      </c>
      <c r="AK110" s="229">
        <v>9.2999999999999992E-3</v>
      </c>
      <c r="AL110" s="228">
        <v>57.3</v>
      </c>
      <c r="AM110" s="228">
        <v>44.9</v>
      </c>
      <c r="AN110" s="228">
        <v>12.4</v>
      </c>
      <c r="AO110" s="229">
        <v>1.4999999999999999E-2</v>
      </c>
      <c r="AP110" s="231">
        <v>3808.48</v>
      </c>
      <c r="AQ110" s="231">
        <v>3826.78</v>
      </c>
      <c r="AR110" s="228">
        <v>0</v>
      </c>
      <c r="AS110" s="228">
        <v>615</v>
      </c>
      <c r="AT110" s="228">
        <v>794</v>
      </c>
      <c r="AU110" s="228">
        <v>-179</v>
      </c>
      <c r="AV110" s="229">
        <v>-0.22559999999999999</v>
      </c>
      <c r="AW110" s="228">
        <v>578</v>
      </c>
      <c r="AX110" s="228">
        <v>698</v>
      </c>
      <c r="AY110" s="228">
        <v>-120</v>
      </c>
      <c r="AZ110" s="229">
        <v>-0.17249999999999999</v>
      </c>
      <c r="BA110" s="228">
        <v>31</v>
      </c>
      <c r="BB110" s="228">
        <v>84</v>
      </c>
      <c r="BC110" s="228">
        <v>-53</v>
      </c>
      <c r="BD110" s="229">
        <v>-0.63400000000000001</v>
      </c>
      <c r="BE110" s="228">
        <v>6</v>
      </c>
      <c r="BF110" s="228">
        <v>11</v>
      </c>
      <c r="BG110" s="228">
        <v>-5</v>
      </c>
      <c r="BH110" s="229">
        <v>-0.48299999999999998</v>
      </c>
      <c r="BI110" s="230">
        <v>2635</v>
      </c>
      <c r="BJ110" s="230">
        <v>3224</v>
      </c>
      <c r="BK110" s="228">
        <v>-589</v>
      </c>
      <c r="BL110" s="229">
        <v>-0.18279999999999999</v>
      </c>
      <c r="BM110" s="230">
        <v>1735</v>
      </c>
      <c r="BN110" s="230">
        <v>2522</v>
      </c>
      <c r="BO110" s="228">
        <v>-787</v>
      </c>
      <c r="BP110" s="229">
        <v>-0.31209999999999999</v>
      </c>
      <c r="BQ110" s="230">
        <v>4985</v>
      </c>
      <c r="BR110" s="230">
        <v>6540</v>
      </c>
      <c r="BS110" s="230">
        <v>-1556</v>
      </c>
      <c r="BT110" s="229">
        <v>-0.2379</v>
      </c>
      <c r="BU110" s="230">
        <v>2601002</v>
      </c>
      <c r="BV110" s="230">
        <v>3206059</v>
      </c>
      <c r="BW110" s="230">
        <v>-605057</v>
      </c>
      <c r="BX110" s="229">
        <v>-0.18870000000000001</v>
      </c>
      <c r="BY110" s="230">
        <v>1374</v>
      </c>
      <c r="BZ110" s="230">
        <v>1317</v>
      </c>
      <c r="CA110" s="228">
        <v>57</v>
      </c>
      <c r="CB110" s="229">
        <v>4.36E-2</v>
      </c>
      <c r="CC110" s="230">
        <v>1259</v>
      </c>
      <c r="CD110" s="230">
        <v>1205</v>
      </c>
      <c r="CE110" s="228">
        <v>54</v>
      </c>
      <c r="CF110" s="229">
        <v>4.4699999999999997E-2</v>
      </c>
      <c r="CG110" s="228">
        <v>102</v>
      </c>
      <c r="CH110" s="228">
        <v>100</v>
      </c>
      <c r="CI110" s="228">
        <v>2</v>
      </c>
      <c r="CJ110" s="229">
        <v>1.6500000000000001E-2</v>
      </c>
      <c r="CK110" s="228">
        <v>13</v>
      </c>
      <c r="CL110" s="228">
        <v>11</v>
      </c>
      <c r="CM110" s="228">
        <v>2</v>
      </c>
      <c r="CN110" s="229">
        <v>0.16270000000000001</v>
      </c>
      <c r="CO110" s="230">
        <v>1391</v>
      </c>
      <c r="CP110" s="230">
        <v>1298</v>
      </c>
      <c r="CQ110" s="228">
        <v>93</v>
      </c>
      <c r="CR110" s="229">
        <v>7.1400000000000005E-2</v>
      </c>
      <c r="CS110" s="228">
        <v>717</v>
      </c>
      <c r="CT110" s="228">
        <v>650</v>
      </c>
      <c r="CU110" s="228">
        <v>67</v>
      </c>
      <c r="CV110" s="229">
        <v>0.10249999999999999</v>
      </c>
      <c r="CW110" s="230">
        <v>3482</v>
      </c>
      <c r="CX110" s="230">
        <v>3265</v>
      </c>
      <c r="CY110" s="228">
        <v>217</v>
      </c>
      <c r="CZ110" s="229">
        <v>6.6400000000000001E-2</v>
      </c>
      <c r="DA110" s="228">
        <v>50.68</v>
      </c>
      <c r="DB110" s="228">
        <v>52.17</v>
      </c>
      <c r="DC110" s="228">
        <v>-1.49</v>
      </c>
      <c r="DD110" s="228">
        <v>-1.49</v>
      </c>
      <c r="DE110" s="228">
        <v>61.85</v>
      </c>
      <c r="DF110" s="228">
        <v>61.99</v>
      </c>
      <c r="DG110" s="228">
        <v>-11.17</v>
      </c>
      <c r="DH110" s="228">
        <v>-0.14000000000000001</v>
      </c>
      <c r="DI110" s="228">
        <v>48.96</v>
      </c>
      <c r="DJ110" s="228">
        <v>50.18</v>
      </c>
      <c r="DK110" s="228">
        <v>-1.22</v>
      </c>
      <c r="DL110" s="228">
        <v>-1.22</v>
      </c>
      <c r="DM110" s="228">
        <v>53.29</v>
      </c>
      <c r="DN110" s="228">
        <v>54.71</v>
      </c>
      <c r="DO110" s="228">
        <v>-1.42</v>
      </c>
      <c r="DP110" s="228">
        <v>-1.42</v>
      </c>
      <c r="DQ110" s="228">
        <v>0.52</v>
      </c>
      <c r="DR110" s="228">
        <v>0.5</v>
      </c>
      <c r="DS110" s="228">
        <v>0.02</v>
      </c>
      <c r="DT110" s="229">
        <v>0.04</v>
      </c>
      <c r="DU110" s="231">
        <v>4000</v>
      </c>
      <c r="DV110" s="231">
        <v>4000</v>
      </c>
      <c r="DW110" s="228">
        <v>0.66</v>
      </c>
      <c r="DX110" s="228">
        <v>0.78</v>
      </c>
      <c r="DY110" s="228">
        <v>-0.12</v>
      </c>
      <c r="DZ110" s="229">
        <v>-0.15379999999999999</v>
      </c>
      <c r="EA110" s="229">
        <v>8.3799999999999999E-2</v>
      </c>
      <c r="EB110" s="230">
        <v>290000</v>
      </c>
      <c r="EC110" s="229">
        <v>4.1999999999999997E-3</v>
      </c>
      <c r="ED110" s="229">
        <v>8.3799999999999999E-2</v>
      </c>
      <c r="EE110" s="228">
        <v>18.3</v>
      </c>
      <c r="EF110" s="229">
        <v>4.7999999999999996E-3</v>
      </c>
      <c r="EG110" s="230">
        <v>383586</v>
      </c>
      <c r="EH110" s="230">
        <v>879314</v>
      </c>
      <c r="EI110" s="229">
        <v>-0.56379999999999997</v>
      </c>
      <c r="EJ110" s="229">
        <v>0.14749999999999999</v>
      </c>
      <c r="EK110" s="231">
        <v>2856.08</v>
      </c>
      <c r="EL110" s="231">
        <v>1663.87</v>
      </c>
      <c r="EM110" s="228">
        <v>607.99</v>
      </c>
      <c r="EN110" s="228">
        <v>107.52</v>
      </c>
      <c r="EO110" s="231">
        <v>5127.93</v>
      </c>
      <c r="EP110" s="231">
        <v>6806.99</v>
      </c>
      <c r="EQ110" s="231">
        <v>-1679.06</v>
      </c>
      <c r="ER110" s="229">
        <v>-0.2467</v>
      </c>
      <c r="ES110" s="231">
        <v>1562.8</v>
      </c>
      <c r="ET110" s="228">
        <v>703.21</v>
      </c>
      <c r="EU110" s="231">
        <v>1374.76</v>
      </c>
      <c r="EV110" s="231">
        <v>4679418</v>
      </c>
      <c r="EW110" s="231">
        <v>3640.76</v>
      </c>
      <c r="EX110" s="231">
        <v>3404.49</v>
      </c>
      <c r="EY110" s="228">
        <v>236.27</v>
      </c>
      <c r="EZ110" s="229">
        <v>6.9400000000000003E-2</v>
      </c>
      <c r="FA110" s="229">
        <v>1.9322999999999999</v>
      </c>
      <c r="FB110" s="227" t="s">
        <v>555</v>
      </c>
      <c r="FC110">
        <f t="shared" si="1"/>
        <v>115</v>
      </c>
    </row>
    <row r="111" spans="1:159" ht="17.25" thickBot="1" x14ac:dyDescent="0.3">
      <c r="A111" s="226">
        <v>46029</v>
      </c>
      <c r="B111" s="227" t="s">
        <v>161</v>
      </c>
      <c r="C111" s="227" t="s">
        <v>610</v>
      </c>
      <c r="D111" s="228">
        <v>175</v>
      </c>
      <c r="E111" s="228">
        <v>20</v>
      </c>
      <c r="F111" s="231">
        <v>4559.6000000000004</v>
      </c>
      <c r="G111" s="231">
        <v>4545.1000000000004</v>
      </c>
      <c r="H111" s="228">
        <v>14.5</v>
      </c>
      <c r="I111" s="229">
        <v>3.2000000000000002E-3</v>
      </c>
      <c r="J111" s="231">
        <v>4538.2</v>
      </c>
      <c r="K111" s="231">
        <v>4526.2</v>
      </c>
      <c r="L111" s="228">
        <v>12</v>
      </c>
      <c r="M111" s="229">
        <v>2.7000000000000001E-3</v>
      </c>
      <c r="N111" s="231">
        <v>4559.6000000000004</v>
      </c>
      <c r="O111" s="231">
        <v>4545.1000000000004</v>
      </c>
      <c r="P111" s="228">
        <v>14.5</v>
      </c>
      <c r="Q111" s="229">
        <v>3.2000000000000002E-3</v>
      </c>
      <c r="R111" s="231">
        <v>4568.3</v>
      </c>
      <c r="S111" s="231">
        <v>4553</v>
      </c>
      <c r="T111" s="228">
        <v>15.3</v>
      </c>
      <c r="U111" s="229">
        <v>3.3999999999999998E-3</v>
      </c>
      <c r="V111" s="228">
        <v>0</v>
      </c>
      <c r="W111" s="228">
        <v>0</v>
      </c>
      <c r="X111" s="228">
        <v>0</v>
      </c>
      <c r="Y111" s="229">
        <v>0</v>
      </c>
      <c r="Z111" s="228">
        <v>21.4</v>
      </c>
      <c r="AA111" s="228">
        <v>18.899999999999999</v>
      </c>
      <c r="AB111" s="228">
        <v>2.5</v>
      </c>
      <c r="AC111" s="229">
        <v>4.7000000000000002E-3</v>
      </c>
      <c r="AD111" s="228">
        <v>21.4</v>
      </c>
      <c r="AE111" s="228">
        <v>18.899999999999999</v>
      </c>
      <c r="AF111" s="228">
        <v>2.5</v>
      </c>
      <c r="AG111" s="229">
        <v>4.7000000000000002E-3</v>
      </c>
      <c r="AH111" s="228">
        <v>30.1</v>
      </c>
      <c r="AI111" s="228">
        <v>26.8</v>
      </c>
      <c r="AJ111" s="228">
        <v>3.3</v>
      </c>
      <c r="AK111" s="229">
        <v>6.6E-3</v>
      </c>
      <c r="AL111" s="228">
        <v>0</v>
      </c>
      <c r="AM111" s="228">
        <v>0</v>
      </c>
      <c r="AN111" s="228">
        <v>0</v>
      </c>
      <c r="AO111" s="229">
        <v>0</v>
      </c>
      <c r="AP111" s="231">
        <v>4574.46</v>
      </c>
      <c r="AQ111" s="231">
        <v>4586.07</v>
      </c>
      <c r="AR111" s="228">
        <v>0</v>
      </c>
      <c r="AS111" s="228">
        <v>147</v>
      </c>
      <c r="AT111" s="228">
        <v>77</v>
      </c>
      <c r="AU111" s="228">
        <v>71</v>
      </c>
      <c r="AV111" s="229">
        <v>0.92100000000000004</v>
      </c>
      <c r="AW111" s="228">
        <v>146</v>
      </c>
      <c r="AX111" s="228">
        <v>75</v>
      </c>
      <c r="AY111" s="228">
        <v>71</v>
      </c>
      <c r="AZ111" s="229">
        <v>0.95520000000000005</v>
      </c>
      <c r="BA111" s="228">
        <v>1</v>
      </c>
      <c r="BB111" s="228">
        <v>2</v>
      </c>
      <c r="BC111" s="228">
        <v>-1</v>
      </c>
      <c r="BD111" s="229">
        <v>-0.36</v>
      </c>
      <c r="BE111" s="228">
        <v>0</v>
      </c>
      <c r="BF111" s="228">
        <v>0</v>
      </c>
      <c r="BG111" s="228">
        <v>0</v>
      </c>
      <c r="BH111" s="229">
        <v>0</v>
      </c>
      <c r="BI111" s="228">
        <v>316</v>
      </c>
      <c r="BJ111" s="228">
        <v>175</v>
      </c>
      <c r="BK111" s="228">
        <v>141</v>
      </c>
      <c r="BL111" s="229">
        <v>0.80569999999999997</v>
      </c>
      <c r="BM111" s="228">
        <v>86</v>
      </c>
      <c r="BN111" s="228">
        <v>63</v>
      </c>
      <c r="BO111" s="228">
        <v>23</v>
      </c>
      <c r="BP111" s="229">
        <v>0.35849999999999999</v>
      </c>
      <c r="BQ111" s="228">
        <v>550</v>
      </c>
      <c r="BR111" s="228">
        <v>315</v>
      </c>
      <c r="BS111" s="228">
        <v>234</v>
      </c>
      <c r="BT111" s="229">
        <v>0.74380000000000002</v>
      </c>
      <c r="BU111" s="230">
        <v>115843</v>
      </c>
      <c r="BV111" s="230">
        <v>106326</v>
      </c>
      <c r="BW111" s="230">
        <v>9517</v>
      </c>
      <c r="BX111" s="229">
        <v>8.9499999999999996E-2</v>
      </c>
      <c r="BY111" s="228">
        <v>438</v>
      </c>
      <c r="BZ111" s="228">
        <v>408</v>
      </c>
      <c r="CA111" s="228">
        <v>30</v>
      </c>
      <c r="CB111" s="229">
        <v>7.3200000000000001E-2</v>
      </c>
      <c r="CC111" s="228">
        <v>433</v>
      </c>
      <c r="CD111" s="228">
        <v>404</v>
      </c>
      <c r="CE111" s="228">
        <v>30</v>
      </c>
      <c r="CF111" s="229">
        <v>7.3300000000000004E-2</v>
      </c>
      <c r="CG111" s="228">
        <v>4</v>
      </c>
      <c r="CH111" s="228">
        <v>4</v>
      </c>
      <c r="CI111" s="228">
        <v>0</v>
      </c>
      <c r="CJ111" s="229">
        <v>6.25E-2</v>
      </c>
      <c r="CK111" s="228">
        <v>0</v>
      </c>
      <c r="CL111" s="228">
        <v>0</v>
      </c>
      <c r="CM111" s="228">
        <v>0</v>
      </c>
      <c r="CN111" s="229">
        <v>0</v>
      </c>
      <c r="CO111" s="228">
        <v>208</v>
      </c>
      <c r="CP111" s="228">
        <v>183</v>
      </c>
      <c r="CQ111" s="228">
        <v>26</v>
      </c>
      <c r="CR111" s="229">
        <v>0.14019999999999999</v>
      </c>
      <c r="CS111" s="228">
        <v>142</v>
      </c>
      <c r="CT111" s="228">
        <v>134</v>
      </c>
      <c r="CU111" s="228">
        <v>8</v>
      </c>
      <c r="CV111" s="229">
        <v>5.5899999999999998E-2</v>
      </c>
      <c r="CW111" s="228">
        <v>787</v>
      </c>
      <c r="CX111" s="228">
        <v>725</v>
      </c>
      <c r="CY111" s="228">
        <v>63</v>
      </c>
      <c r="CZ111" s="229">
        <v>8.6900000000000005E-2</v>
      </c>
      <c r="DA111" s="228">
        <v>29.06</v>
      </c>
      <c r="DB111" s="228">
        <v>28.14</v>
      </c>
      <c r="DC111" s="228">
        <v>0.92</v>
      </c>
      <c r="DD111" s="228">
        <v>0.92</v>
      </c>
      <c r="DE111" s="228">
        <v>44.99</v>
      </c>
      <c r="DF111" s="228">
        <v>45.1</v>
      </c>
      <c r="DG111" s="228">
        <v>-15.93</v>
      </c>
      <c r="DH111" s="228">
        <v>-0.11</v>
      </c>
      <c r="DI111" s="228">
        <v>29.02</v>
      </c>
      <c r="DJ111" s="228">
        <v>27.91</v>
      </c>
      <c r="DK111" s="228">
        <v>1.1100000000000001</v>
      </c>
      <c r="DL111" s="228">
        <v>1.1100000000000001</v>
      </c>
      <c r="DM111" s="228">
        <v>29.21</v>
      </c>
      <c r="DN111" s="228">
        <v>28.79</v>
      </c>
      <c r="DO111" s="228">
        <v>0.42</v>
      </c>
      <c r="DP111" s="228">
        <v>0.42</v>
      </c>
      <c r="DQ111" s="228">
        <v>0.68</v>
      </c>
      <c r="DR111" s="228">
        <v>0.73</v>
      </c>
      <c r="DS111" s="228">
        <v>-0.05</v>
      </c>
      <c r="DT111" s="229">
        <v>-6.8500000000000005E-2</v>
      </c>
      <c r="DU111" s="231">
        <v>4600</v>
      </c>
      <c r="DV111" s="231">
        <v>4400</v>
      </c>
      <c r="DW111" s="228">
        <v>0.27</v>
      </c>
      <c r="DX111" s="228">
        <v>0.36</v>
      </c>
      <c r="DY111" s="228">
        <v>-0.09</v>
      </c>
      <c r="DZ111" s="229">
        <v>-0.25</v>
      </c>
      <c r="EA111" s="229">
        <v>9.2999999999999992E-3</v>
      </c>
      <c r="EB111" s="230">
        <v>8400</v>
      </c>
      <c r="EC111" s="229">
        <v>1.9E-3</v>
      </c>
      <c r="ED111" s="229">
        <v>9.2999999999999992E-3</v>
      </c>
      <c r="EE111" s="228">
        <v>11.61</v>
      </c>
      <c r="EF111" s="229">
        <v>2.5000000000000001E-3</v>
      </c>
      <c r="EG111" s="230">
        <v>57621</v>
      </c>
      <c r="EH111" s="230">
        <v>50170</v>
      </c>
      <c r="EI111" s="229">
        <v>0.14849999999999999</v>
      </c>
      <c r="EJ111" s="229">
        <v>0.49740000000000001</v>
      </c>
      <c r="EK111" s="228">
        <v>332.79</v>
      </c>
      <c r="EL111" s="228">
        <v>85.21</v>
      </c>
      <c r="EM111" s="228">
        <v>147.94</v>
      </c>
      <c r="EN111" s="228">
        <v>12.85</v>
      </c>
      <c r="EO111" s="228">
        <v>565.94000000000005</v>
      </c>
      <c r="EP111" s="228">
        <v>321.27999999999997</v>
      </c>
      <c r="EQ111" s="228">
        <v>244.66</v>
      </c>
      <c r="ER111" s="229">
        <v>0.76149999999999995</v>
      </c>
      <c r="ES111" s="228">
        <v>213.43</v>
      </c>
      <c r="ET111" s="228">
        <v>135.63</v>
      </c>
      <c r="EU111" s="228">
        <v>437.51</v>
      </c>
      <c r="EV111" s="231">
        <v>8553821</v>
      </c>
      <c r="EW111" s="228">
        <v>786.57</v>
      </c>
      <c r="EX111" s="228">
        <v>720.86</v>
      </c>
      <c r="EY111" s="228">
        <v>65.709999999999994</v>
      </c>
      <c r="EZ111" s="229">
        <v>9.1200000000000003E-2</v>
      </c>
      <c r="FA111" s="229">
        <v>0.2019</v>
      </c>
      <c r="FB111" s="227" t="s">
        <v>555</v>
      </c>
      <c r="FC111">
        <f t="shared" si="1"/>
        <v>5</v>
      </c>
    </row>
    <row r="112" spans="1:159" ht="17.25" thickBot="1" x14ac:dyDescent="0.3">
      <c r="A112" s="226">
        <v>46029</v>
      </c>
      <c r="B112" s="227" t="s">
        <v>175</v>
      </c>
      <c r="C112" s="227" t="s">
        <v>683</v>
      </c>
      <c r="D112" s="228">
        <v>500</v>
      </c>
      <c r="E112" s="228">
        <v>20</v>
      </c>
      <c r="F112" s="231">
        <v>1068.8</v>
      </c>
      <c r="G112" s="231">
        <v>1062.2</v>
      </c>
      <c r="H112" s="228">
        <v>6.6</v>
      </c>
      <c r="I112" s="229">
        <v>6.1999999999999998E-3</v>
      </c>
      <c r="J112" s="231">
        <v>1074.4000000000001</v>
      </c>
      <c r="K112" s="231">
        <v>1074.7</v>
      </c>
      <c r="L112" s="228">
        <v>-0.3</v>
      </c>
      <c r="M112" s="229">
        <v>-2.9999999999999997E-4</v>
      </c>
      <c r="N112" s="231">
        <v>1068.8</v>
      </c>
      <c r="O112" s="231">
        <v>1062.2</v>
      </c>
      <c r="P112" s="228">
        <v>6.6</v>
      </c>
      <c r="Q112" s="229">
        <v>6.1999999999999998E-3</v>
      </c>
      <c r="R112" s="231">
        <v>1062.0999999999999</v>
      </c>
      <c r="S112" s="231">
        <v>1054.5</v>
      </c>
      <c r="T112" s="228">
        <v>7.6</v>
      </c>
      <c r="U112" s="229">
        <v>7.1999999999999998E-3</v>
      </c>
      <c r="V112" s="231">
        <v>1047.5</v>
      </c>
      <c r="W112" s="231">
        <v>1051.7</v>
      </c>
      <c r="X112" s="228">
        <v>-4.2</v>
      </c>
      <c r="Y112" s="229">
        <v>-4.0000000000000001E-3</v>
      </c>
      <c r="Z112" s="228">
        <v>-5.6</v>
      </c>
      <c r="AA112" s="228">
        <v>-12.5</v>
      </c>
      <c r="AB112" s="228">
        <v>6.9</v>
      </c>
      <c r="AC112" s="229">
        <v>-5.1999999999999998E-3</v>
      </c>
      <c r="AD112" s="228">
        <v>-5.6</v>
      </c>
      <c r="AE112" s="228">
        <v>-12.5</v>
      </c>
      <c r="AF112" s="228">
        <v>6.9</v>
      </c>
      <c r="AG112" s="229">
        <v>-5.1999999999999998E-3</v>
      </c>
      <c r="AH112" s="228">
        <v>-12.3</v>
      </c>
      <c r="AI112" s="228">
        <v>-20.2</v>
      </c>
      <c r="AJ112" s="228">
        <v>7.9</v>
      </c>
      <c r="AK112" s="229">
        <v>-1.14E-2</v>
      </c>
      <c r="AL112" s="228">
        <v>-26.9</v>
      </c>
      <c r="AM112" s="228">
        <v>-23</v>
      </c>
      <c r="AN112" s="228">
        <v>-3.9</v>
      </c>
      <c r="AO112" s="229">
        <v>-2.5000000000000001E-2</v>
      </c>
      <c r="AP112" s="231">
        <v>1062.46</v>
      </c>
      <c r="AQ112" s="231">
        <v>1053.3499999999999</v>
      </c>
      <c r="AR112" s="228">
        <v>0</v>
      </c>
      <c r="AS112" s="228">
        <v>153</v>
      </c>
      <c r="AT112" s="228">
        <v>140</v>
      </c>
      <c r="AU112" s="228">
        <v>13</v>
      </c>
      <c r="AV112" s="229">
        <v>9.3399999999999997E-2</v>
      </c>
      <c r="AW112" s="228">
        <v>136</v>
      </c>
      <c r="AX112" s="228">
        <v>128</v>
      </c>
      <c r="AY112" s="228">
        <v>8</v>
      </c>
      <c r="AZ112" s="229">
        <v>6.3E-2</v>
      </c>
      <c r="BA112" s="228">
        <v>17</v>
      </c>
      <c r="BB112" s="228">
        <v>12</v>
      </c>
      <c r="BC112" s="228">
        <v>6</v>
      </c>
      <c r="BD112" s="229">
        <v>0.47470000000000001</v>
      </c>
      <c r="BE112" s="228">
        <v>0</v>
      </c>
      <c r="BF112" s="228">
        <v>1</v>
      </c>
      <c r="BG112" s="228">
        <v>0</v>
      </c>
      <c r="BH112" s="229">
        <v>-0.9</v>
      </c>
      <c r="BI112" s="228">
        <v>147</v>
      </c>
      <c r="BJ112" s="228">
        <v>111</v>
      </c>
      <c r="BK112" s="228">
        <v>36</v>
      </c>
      <c r="BL112" s="229">
        <v>0.32579999999999998</v>
      </c>
      <c r="BM112" s="228">
        <v>36</v>
      </c>
      <c r="BN112" s="228">
        <v>53</v>
      </c>
      <c r="BO112" s="228">
        <v>-16</v>
      </c>
      <c r="BP112" s="229">
        <v>-0.30659999999999998</v>
      </c>
      <c r="BQ112" s="228">
        <v>337</v>
      </c>
      <c r="BR112" s="228">
        <v>304</v>
      </c>
      <c r="BS112" s="228">
        <v>33</v>
      </c>
      <c r="BT112" s="229">
        <v>0.10879999999999999</v>
      </c>
      <c r="BU112" s="230">
        <v>1061795</v>
      </c>
      <c r="BV112" s="230">
        <v>1440672</v>
      </c>
      <c r="BW112" s="230">
        <v>-378877</v>
      </c>
      <c r="BX112" s="229">
        <v>-0.26300000000000001</v>
      </c>
      <c r="BY112" s="228">
        <v>452</v>
      </c>
      <c r="BZ112" s="228">
        <v>438</v>
      </c>
      <c r="CA112" s="228">
        <v>13</v>
      </c>
      <c r="CB112" s="229">
        <v>3.0700000000000002E-2</v>
      </c>
      <c r="CC112" s="228">
        <v>424</v>
      </c>
      <c r="CD112" s="228">
        <v>417</v>
      </c>
      <c r="CE112" s="228">
        <v>8</v>
      </c>
      <c r="CF112" s="229">
        <v>1.83E-2</v>
      </c>
      <c r="CG112" s="228">
        <v>26</v>
      </c>
      <c r="CH112" s="228">
        <v>20</v>
      </c>
      <c r="CI112" s="228">
        <v>6</v>
      </c>
      <c r="CJ112" s="229">
        <v>0.2853</v>
      </c>
      <c r="CK112" s="228">
        <v>1</v>
      </c>
      <c r="CL112" s="228">
        <v>1</v>
      </c>
      <c r="CM112" s="228">
        <v>0</v>
      </c>
      <c r="CN112" s="229">
        <v>0</v>
      </c>
      <c r="CO112" s="228">
        <v>151</v>
      </c>
      <c r="CP112" s="228">
        <v>138</v>
      </c>
      <c r="CQ112" s="228">
        <v>13</v>
      </c>
      <c r="CR112" s="229">
        <v>9.2700000000000005E-2</v>
      </c>
      <c r="CS112" s="228">
        <v>102</v>
      </c>
      <c r="CT112" s="228">
        <v>102</v>
      </c>
      <c r="CU112" s="228">
        <v>1</v>
      </c>
      <c r="CV112" s="229">
        <v>9.4999999999999998E-3</v>
      </c>
      <c r="CW112" s="228">
        <v>706</v>
      </c>
      <c r="CX112" s="228">
        <v>678</v>
      </c>
      <c r="CY112" s="228">
        <v>27</v>
      </c>
      <c r="CZ112" s="229">
        <v>4.02E-2</v>
      </c>
      <c r="DA112" s="228">
        <v>32.83</v>
      </c>
      <c r="DB112" s="228">
        <v>33.03</v>
      </c>
      <c r="DC112" s="228">
        <v>-0.2</v>
      </c>
      <c r="DD112" s="228">
        <v>-0.2</v>
      </c>
      <c r="DE112" s="228">
        <v>51.41</v>
      </c>
      <c r="DF112" s="228">
        <v>51.53</v>
      </c>
      <c r="DG112" s="228">
        <v>-18.579999999999998</v>
      </c>
      <c r="DH112" s="228">
        <v>-0.12</v>
      </c>
      <c r="DI112" s="228">
        <v>32.44</v>
      </c>
      <c r="DJ112" s="228">
        <v>32.869999999999997</v>
      </c>
      <c r="DK112" s="228">
        <v>-0.43</v>
      </c>
      <c r="DL112" s="228">
        <v>-0.43</v>
      </c>
      <c r="DM112" s="228">
        <v>34.43</v>
      </c>
      <c r="DN112" s="228">
        <v>33.369999999999997</v>
      </c>
      <c r="DO112" s="228">
        <v>1.06</v>
      </c>
      <c r="DP112" s="228">
        <v>1.06</v>
      </c>
      <c r="DQ112" s="228">
        <v>0.68</v>
      </c>
      <c r="DR112" s="228">
        <v>0.73</v>
      </c>
      <c r="DS112" s="228">
        <v>-0.05</v>
      </c>
      <c r="DT112" s="229">
        <v>-6.8500000000000005E-2</v>
      </c>
      <c r="DU112" s="231">
        <v>1100</v>
      </c>
      <c r="DV112" s="231">
        <v>1000</v>
      </c>
      <c r="DW112" s="228">
        <v>0.25</v>
      </c>
      <c r="DX112" s="228">
        <v>0.48</v>
      </c>
      <c r="DY112" s="228">
        <v>-0.23</v>
      </c>
      <c r="DZ112" s="229">
        <v>-0.47920000000000001</v>
      </c>
      <c r="EA112" s="229">
        <v>6.0900000000000003E-2</v>
      </c>
      <c r="EB112" s="230">
        <v>203000</v>
      </c>
      <c r="EC112" s="229">
        <v>-6.3E-3</v>
      </c>
      <c r="ED112" s="229">
        <v>6.0900000000000003E-2</v>
      </c>
      <c r="EE112" s="228">
        <v>-9.11</v>
      </c>
      <c r="EF112" s="229">
        <v>-8.6E-3</v>
      </c>
      <c r="EG112" s="230">
        <v>467806</v>
      </c>
      <c r="EH112" s="230">
        <v>673922</v>
      </c>
      <c r="EI112" s="229">
        <v>-0.30580000000000002</v>
      </c>
      <c r="EJ112" s="229">
        <v>0.44059999999999999</v>
      </c>
      <c r="EK112" s="228">
        <v>155.63</v>
      </c>
      <c r="EL112" s="228">
        <v>34.909999999999997</v>
      </c>
      <c r="EM112" s="228">
        <v>152.21</v>
      </c>
      <c r="EN112" s="228">
        <v>19.05</v>
      </c>
      <c r="EO112" s="228">
        <v>342.75</v>
      </c>
      <c r="EP112" s="228">
        <v>305.75</v>
      </c>
      <c r="EQ112" s="228">
        <v>37.01</v>
      </c>
      <c r="ER112" s="229">
        <v>0.121</v>
      </c>
      <c r="ES112" s="228">
        <v>160.44</v>
      </c>
      <c r="ET112" s="228">
        <v>99.5</v>
      </c>
      <c r="EU112" s="228">
        <v>451.65</v>
      </c>
      <c r="EV112" s="231">
        <v>19924232</v>
      </c>
      <c r="EW112" s="228">
        <v>711.59</v>
      </c>
      <c r="EX112" s="228">
        <v>680.6</v>
      </c>
      <c r="EY112" s="228">
        <v>30.99</v>
      </c>
      <c r="EZ112" s="229">
        <v>4.5499999999999999E-2</v>
      </c>
      <c r="FA112" s="229">
        <v>0.33129999999999998</v>
      </c>
      <c r="FB112" s="227" t="s">
        <v>555</v>
      </c>
      <c r="FC112">
        <f t="shared" si="1"/>
        <v>28</v>
      </c>
    </row>
    <row r="113" spans="1:159" ht="17.25" thickBot="1" x14ac:dyDescent="0.3">
      <c r="A113" s="226">
        <v>46029</v>
      </c>
      <c r="B113" s="227" t="s">
        <v>172</v>
      </c>
      <c r="C113" s="227" t="s">
        <v>246</v>
      </c>
      <c r="D113" s="228">
        <v>400</v>
      </c>
      <c r="E113" s="228">
        <v>20</v>
      </c>
      <c r="F113" s="231">
        <v>2149.8000000000002</v>
      </c>
      <c r="G113" s="231">
        <v>2151.6</v>
      </c>
      <c r="H113" s="228">
        <v>-1.8</v>
      </c>
      <c r="I113" s="229">
        <v>-8.0000000000000004E-4</v>
      </c>
      <c r="J113" s="231">
        <v>2144</v>
      </c>
      <c r="K113" s="231">
        <v>2146.4</v>
      </c>
      <c r="L113" s="228">
        <v>-2.4</v>
      </c>
      <c r="M113" s="229">
        <v>-1.1000000000000001E-3</v>
      </c>
      <c r="N113" s="231">
        <v>2149.8000000000002</v>
      </c>
      <c r="O113" s="231">
        <v>2151.6</v>
      </c>
      <c r="P113" s="228">
        <v>-1.8</v>
      </c>
      <c r="Q113" s="229">
        <v>-8.0000000000000004E-4</v>
      </c>
      <c r="R113" s="231">
        <v>2162.1999999999998</v>
      </c>
      <c r="S113" s="231">
        <v>2164.8000000000002</v>
      </c>
      <c r="T113" s="228">
        <v>-2.6</v>
      </c>
      <c r="U113" s="229">
        <v>-1.1999999999999999E-3</v>
      </c>
      <c r="V113" s="231">
        <v>2176.8000000000002</v>
      </c>
      <c r="W113" s="231">
        <v>2180</v>
      </c>
      <c r="X113" s="228">
        <v>-3.2</v>
      </c>
      <c r="Y113" s="229">
        <v>-1.5E-3</v>
      </c>
      <c r="Z113" s="228">
        <v>5.8</v>
      </c>
      <c r="AA113" s="228">
        <v>5.2</v>
      </c>
      <c r="AB113" s="228">
        <v>0.6</v>
      </c>
      <c r="AC113" s="229">
        <v>2.7000000000000001E-3</v>
      </c>
      <c r="AD113" s="228">
        <v>5.8</v>
      </c>
      <c r="AE113" s="228">
        <v>5.2</v>
      </c>
      <c r="AF113" s="228">
        <v>0.6</v>
      </c>
      <c r="AG113" s="229">
        <v>2.7000000000000001E-3</v>
      </c>
      <c r="AH113" s="228">
        <v>18.2</v>
      </c>
      <c r="AI113" s="228">
        <v>18.399999999999999</v>
      </c>
      <c r="AJ113" s="228">
        <v>-0.2</v>
      </c>
      <c r="AK113" s="229">
        <v>8.5000000000000006E-3</v>
      </c>
      <c r="AL113" s="228">
        <v>32.799999999999997</v>
      </c>
      <c r="AM113" s="228">
        <v>33.6</v>
      </c>
      <c r="AN113" s="228">
        <v>-0.8</v>
      </c>
      <c r="AO113" s="229">
        <v>1.5299999999999999E-2</v>
      </c>
      <c r="AP113" s="231">
        <v>2140.44</v>
      </c>
      <c r="AQ113" s="231">
        <v>2148.5300000000002</v>
      </c>
      <c r="AR113" s="228">
        <v>0</v>
      </c>
      <c r="AS113" s="228">
        <v>947</v>
      </c>
      <c r="AT113" s="230">
        <v>1499</v>
      </c>
      <c r="AU113" s="228">
        <v>-552</v>
      </c>
      <c r="AV113" s="229">
        <v>-0.36820000000000003</v>
      </c>
      <c r="AW113" s="228">
        <v>895</v>
      </c>
      <c r="AX113" s="230">
        <v>1446</v>
      </c>
      <c r="AY113" s="228">
        <v>-550</v>
      </c>
      <c r="AZ113" s="229">
        <v>-0.3805</v>
      </c>
      <c r="BA113" s="228">
        <v>35</v>
      </c>
      <c r="BB113" s="228">
        <v>49</v>
      </c>
      <c r="BC113" s="228">
        <v>-13</v>
      </c>
      <c r="BD113" s="229">
        <v>-0.27210000000000001</v>
      </c>
      <c r="BE113" s="228">
        <v>16</v>
      </c>
      <c r="BF113" s="228">
        <v>4</v>
      </c>
      <c r="BG113" s="228">
        <v>12</v>
      </c>
      <c r="BH113" s="229">
        <v>2.6274999999999999</v>
      </c>
      <c r="BI113" s="230">
        <v>2478</v>
      </c>
      <c r="BJ113" s="230">
        <v>4504</v>
      </c>
      <c r="BK113" s="230">
        <v>-2026</v>
      </c>
      <c r="BL113" s="229">
        <v>-0.44979999999999998</v>
      </c>
      <c r="BM113" s="230">
        <v>1537</v>
      </c>
      <c r="BN113" s="230">
        <v>2866</v>
      </c>
      <c r="BO113" s="230">
        <v>-1330</v>
      </c>
      <c r="BP113" s="229">
        <v>-0.46379999999999999</v>
      </c>
      <c r="BQ113" s="230">
        <v>4962</v>
      </c>
      <c r="BR113" s="230">
        <v>8869</v>
      </c>
      <c r="BS113" s="230">
        <v>-3907</v>
      </c>
      <c r="BT113" s="229">
        <v>-0.4405</v>
      </c>
      <c r="BU113" s="230">
        <v>3306480</v>
      </c>
      <c r="BV113" s="230">
        <v>5395470</v>
      </c>
      <c r="BW113" s="230">
        <v>-2088990</v>
      </c>
      <c r="BX113" s="229">
        <v>-0.38719999999999999</v>
      </c>
      <c r="BY113" s="230">
        <v>8284</v>
      </c>
      <c r="BZ113" s="230">
        <v>8344</v>
      </c>
      <c r="CA113" s="228">
        <v>-60</v>
      </c>
      <c r="CB113" s="229">
        <v>-7.1000000000000004E-3</v>
      </c>
      <c r="CC113" s="230">
        <v>8176</v>
      </c>
      <c r="CD113" s="230">
        <v>8259</v>
      </c>
      <c r="CE113" s="228">
        <v>-82</v>
      </c>
      <c r="CF113" s="229">
        <v>-0.01</v>
      </c>
      <c r="CG113" s="228">
        <v>89</v>
      </c>
      <c r="CH113" s="228">
        <v>76</v>
      </c>
      <c r="CI113" s="228">
        <v>13</v>
      </c>
      <c r="CJ113" s="229">
        <v>0.1729</v>
      </c>
      <c r="CK113" s="228">
        <v>19</v>
      </c>
      <c r="CL113" s="228">
        <v>9</v>
      </c>
      <c r="CM113" s="228">
        <v>10</v>
      </c>
      <c r="CN113" s="229">
        <v>1.0455000000000001</v>
      </c>
      <c r="CO113" s="230">
        <v>1826</v>
      </c>
      <c r="CP113" s="230">
        <v>1671</v>
      </c>
      <c r="CQ113" s="228">
        <v>155</v>
      </c>
      <c r="CR113" s="229">
        <v>9.2499999999999999E-2</v>
      </c>
      <c r="CS113" s="230">
        <v>1151</v>
      </c>
      <c r="CT113" s="230">
        <v>1012</v>
      </c>
      <c r="CU113" s="228">
        <v>139</v>
      </c>
      <c r="CV113" s="229">
        <v>0.13719999999999999</v>
      </c>
      <c r="CW113" s="230">
        <v>11261</v>
      </c>
      <c r="CX113" s="230">
        <v>11027</v>
      </c>
      <c r="CY113" s="228">
        <v>234</v>
      </c>
      <c r="CZ113" s="229">
        <v>2.12E-2</v>
      </c>
      <c r="DA113" s="228">
        <v>22.73</v>
      </c>
      <c r="DB113" s="228">
        <v>22.39</v>
      </c>
      <c r="DC113" s="228">
        <v>0.34</v>
      </c>
      <c r="DD113" s="228">
        <v>0.34</v>
      </c>
      <c r="DE113" s="228">
        <v>25.34</v>
      </c>
      <c r="DF113" s="228">
        <v>25.41</v>
      </c>
      <c r="DG113" s="228">
        <v>-2.61</v>
      </c>
      <c r="DH113" s="228">
        <v>-7.0000000000000007E-2</v>
      </c>
      <c r="DI113" s="228">
        <v>22.48</v>
      </c>
      <c r="DJ113" s="228">
        <v>22.31</v>
      </c>
      <c r="DK113" s="228">
        <v>0.17</v>
      </c>
      <c r="DL113" s="228">
        <v>0.17</v>
      </c>
      <c r="DM113" s="228">
        <v>23.14</v>
      </c>
      <c r="DN113" s="228">
        <v>22.5</v>
      </c>
      <c r="DO113" s="228">
        <v>0.64</v>
      </c>
      <c r="DP113" s="228">
        <v>0.64</v>
      </c>
      <c r="DQ113" s="228">
        <v>0.63</v>
      </c>
      <c r="DR113" s="228">
        <v>0.61</v>
      </c>
      <c r="DS113" s="228">
        <v>0.02</v>
      </c>
      <c r="DT113" s="229">
        <v>3.2800000000000003E-2</v>
      </c>
      <c r="DU113" s="231">
        <v>2200</v>
      </c>
      <c r="DV113" s="231">
        <v>2100</v>
      </c>
      <c r="DW113" s="228">
        <v>0.62</v>
      </c>
      <c r="DX113" s="228">
        <v>0.64</v>
      </c>
      <c r="DY113" s="228">
        <v>-0.02</v>
      </c>
      <c r="DZ113" s="229">
        <v>-3.1300000000000001E-2</v>
      </c>
      <c r="EA113" s="229">
        <v>1.2999999999999999E-2</v>
      </c>
      <c r="EB113" s="230">
        <v>395600</v>
      </c>
      <c r="EC113" s="229">
        <v>5.7999999999999996E-3</v>
      </c>
      <c r="ED113" s="229">
        <v>1.2999999999999999E-2</v>
      </c>
      <c r="EE113" s="228">
        <v>8.09</v>
      </c>
      <c r="EF113" s="229">
        <v>3.8E-3</v>
      </c>
      <c r="EG113" s="230">
        <v>2456965</v>
      </c>
      <c r="EH113" s="230">
        <v>3758188</v>
      </c>
      <c r="EI113" s="229">
        <v>-0.34620000000000001</v>
      </c>
      <c r="EJ113" s="229">
        <v>0.74309999999999998</v>
      </c>
      <c r="EK113" s="231">
        <v>2569.41</v>
      </c>
      <c r="EL113" s="231">
        <v>1517.79</v>
      </c>
      <c r="EM113" s="228">
        <v>942.97</v>
      </c>
      <c r="EN113" s="228">
        <v>118.48</v>
      </c>
      <c r="EO113" s="231">
        <v>5030.17</v>
      </c>
      <c r="EP113" s="231">
        <v>9133.5499999999993</v>
      </c>
      <c r="EQ113" s="231">
        <v>-4103.38</v>
      </c>
      <c r="ER113" s="229">
        <v>-0.44929999999999998</v>
      </c>
      <c r="ES113" s="231">
        <v>1899.61</v>
      </c>
      <c r="ET113" s="231">
        <v>1125.44</v>
      </c>
      <c r="EU113" s="231">
        <v>8285.14</v>
      </c>
      <c r="EV113" s="231">
        <v>156205070</v>
      </c>
      <c r="EW113" s="231">
        <v>11310.19</v>
      </c>
      <c r="EX113" s="231">
        <v>11090.91</v>
      </c>
      <c r="EY113" s="228">
        <v>219.28</v>
      </c>
      <c r="EZ113" s="229">
        <v>1.9800000000000002E-2</v>
      </c>
      <c r="FA113" s="229">
        <v>0.33529999999999999</v>
      </c>
      <c r="FB113" s="227" t="s">
        <v>568</v>
      </c>
      <c r="FC113">
        <f t="shared" si="1"/>
        <v>108</v>
      </c>
    </row>
    <row r="114" spans="1:159" ht="17.25" thickBot="1" x14ac:dyDescent="0.3">
      <c r="A114" s="226">
        <v>46029</v>
      </c>
      <c r="B114" s="227" t="s">
        <v>221</v>
      </c>
      <c r="C114" s="227" t="s">
        <v>577</v>
      </c>
      <c r="D114" s="228">
        <v>425</v>
      </c>
      <c r="E114" s="228">
        <v>20</v>
      </c>
      <c r="F114" s="231">
        <v>1212.5999999999999</v>
      </c>
      <c r="G114" s="231">
        <v>1141.0999999999999</v>
      </c>
      <c r="H114" s="228">
        <v>71.5</v>
      </c>
      <c r="I114" s="229">
        <v>6.2700000000000006E-2</v>
      </c>
      <c r="J114" s="231">
        <v>1208.5</v>
      </c>
      <c r="K114" s="231">
        <v>1139.9000000000001</v>
      </c>
      <c r="L114" s="228">
        <v>68.599999999999994</v>
      </c>
      <c r="M114" s="229">
        <v>6.0199999999999997E-2</v>
      </c>
      <c r="N114" s="231">
        <v>1212.5999999999999</v>
      </c>
      <c r="O114" s="231">
        <v>1141.0999999999999</v>
      </c>
      <c r="P114" s="228">
        <v>71.5</v>
      </c>
      <c r="Q114" s="229">
        <v>6.2700000000000006E-2</v>
      </c>
      <c r="R114" s="231">
        <v>1211</v>
      </c>
      <c r="S114" s="231">
        <v>1139.9000000000001</v>
      </c>
      <c r="T114" s="228">
        <v>71.099999999999994</v>
      </c>
      <c r="U114" s="229">
        <v>6.2399999999999997E-2</v>
      </c>
      <c r="V114" s="231">
        <v>1213.2</v>
      </c>
      <c r="W114" s="231">
        <v>1140.4000000000001</v>
      </c>
      <c r="X114" s="228">
        <v>72.8</v>
      </c>
      <c r="Y114" s="229">
        <v>6.3799999999999996E-2</v>
      </c>
      <c r="Z114" s="228">
        <v>4.0999999999999996</v>
      </c>
      <c r="AA114" s="228">
        <v>1.2</v>
      </c>
      <c r="AB114" s="228">
        <v>2.9</v>
      </c>
      <c r="AC114" s="229">
        <v>3.3999999999999998E-3</v>
      </c>
      <c r="AD114" s="228">
        <v>4.0999999999999996</v>
      </c>
      <c r="AE114" s="228">
        <v>1.2</v>
      </c>
      <c r="AF114" s="228">
        <v>2.9</v>
      </c>
      <c r="AG114" s="229">
        <v>3.3999999999999998E-3</v>
      </c>
      <c r="AH114" s="228">
        <v>2.5</v>
      </c>
      <c r="AI114" s="228">
        <v>0</v>
      </c>
      <c r="AJ114" s="228">
        <v>2.5</v>
      </c>
      <c r="AK114" s="229">
        <v>2.0999999999999999E-3</v>
      </c>
      <c r="AL114" s="228">
        <v>4.7</v>
      </c>
      <c r="AM114" s="228">
        <v>0.5</v>
      </c>
      <c r="AN114" s="228">
        <v>4.2</v>
      </c>
      <c r="AO114" s="229">
        <v>3.8999999999999998E-3</v>
      </c>
      <c r="AP114" s="231">
        <v>1198.5999999999999</v>
      </c>
      <c r="AQ114" s="231">
        <v>1193.6300000000001</v>
      </c>
      <c r="AR114" s="228">
        <v>0</v>
      </c>
      <c r="AS114" s="228">
        <v>326</v>
      </c>
      <c r="AT114" s="228">
        <v>110</v>
      </c>
      <c r="AU114" s="228">
        <v>216</v>
      </c>
      <c r="AV114" s="229">
        <v>1.9528000000000001</v>
      </c>
      <c r="AW114" s="228">
        <v>300</v>
      </c>
      <c r="AX114" s="228">
        <v>101</v>
      </c>
      <c r="AY114" s="228">
        <v>199</v>
      </c>
      <c r="AZ114" s="229">
        <v>1.9633</v>
      </c>
      <c r="BA114" s="228">
        <v>23</v>
      </c>
      <c r="BB114" s="228">
        <v>8</v>
      </c>
      <c r="BC114" s="228">
        <v>15</v>
      </c>
      <c r="BD114" s="229">
        <v>1.7317</v>
      </c>
      <c r="BE114" s="228">
        <v>3</v>
      </c>
      <c r="BF114" s="228">
        <v>1</v>
      </c>
      <c r="BG114" s="228">
        <v>2</v>
      </c>
      <c r="BH114" s="229">
        <v>2.9375</v>
      </c>
      <c r="BI114" s="230">
        <v>1791</v>
      </c>
      <c r="BJ114" s="228">
        <v>194</v>
      </c>
      <c r="BK114" s="230">
        <v>1598</v>
      </c>
      <c r="BL114" s="229">
        <v>8.2474000000000007</v>
      </c>
      <c r="BM114" s="228">
        <v>428</v>
      </c>
      <c r="BN114" s="228">
        <v>57</v>
      </c>
      <c r="BO114" s="228">
        <v>371</v>
      </c>
      <c r="BP114" s="229">
        <v>6.4645000000000001</v>
      </c>
      <c r="BQ114" s="230">
        <v>2546</v>
      </c>
      <c r="BR114" s="228">
        <v>361</v>
      </c>
      <c r="BS114" s="230">
        <v>2184</v>
      </c>
      <c r="BT114" s="229">
        <v>6.0422000000000002</v>
      </c>
      <c r="BU114" s="230">
        <v>2551503</v>
      </c>
      <c r="BV114" s="230">
        <v>387503</v>
      </c>
      <c r="BW114" s="230">
        <v>2164000</v>
      </c>
      <c r="BX114" s="229">
        <v>5.5845000000000002</v>
      </c>
      <c r="BY114" s="228">
        <v>415</v>
      </c>
      <c r="BZ114" s="228">
        <v>467</v>
      </c>
      <c r="CA114" s="228">
        <v>-53</v>
      </c>
      <c r="CB114" s="229">
        <v>-0.1125</v>
      </c>
      <c r="CC114" s="228">
        <v>389</v>
      </c>
      <c r="CD114" s="228">
        <v>439</v>
      </c>
      <c r="CE114" s="228">
        <v>-50</v>
      </c>
      <c r="CF114" s="229">
        <v>-0.1138</v>
      </c>
      <c r="CG114" s="228">
        <v>22</v>
      </c>
      <c r="CH114" s="228">
        <v>25</v>
      </c>
      <c r="CI114" s="228">
        <v>-3</v>
      </c>
      <c r="CJ114" s="229">
        <v>-0.1202</v>
      </c>
      <c r="CK114" s="228">
        <v>3</v>
      </c>
      <c r="CL114" s="228">
        <v>3</v>
      </c>
      <c r="CM114" s="228">
        <v>0</v>
      </c>
      <c r="CN114" s="229">
        <v>0.18</v>
      </c>
      <c r="CO114" s="228">
        <v>200</v>
      </c>
      <c r="CP114" s="228">
        <v>186</v>
      </c>
      <c r="CQ114" s="228">
        <v>14</v>
      </c>
      <c r="CR114" s="229">
        <v>7.3499999999999996E-2</v>
      </c>
      <c r="CS114" s="228">
        <v>189</v>
      </c>
      <c r="CT114" s="228">
        <v>135</v>
      </c>
      <c r="CU114" s="228">
        <v>54</v>
      </c>
      <c r="CV114" s="229">
        <v>0.40379999999999999</v>
      </c>
      <c r="CW114" s="228">
        <v>803</v>
      </c>
      <c r="CX114" s="228">
        <v>788</v>
      </c>
      <c r="CY114" s="228">
        <v>16</v>
      </c>
      <c r="CZ114" s="229">
        <v>1.9699999999999999E-2</v>
      </c>
      <c r="DA114" s="228">
        <v>32.049999999999997</v>
      </c>
      <c r="DB114" s="228">
        <v>30.48</v>
      </c>
      <c r="DC114" s="228">
        <v>1.57</v>
      </c>
      <c r="DD114" s="228">
        <v>1.57</v>
      </c>
      <c r="DE114" s="228">
        <v>42.94</v>
      </c>
      <c r="DF114" s="228">
        <v>42.28</v>
      </c>
      <c r="DG114" s="228">
        <v>-10.89</v>
      </c>
      <c r="DH114" s="228">
        <v>0.66</v>
      </c>
      <c r="DI114" s="228">
        <v>32.1</v>
      </c>
      <c r="DJ114" s="228">
        <v>30.56</v>
      </c>
      <c r="DK114" s="228">
        <v>1.54</v>
      </c>
      <c r="DL114" s="228">
        <v>1.54</v>
      </c>
      <c r="DM114" s="228">
        <v>31.81</v>
      </c>
      <c r="DN114" s="228">
        <v>30.2</v>
      </c>
      <c r="DO114" s="228">
        <v>1.61</v>
      </c>
      <c r="DP114" s="228">
        <v>1.61</v>
      </c>
      <c r="DQ114" s="228">
        <v>0.95</v>
      </c>
      <c r="DR114" s="228">
        <v>0.72</v>
      </c>
      <c r="DS114" s="228">
        <v>0.23</v>
      </c>
      <c r="DT114" s="229">
        <v>0.31940000000000002</v>
      </c>
      <c r="DU114" s="231">
        <v>1200</v>
      </c>
      <c r="DV114" s="231">
        <v>1100</v>
      </c>
      <c r="DW114" s="228">
        <v>0.24</v>
      </c>
      <c r="DX114" s="228">
        <v>0.3</v>
      </c>
      <c r="DY114" s="228">
        <v>-0.06</v>
      </c>
      <c r="DZ114" s="229">
        <v>-0.2</v>
      </c>
      <c r="EA114" s="229">
        <v>6.0999999999999999E-2</v>
      </c>
      <c r="EB114" s="230">
        <v>229925</v>
      </c>
      <c r="EC114" s="229">
        <v>-1.2999999999999999E-3</v>
      </c>
      <c r="ED114" s="229">
        <v>6.0999999999999999E-2</v>
      </c>
      <c r="EE114" s="228">
        <v>-4.97</v>
      </c>
      <c r="EF114" s="229">
        <v>-4.1000000000000003E-3</v>
      </c>
      <c r="EG114" s="230">
        <v>520382</v>
      </c>
      <c r="EH114" s="230">
        <v>139457</v>
      </c>
      <c r="EI114" s="229">
        <v>2.7315</v>
      </c>
      <c r="EJ114" s="229">
        <v>0.20399999999999999</v>
      </c>
      <c r="EK114" s="231">
        <v>1844.62</v>
      </c>
      <c r="EL114" s="228">
        <v>413.11</v>
      </c>
      <c r="EM114" s="228">
        <v>322.10000000000002</v>
      </c>
      <c r="EN114" s="228">
        <v>19.29</v>
      </c>
      <c r="EO114" s="231">
        <v>2579.8200000000002</v>
      </c>
      <c r="EP114" s="228">
        <v>350.96</v>
      </c>
      <c r="EQ114" s="231">
        <v>2228.87</v>
      </c>
      <c r="ER114" s="229">
        <v>6.3507999999999996</v>
      </c>
      <c r="ES114" s="228">
        <v>204.26</v>
      </c>
      <c r="ET114" s="228">
        <v>177.8</v>
      </c>
      <c r="EU114" s="228">
        <v>414.63</v>
      </c>
      <c r="EV114" s="231">
        <v>24589408</v>
      </c>
      <c r="EW114" s="228">
        <v>796.69</v>
      </c>
      <c r="EX114" s="228">
        <v>752.56</v>
      </c>
      <c r="EY114" s="228">
        <v>44.13</v>
      </c>
      <c r="EZ114" s="229">
        <v>5.8599999999999999E-2</v>
      </c>
      <c r="FA114" s="229">
        <v>0.26939999999999997</v>
      </c>
      <c r="FB114" s="227" t="s">
        <v>556</v>
      </c>
      <c r="FC114">
        <f t="shared" si="1"/>
        <v>26</v>
      </c>
    </row>
    <row r="115" spans="1:159" ht="17.25" thickBot="1" x14ac:dyDescent="0.3">
      <c r="A115" s="226">
        <v>46029</v>
      </c>
      <c r="B115" s="227" t="s">
        <v>170</v>
      </c>
      <c r="C115" s="227" t="s">
        <v>535</v>
      </c>
      <c r="D115" s="228">
        <v>850</v>
      </c>
      <c r="E115" s="228">
        <v>20</v>
      </c>
      <c r="F115" s="231">
        <v>1134.4000000000001</v>
      </c>
      <c r="G115" s="231">
        <v>1121.5999999999999</v>
      </c>
      <c r="H115" s="228">
        <v>12.8</v>
      </c>
      <c r="I115" s="229">
        <v>1.14E-2</v>
      </c>
      <c r="J115" s="231">
        <v>1128.5</v>
      </c>
      <c r="K115" s="231">
        <v>1115.9000000000001</v>
      </c>
      <c r="L115" s="228">
        <v>12.6</v>
      </c>
      <c r="M115" s="229">
        <v>1.1299999999999999E-2</v>
      </c>
      <c r="N115" s="231">
        <v>1134.4000000000001</v>
      </c>
      <c r="O115" s="231">
        <v>1121.5999999999999</v>
      </c>
      <c r="P115" s="228">
        <v>12.8</v>
      </c>
      <c r="Q115" s="229">
        <v>1.14E-2</v>
      </c>
      <c r="R115" s="231">
        <v>1140</v>
      </c>
      <c r="S115" s="231">
        <v>1127.9000000000001</v>
      </c>
      <c r="T115" s="228">
        <v>12.1</v>
      </c>
      <c r="U115" s="229">
        <v>1.0699999999999999E-2</v>
      </c>
      <c r="V115" s="231">
        <v>1148.0999999999999</v>
      </c>
      <c r="W115" s="231">
        <v>1134.4000000000001</v>
      </c>
      <c r="X115" s="228">
        <v>13.7</v>
      </c>
      <c r="Y115" s="229">
        <v>1.21E-2</v>
      </c>
      <c r="Z115" s="228">
        <v>5.9</v>
      </c>
      <c r="AA115" s="228">
        <v>5.7</v>
      </c>
      <c r="AB115" s="228">
        <v>0.2</v>
      </c>
      <c r="AC115" s="229">
        <v>5.1999999999999998E-3</v>
      </c>
      <c r="AD115" s="228">
        <v>5.9</v>
      </c>
      <c r="AE115" s="228">
        <v>5.7</v>
      </c>
      <c r="AF115" s="228">
        <v>0.2</v>
      </c>
      <c r="AG115" s="229">
        <v>5.1999999999999998E-3</v>
      </c>
      <c r="AH115" s="228">
        <v>11.5</v>
      </c>
      <c r="AI115" s="228">
        <v>12</v>
      </c>
      <c r="AJ115" s="228">
        <v>-0.5</v>
      </c>
      <c r="AK115" s="229">
        <v>1.0200000000000001E-2</v>
      </c>
      <c r="AL115" s="228">
        <v>19.600000000000001</v>
      </c>
      <c r="AM115" s="228">
        <v>18.5</v>
      </c>
      <c r="AN115" s="228">
        <v>1.1000000000000001</v>
      </c>
      <c r="AO115" s="229">
        <v>1.7399999999999999E-2</v>
      </c>
      <c r="AP115" s="231">
        <v>1135.3499999999999</v>
      </c>
      <c r="AQ115" s="231">
        <v>1142.1199999999999</v>
      </c>
      <c r="AR115" s="228">
        <v>0</v>
      </c>
      <c r="AS115" s="228">
        <v>553</v>
      </c>
      <c r="AT115" s="228">
        <v>363</v>
      </c>
      <c r="AU115" s="228">
        <v>191</v>
      </c>
      <c r="AV115" s="229">
        <v>0.52659999999999996</v>
      </c>
      <c r="AW115" s="228">
        <v>470</v>
      </c>
      <c r="AX115" s="228">
        <v>343</v>
      </c>
      <c r="AY115" s="228">
        <v>127</v>
      </c>
      <c r="AZ115" s="229">
        <v>0.36899999999999999</v>
      </c>
      <c r="BA115" s="228">
        <v>79</v>
      </c>
      <c r="BB115" s="228">
        <v>17</v>
      </c>
      <c r="BC115" s="228">
        <v>62</v>
      </c>
      <c r="BD115" s="229">
        <v>3.7341000000000002</v>
      </c>
      <c r="BE115" s="228">
        <v>4</v>
      </c>
      <c r="BF115" s="228">
        <v>3</v>
      </c>
      <c r="BG115" s="228">
        <v>2</v>
      </c>
      <c r="BH115" s="229">
        <v>0.76919999999999999</v>
      </c>
      <c r="BI115" s="230">
        <v>1301</v>
      </c>
      <c r="BJ115" s="228">
        <v>958</v>
      </c>
      <c r="BK115" s="228">
        <v>343</v>
      </c>
      <c r="BL115" s="229">
        <v>0.3584</v>
      </c>
      <c r="BM115" s="228">
        <v>701</v>
      </c>
      <c r="BN115" s="228">
        <v>476</v>
      </c>
      <c r="BO115" s="228">
        <v>225</v>
      </c>
      <c r="BP115" s="229">
        <v>0.47239999999999999</v>
      </c>
      <c r="BQ115" s="230">
        <v>2555</v>
      </c>
      <c r="BR115" s="230">
        <v>1796</v>
      </c>
      <c r="BS115" s="228">
        <v>759</v>
      </c>
      <c r="BT115" s="229">
        <v>0.42259999999999998</v>
      </c>
      <c r="BU115" s="230">
        <v>1406113</v>
      </c>
      <c r="BV115" s="230">
        <v>1164290</v>
      </c>
      <c r="BW115" s="230">
        <v>241823</v>
      </c>
      <c r="BX115" s="229">
        <v>0.2077</v>
      </c>
      <c r="BY115" s="230">
        <v>1894</v>
      </c>
      <c r="BZ115" s="230">
        <v>1844</v>
      </c>
      <c r="CA115" s="228">
        <v>50</v>
      </c>
      <c r="CB115" s="229">
        <v>2.7199999999999998E-2</v>
      </c>
      <c r="CC115" s="230">
        <v>1748</v>
      </c>
      <c r="CD115" s="230">
        <v>1749</v>
      </c>
      <c r="CE115" s="228">
        <v>0</v>
      </c>
      <c r="CF115" s="229">
        <v>-2.0000000000000001E-4</v>
      </c>
      <c r="CG115" s="228">
        <v>140</v>
      </c>
      <c r="CH115" s="228">
        <v>91</v>
      </c>
      <c r="CI115" s="228">
        <v>50</v>
      </c>
      <c r="CJ115" s="229">
        <v>0.54559999999999997</v>
      </c>
      <c r="CK115" s="228">
        <v>5</v>
      </c>
      <c r="CL115" s="228">
        <v>4</v>
      </c>
      <c r="CM115" s="228">
        <v>1</v>
      </c>
      <c r="CN115" s="229">
        <v>0.2</v>
      </c>
      <c r="CO115" s="228">
        <v>707</v>
      </c>
      <c r="CP115" s="228">
        <v>647</v>
      </c>
      <c r="CQ115" s="228">
        <v>60</v>
      </c>
      <c r="CR115" s="229">
        <v>9.2200000000000004E-2</v>
      </c>
      <c r="CS115" s="228">
        <v>565</v>
      </c>
      <c r="CT115" s="228">
        <v>481</v>
      </c>
      <c r="CU115" s="228">
        <v>84</v>
      </c>
      <c r="CV115" s="229">
        <v>0.17469999999999999</v>
      </c>
      <c r="CW115" s="230">
        <v>3166</v>
      </c>
      <c r="CX115" s="230">
        <v>2972</v>
      </c>
      <c r="CY115" s="228">
        <v>194</v>
      </c>
      <c r="CZ115" s="229">
        <v>6.5199999999999994E-2</v>
      </c>
      <c r="DA115" s="228">
        <v>28.59</v>
      </c>
      <c r="DB115" s="228">
        <v>28.72</v>
      </c>
      <c r="DC115" s="228">
        <v>-0.13</v>
      </c>
      <c r="DD115" s="228">
        <v>-0.13</v>
      </c>
      <c r="DE115" s="228">
        <v>37.49</v>
      </c>
      <c r="DF115" s="228">
        <v>37.56</v>
      </c>
      <c r="DG115" s="228">
        <v>-8.9</v>
      </c>
      <c r="DH115" s="228">
        <v>-7.0000000000000007E-2</v>
      </c>
      <c r="DI115" s="228">
        <v>28.42</v>
      </c>
      <c r="DJ115" s="228">
        <v>28.61</v>
      </c>
      <c r="DK115" s="228">
        <v>-0.19</v>
      </c>
      <c r="DL115" s="228">
        <v>-0.19</v>
      </c>
      <c r="DM115" s="228">
        <v>28.91</v>
      </c>
      <c r="DN115" s="228">
        <v>28.94</v>
      </c>
      <c r="DO115" s="228">
        <v>-0.03</v>
      </c>
      <c r="DP115" s="228">
        <v>-0.03</v>
      </c>
      <c r="DQ115" s="228">
        <v>0.8</v>
      </c>
      <c r="DR115" s="228">
        <v>0.74</v>
      </c>
      <c r="DS115" s="228">
        <v>0.06</v>
      </c>
      <c r="DT115" s="229">
        <v>8.1100000000000005E-2</v>
      </c>
      <c r="DU115" s="231">
        <v>1200</v>
      </c>
      <c r="DV115" s="231">
        <v>1100</v>
      </c>
      <c r="DW115" s="228">
        <v>0.54</v>
      </c>
      <c r="DX115" s="228">
        <v>0.5</v>
      </c>
      <c r="DY115" s="228">
        <v>0.04</v>
      </c>
      <c r="DZ115" s="229">
        <v>0.08</v>
      </c>
      <c r="EA115" s="229">
        <v>7.6899999999999996E-2</v>
      </c>
      <c r="EB115" s="230">
        <v>838950</v>
      </c>
      <c r="EC115" s="229">
        <v>4.8999999999999998E-3</v>
      </c>
      <c r="ED115" s="229">
        <v>7.6899999999999996E-2</v>
      </c>
      <c r="EE115" s="228">
        <v>6.77</v>
      </c>
      <c r="EF115" s="229">
        <v>6.0000000000000001E-3</v>
      </c>
      <c r="EG115" s="230">
        <v>643093</v>
      </c>
      <c r="EH115" s="230">
        <v>492145</v>
      </c>
      <c r="EI115" s="229">
        <v>0.30669999999999997</v>
      </c>
      <c r="EJ115" s="229">
        <v>0.45739999999999997</v>
      </c>
      <c r="EK115" s="231">
        <v>1352.11</v>
      </c>
      <c r="EL115" s="228">
        <v>689.9</v>
      </c>
      <c r="EM115" s="228">
        <v>554.46</v>
      </c>
      <c r="EN115" s="228">
        <v>31.85</v>
      </c>
      <c r="EO115" s="231">
        <v>2596.46</v>
      </c>
      <c r="EP115" s="231">
        <v>1802.25</v>
      </c>
      <c r="EQ115" s="228">
        <v>794.21</v>
      </c>
      <c r="ER115" s="229">
        <v>0.44069999999999998</v>
      </c>
      <c r="ES115" s="228">
        <v>704.39</v>
      </c>
      <c r="ET115" s="228">
        <v>526.74</v>
      </c>
      <c r="EU115" s="231">
        <v>1894.81</v>
      </c>
      <c r="EV115" s="231">
        <v>58629477</v>
      </c>
      <c r="EW115" s="231">
        <v>3125.94</v>
      </c>
      <c r="EX115" s="231">
        <v>2909.15</v>
      </c>
      <c r="EY115" s="228">
        <v>216.79</v>
      </c>
      <c r="EZ115" s="229">
        <v>7.4499999999999997E-2</v>
      </c>
      <c r="FA115" s="229">
        <v>0.47599999999999998</v>
      </c>
      <c r="FB115" s="227" t="s">
        <v>555</v>
      </c>
      <c r="FC115">
        <f t="shared" si="1"/>
        <v>146</v>
      </c>
    </row>
    <row r="116" spans="1:159" ht="17.25" thickBot="1" x14ac:dyDescent="0.3">
      <c r="A116" s="226">
        <v>46029</v>
      </c>
      <c r="B116" s="227" t="s">
        <v>175</v>
      </c>
      <c r="C116" s="227" t="s">
        <v>248</v>
      </c>
      <c r="D116" s="228">
        <v>1000</v>
      </c>
      <c r="E116" s="228">
        <v>20</v>
      </c>
      <c r="F116" s="228">
        <v>539.6</v>
      </c>
      <c r="G116" s="228">
        <v>542.04999999999995</v>
      </c>
      <c r="H116" s="228">
        <v>-2.4500000000000002</v>
      </c>
      <c r="I116" s="229">
        <v>-4.4999999999999997E-3</v>
      </c>
      <c r="J116" s="228">
        <v>538.20000000000005</v>
      </c>
      <c r="K116" s="228">
        <v>539.9</v>
      </c>
      <c r="L116" s="228">
        <v>-1.7</v>
      </c>
      <c r="M116" s="229">
        <v>-3.0999999999999999E-3</v>
      </c>
      <c r="N116" s="228">
        <v>539.6</v>
      </c>
      <c r="O116" s="228">
        <v>542.04999999999995</v>
      </c>
      <c r="P116" s="228">
        <v>-2.4500000000000002</v>
      </c>
      <c r="Q116" s="229">
        <v>-4.4999999999999997E-3</v>
      </c>
      <c r="R116" s="228">
        <v>543.25</v>
      </c>
      <c r="S116" s="228">
        <v>545.29999999999995</v>
      </c>
      <c r="T116" s="228">
        <v>-2.0499999999999998</v>
      </c>
      <c r="U116" s="229">
        <v>-3.8E-3</v>
      </c>
      <c r="V116" s="228">
        <v>546.4</v>
      </c>
      <c r="W116" s="228">
        <v>548.29999999999995</v>
      </c>
      <c r="X116" s="228">
        <v>-1.9</v>
      </c>
      <c r="Y116" s="229">
        <v>-3.5000000000000001E-3</v>
      </c>
      <c r="Z116" s="228">
        <v>1.4</v>
      </c>
      <c r="AA116" s="228">
        <v>2.15</v>
      </c>
      <c r="AB116" s="228">
        <v>-0.75</v>
      </c>
      <c r="AC116" s="229">
        <v>2.5999999999999999E-3</v>
      </c>
      <c r="AD116" s="228">
        <v>1.4</v>
      </c>
      <c r="AE116" s="228">
        <v>2.15</v>
      </c>
      <c r="AF116" s="228">
        <v>-0.75</v>
      </c>
      <c r="AG116" s="229">
        <v>2.5999999999999999E-3</v>
      </c>
      <c r="AH116" s="228">
        <v>5.05</v>
      </c>
      <c r="AI116" s="228">
        <v>5.4</v>
      </c>
      <c r="AJ116" s="228">
        <v>-0.35</v>
      </c>
      <c r="AK116" s="229">
        <v>9.4000000000000004E-3</v>
      </c>
      <c r="AL116" s="228">
        <v>8.1999999999999993</v>
      </c>
      <c r="AM116" s="228">
        <v>8.4</v>
      </c>
      <c r="AN116" s="228">
        <v>-0.2</v>
      </c>
      <c r="AO116" s="229">
        <v>1.52E-2</v>
      </c>
      <c r="AP116" s="228">
        <v>540.16</v>
      </c>
      <c r="AQ116" s="228">
        <v>542.54999999999995</v>
      </c>
      <c r="AR116" s="228">
        <v>0</v>
      </c>
      <c r="AS116" s="228">
        <v>104</v>
      </c>
      <c r="AT116" s="228">
        <v>89</v>
      </c>
      <c r="AU116" s="228">
        <v>15</v>
      </c>
      <c r="AV116" s="229">
        <v>0.1656</v>
      </c>
      <c r="AW116" s="228">
        <v>93</v>
      </c>
      <c r="AX116" s="228">
        <v>83</v>
      </c>
      <c r="AY116" s="228">
        <v>10</v>
      </c>
      <c r="AZ116" s="229">
        <v>0.1173</v>
      </c>
      <c r="BA116" s="228">
        <v>10</v>
      </c>
      <c r="BB116" s="228">
        <v>6</v>
      </c>
      <c r="BC116" s="228">
        <v>4</v>
      </c>
      <c r="BD116" s="229">
        <v>0.61019999999999996</v>
      </c>
      <c r="BE116" s="228">
        <v>1</v>
      </c>
      <c r="BF116" s="228">
        <v>0</v>
      </c>
      <c r="BG116" s="228">
        <v>1</v>
      </c>
      <c r="BH116" s="229">
        <v>11</v>
      </c>
      <c r="BI116" s="228">
        <v>228</v>
      </c>
      <c r="BJ116" s="228">
        <v>166</v>
      </c>
      <c r="BK116" s="228">
        <v>62</v>
      </c>
      <c r="BL116" s="229">
        <v>0.37259999999999999</v>
      </c>
      <c r="BM116" s="228">
        <v>205</v>
      </c>
      <c r="BN116" s="228">
        <v>89</v>
      </c>
      <c r="BO116" s="228">
        <v>116</v>
      </c>
      <c r="BP116" s="229">
        <v>1.3129999999999999</v>
      </c>
      <c r="BQ116" s="228">
        <v>537</v>
      </c>
      <c r="BR116" s="228">
        <v>344</v>
      </c>
      <c r="BS116" s="228">
        <v>193</v>
      </c>
      <c r="BT116" s="229">
        <v>0.56089999999999995</v>
      </c>
      <c r="BU116" s="230">
        <v>1148507</v>
      </c>
      <c r="BV116" s="230">
        <v>1256454</v>
      </c>
      <c r="BW116" s="230">
        <v>-107947</v>
      </c>
      <c r="BX116" s="229">
        <v>-8.5900000000000004E-2</v>
      </c>
      <c r="BY116" s="230">
        <v>1803</v>
      </c>
      <c r="BZ116" s="230">
        <v>1791</v>
      </c>
      <c r="CA116" s="228">
        <v>12</v>
      </c>
      <c r="CB116" s="229">
        <v>6.6E-3</v>
      </c>
      <c r="CC116" s="230">
        <v>1748</v>
      </c>
      <c r="CD116" s="230">
        <v>1742</v>
      </c>
      <c r="CE116" s="228">
        <v>5</v>
      </c>
      <c r="CF116" s="229">
        <v>3.0999999999999999E-3</v>
      </c>
      <c r="CG116" s="228">
        <v>52</v>
      </c>
      <c r="CH116" s="228">
        <v>47</v>
      </c>
      <c r="CI116" s="228">
        <v>5</v>
      </c>
      <c r="CJ116" s="229">
        <v>0.1123</v>
      </c>
      <c r="CK116" s="228">
        <v>3</v>
      </c>
      <c r="CL116" s="228">
        <v>2</v>
      </c>
      <c r="CM116" s="228">
        <v>1</v>
      </c>
      <c r="CN116" s="229">
        <v>0.59379999999999999</v>
      </c>
      <c r="CO116" s="228">
        <v>389</v>
      </c>
      <c r="CP116" s="228">
        <v>358</v>
      </c>
      <c r="CQ116" s="228">
        <v>31</v>
      </c>
      <c r="CR116" s="229">
        <v>8.7999999999999995E-2</v>
      </c>
      <c r="CS116" s="228">
        <v>436</v>
      </c>
      <c r="CT116" s="228">
        <v>381</v>
      </c>
      <c r="CU116" s="228">
        <v>56</v>
      </c>
      <c r="CV116" s="229">
        <v>0.1462</v>
      </c>
      <c r="CW116" s="230">
        <v>2628</v>
      </c>
      <c r="CX116" s="230">
        <v>2529</v>
      </c>
      <c r="CY116" s="228">
        <v>99</v>
      </c>
      <c r="CZ116" s="229">
        <v>3.9100000000000003E-2</v>
      </c>
      <c r="DA116" s="228">
        <v>21.91</v>
      </c>
      <c r="DB116" s="228">
        <v>21.2</v>
      </c>
      <c r="DC116" s="228">
        <v>0.71</v>
      </c>
      <c r="DD116" s="228">
        <v>0.71</v>
      </c>
      <c r="DE116" s="228">
        <v>31.8</v>
      </c>
      <c r="DF116" s="228">
        <v>31.87</v>
      </c>
      <c r="DG116" s="228">
        <v>-9.89</v>
      </c>
      <c r="DH116" s="228">
        <v>-7.0000000000000007E-2</v>
      </c>
      <c r="DI116" s="228">
        <v>22.06</v>
      </c>
      <c r="DJ116" s="228">
        <v>20.81</v>
      </c>
      <c r="DK116" s="228">
        <v>1.25</v>
      </c>
      <c r="DL116" s="228">
        <v>1.25</v>
      </c>
      <c r="DM116" s="228">
        <v>21.73</v>
      </c>
      <c r="DN116" s="228">
        <v>21.91</v>
      </c>
      <c r="DO116" s="228">
        <v>-0.18</v>
      </c>
      <c r="DP116" s="228">
        <v>-0.18</v>
      </c>
      <c r="DQ116" s="228">
        <v>1.1200000000000001</v>
      </c>
      <c r="DR116" s="228">
        <v>1.06</v>
      </c>
      <c r="DS116" s="228">
        <v>0.06</v>
      </c>
      <c r="DT116" s="229">
        <v>5.6599999999999998E-2</v>
      </c>
      <c r="DU116" s="228">
        <v>540</v>
      </c>
      <c r="DV116" s="228">
        <v>540</v>
      </c>
      <c r="DW116" s="228">
        <v>0.9</v>
      </c>
      <c r="DX116" s="228">
        <v>0.53</v>
      </c>
      <c r="DY116" s="228">
        <v>0.37</v>
      </c>
      <c r="DZ116" s="229">
        <v>0.69810000000000005</v>
      </c>
      <c r="EA116" s="229">
        <v>3.0599999999999999E-2</v>
      </c>
      <c r="EB116" s="230">
        <v>905000</v>
      </c>
      <c r="EC116" s="229">
        <v>6.7999999999999996E-3</v>
      </c>
      <c r="ED116" s="229">
        <v>3.0599999999999999E-2</v>
      </c>
      <c r="EE116" s="228">
        <v>2.39</v>
      </c>
      <c r="EF116" s="229">
        <v>4.4000000000000003E-3</v>
      </c>
      <c r="EG116" s="230">
        <v>576738</v>
      </c>
      <c r="EH116" s="230">
        <v>832763</v>
      </c>
      <c r="EI116" s="229">
        <v>-0.30740000000000001</v>
      </c>
      <c r="EJ116" s="229">
        <v>0.50219999999999998</v>
      </c>
      <c r="EK116" s="228">
        <v>236.7</v>
      </c>
      <c r="EL116" s="228">
        <v>206.66</v>
      </c>
      <c r="EM116" s="228">
        <v>104.26</v>
      </c>
      <c r="EN116" s="228">
        <v>25.76</v>
      </c>
      <c r="EO116" s="228">
        <v>547.61</v>
      </c>
      <c r="EP116" s="228">
        <v>349.23</v>
      </c>
      <c r="EQ116" s="228">
        <v>198.38</v>
      </c>
      <c r="ER116" s="229">
        <v>0.56810000000000005</v>
      </c>
      <c r="ES116" s="228">
        <v>404.2</v>
      </c>
      <c r="ET116" s="228">
        <v>437.07</v>
      </c>
      <c r="EU116" s="231">
        <v>1803.3</v>
      </c>
      <c r="EV116" s="231">
        <v>45183075</v>
      </c>
      <c r="EW116" s="231">
        <v>2644.58</v>
      </c>
      <c r="EX116" s="231">
        <v>2553.6799999999998</v>
      </c>
      <c r="EY116" s="228">
        <v>90.9</v>
      </c>
      <c r="EZ116" s="229">
        <v>3.56E-2</v>
      </c>
      <c r="FA116" s="229">
        <v>1.0779000000000001</v>
      </c>
      <c r="FB116" s="227" t="s">
        <v>567</v>
      </c>
      <c r="FC116">
        <f t="shared" si="1"/>
        <v>55</v>
      </c>
    </row>
    <row r="117" spans="1:159" ht="17.25" thickBot="1" x14ac:dyDescent="0.3">
      <c r="A117" s="226">
        <v>46029</v>
      </c>
      <c r="B117" s="227" t="s">
        <v>175</v>
      </c>
      <c r="C117" s="227" t="s">
        <v>607</v>
      </c>
      <c r="D117" s="228">
        <v>700</v>
      </c>
      <c r="E117" s="228">
        <v>20</v>
      </c>
      <c r="F117" s="228">
        <v>853.7</v>
      </c>
      <c r="G117" s="228">
        <v>854.35</v>
      </c>
      <c r="H117" s="228">
        <v>-0.65</v>
      </c>
      <c r="I117" s="229">
        <v>-8.0000000000000004E-4</v>
      </c>
      <c r="J117" s="228">
        <v>851.95</v>
      </c>
      <c r="K117" s="228">
        <v>850.05</v>
      </c>
      <c r="L117" s="228">
        <v>1.9</v>
      </c>
      <c r="M117" s="229">
        <v>2.2000000000000001E-3</v>
      </c>
      <c r="N117" s="228">
        <v>853.7</v>
      </c>
      <c r="O117" s="228">
        <v>854.35</v>
      </c>
      <c r="P117" s="228">
        <v>-0.65</v>
      </c>
      <c r="Q117" s="229">
        <v>-8.0000000000000004E-4</v>
      </c>
      <c r="R117" s="228">
        <v>857.5</v>
      </c>
      <c r="S117" s="228">
        <v>858.4</v>
      </c>
      <c r="T117" s="228">
        <v>-0.9</v>
      </c>
      <c r="U117" s="229">
        <v>-1E-3</v>
      </c>
      <c r="V117" s="228">
        <v>862.9</v>
      </c>
      <c r="W117" s="228">
        <v>863.6</v>
      </c>
      <c r="X117" s="228">
        <v>-0.7</v>
      </c>
      <c r="Y117" s="229">
        <v>-8.0000000000000004E-4</v>
      </c>
      <c r="Z117" s="228">
        <v>1.75</v>
      </c>
      <c r="AA117" s="228">
        <v>4.3</v>
      </c>
      <c r="AB117" s="228">
        <v>-2.5499999999999998</v>
      </c>
      <c r="AC117" s="229">
        <v>2.0999999999999999E-3</v>
      </c>
      <c r="AD117" s="228">
        <v>1.75</v>
      </c>
      <c r="AE117" s="228">
        <v>4.3</v>
      </c>
      <c r="AF117" s="228">
        <v>-2.5499999999999998</v>
      </c>
      <c r="AG117" s="229">
        <v>2.0999999999999999E-3</v>
      </c>
      <c r="AH117" s="228">
        <v>5.55</v>
      </c>
      <c r="AI117" s="228">
        <v>8.35</v>
      </c>
      <c r="AJ117" s="228">
        <v>-2.8</v>
      </c>
      <c r="AK117" s="229">
        <v>6.4999999999999997E-3</v>
      </c>
      <c r="AL117" s="228">
        <v>10.95</v>
      </c>
      <c r="AM117" s="228">
        <v>13.55</v>
      </c>
      <c r="AN117" s="228">
        <v>-2.6</v>
      </c>
      <c r="AO117" s="229">
        <v>1.29E-2</v>
      </c>
      <c r="AP117" s="228">
        <v>851.59</v>
      </c>
      <c r="AQ117" s="228">
        <v>854.67</v>
      </c>
      <c r="AR117" s="228">
        <v>0</v>
      </c>
      <c r="AS117" s="228">
        <v>100</v>
      </c>
      <c r="AT117" s="228">
        <v>114</v>
      </c>
      <c r="AU117" s="228">
        <v>-14</v>
      </c>
      <c r="AV117" s="229">
        <v>-0.11990000000000001</v>
      </c>
      <c r="AW117" s="228">
        <v>92</v>
      </c>
      <c r="AX117" s="228">
        <v>105</v>
      </c>
      <c r="AY117" s="228">
        <v>-14</v>
      </c>
      <c r="AZ117" s="229">
        <v>-0.1305</v>
      </c>
      <c r="BA117" s="228">
        <v>8</v>
      </c>
      <c r="BB117" s="228">
        <v>7</v>
      </c>
      <c r="BC117" s="228">
        <v>0</v>
      </c>
      <c r="BD117" s="229">
        <v>6.7799999999999999E-2</v>
      </c>
      <c r="BE117" s="228">
        <v>1</v>
      </c>
      <c r="BF117" s="228">
        <v>1</v>
      </c>
      <c r="BG117" s="228">
        <v>0</v>
      </c>
      <c r="BH117" s="229">
        <v>-0.3</v>
      </c>
      <c r="BI117" s="228">
        <v>221</v>
      </c>
      <c r="BJ117" s="228">
        <v>296</v>
      </c>
      <c r="BK117" s="228">
        <v>-75</v>
      </c>
      <c r="BL117" s="229">
        <v>-0.25290000000000001</v>
      </c>
      <c r="BM117" s="228">
        <v>100</v>
      </c>
      <c r="BN117" s="228">
        <v>101</v>
      </c>
      <c r="BO117" s="228">
        <v>-1</v>
      </c>
      <c r="BP117" s="229">
        <v>-1.18E-2</v>
      </c>
      <c r="BQ117" s="228">
        <v>421</v>
      </c>
      <c r="BR117" s="228">
        <v>510</v>
      </c>
      <c r="BS117" s="228">
        <v>-90</v>
      </c>
      <c r="BT117" s="229">
        <v>-0.17549999999999999</v>
      </c>
      <c r="BU117" s="230">
        <v>901712</v>
      </c>
      <c r="BV117" s="230">
        <v>1003488</v>
      </c>
      <c r="BW117" s="230">
        <v>-101776</v>
      </c>
      <c r="BX117" s="229">
        <v>-0.1014</v>
      </c>
      <c r="BY117" s="230">
        <v>1000</v>
      </c>
      <c r="BZ117" s="228">
        <v>991</v>
      </c>
      <c r="CA117" s="228">
        <v>9</v>
      </c>
      <c r="CB117" s="229">
        <v>8.8999999999999999E-3</v>
      </c>
      <c r="CC117" s="228">
        <v>921</v>
      </c>
      <c r="CD117" s="228">
        <v>916</v>
      </c>
      <c r="CE117" s="228">
        <v>5</v>
      </c>
      <c r="CF117" s="229">
        <v>5.7000000000000002E-3</v>
      </c>
      <c r="CG117" s="228">
        <v>75</v>
      </c>
      <c r="CH117" s="228">
        <v>72</v>
      </c>
      <c r="CI117" s="228">
        <v>3</v>
      </c>
      <c r="CJ117" s="229">
        <v>4.6600000000000003E-2</v>
      </c>
      <c r="CK117" s="228">
        <v>3</v>
      </c>
      <c r="CL117" s="228">
        <v>3</v>
      </c>
      <c r="CM117" s="228">
        <v>0</v>
      </c>
      <c r="CN117" s="229">
        <v>5.6599999999999998E-2</v>
      </c>
      <c r="CO117" s="228">
        <v>440</v>
      </c>
      <c r="CP117" s="228">
        <v>410</v>
      </c>
      <c r="CQ117" s="228">
        <v>30</v>
      </c>
      <c r="CR117" s="229">
        <v>7.3099999999999998E-2</v>
      </c>
      <c r="CS117" s="228">
        <v>309</v>
      </c>
      <c r="CT117" s="228">
        <v>288</v>
      </c>
      <c r="CU117" s="228">
        <v>21</v>
      </c>
      <c r="CV117" s="229">
        <v>7.4499999999999997E-2</v>
      </c>
      <c r="CW117" s="230">
        <v>1749</v>
      </c>
      <c r="CX117" s="230">
        <v>1689</v>
      </c>
      <c r="CY117" s="228">
        <v>60</v>
      </c>
      <c r="CZ117" s="229">
        <v>3.5700000000000003E-2</v>
      </c>
      <c r="DA117" s="228">
        <v>18.899999999999999</v>
      </c>
      <c r="DB117" s="228">
        <v>19.47</v>
      </c>
      <c r="DC117" s="228">
        <v>-0.56999999999999995</v>
      </c>
      <c r="DD117" s="228">
        <v>-0.56999999999999995</v>
      </c>
      <c r="DE117" s="228">
        <v>29.69</v>
      </c>
      <c r="DF117" s="228">
        <v>29.77</v>
      </c>
      <c r="DG117" s="228">
        <v>-10.79</v>
      </c>
      <c r="DH117" s="228">
        <v>-0.08</v>
      </c>
      <c r="DI117" s="228">
        <v>19.149999999999999</v>
      </c>
      <c r="DJ117" s="228">
        <v>19.690000000000001</v>
      </c>
      <c r="DK117" s="228">
        <v>-0.54</v>
      </c>
      <c r="DL117" s="228">
        <v>-0.54</v>
      </c>
      <c r="DM117" s="228">
        <v>18.350000000000001</v>
      </c>
      <c r="DN117" s="228">
        <v>18.82</v>
      </c>
      <c r="DO117" s="228">
        <v>-0.47</v>
      </c>
      <c r="DP117" s="228">
        <v>-0.47</v>
      </c>
      <c r="DQ117" s="228">
        <v>0.7</v>
      </c>
      <c r="DR117" s="228">
        <v>0.7</v>
      </c>
      <c r="DS117" s="228">
        <v>0</v>
      </c>
      <c r="DT117" s="229">
        <v>0</v>
      </c>
      <c r="DU117" s="228">
        <v>900</v>
      </c>
      <c r="DV117" s="228">
        <v>850</v>
      </c>
      <c r="DW117" s="228">
        <v>0.45</v>
      </c>
      <c r="DX117" s="228">
        <v>0.34</v>
      </c>
      <c r="DY117" s="228">
        <v>0.11</v>
      </c>
      <c r="DZ117" s="229">
        <v>0.32350000000000001</v>
      </c>
      <c r="EA117" s="229">
        <v>7.8600000000000003E-2</v>
      </c>
      <c r="EB117" s="230">
        <v>879200</v>
      </c>
      <c r="EC117" s="229">
        <v>4.4999999999999997E-3</v>
      </c>
      <c r="ED117" s="229">
        <v>7.8600000000000003E-2</v>
      </c>
      <c r="EE117" s="228">
        <v>3.08</v>
      </c>
      <c r="EF117" s="229">
        <v>3.5999999999999999E-3</v>
      </c>
      <c r="EG117" s="230">
        <v>552476</v>
      </c>
      <c r="EH117" s="230">
        <v>661344</v>
      </c>
      <c r="EI117" s="229">
        <v>-0.1646</v>
      </c>
      <c r="EJ117" s="229">
        <v>0.61270000000000002</v>
      </c>
      <c r="EK117" s="228">
        <v>228.09</v>
      </c>
      <c r="EL117" s="228">
        <v>99.23</v>
      </c>
      <c r="EM117" s="228">
        <v>99.77</v>
      </c>
      <c r="EN117" s="228">
        <v>18.77</v>
      </c>
      <c r="EO117" s="228">
        <v>427.08</v>
      </c>
      <c r="EP117" s="228">
        <v>521.55999999999995</v>
      </c>
      <c r="EQ117" s="228">
        <v>-94.48</v>
      </c>
      <c r="ER117" s="229">
        <v>-0.18110000000000001</v>
      </c>
      <c r="ES117" s="228">
        <v>456.11</v>
      </c>
      <c r="ET117" s="228">
        <v>305.19</v>
      </c>
      <c r="EU117" s="228">
        <v>999.96</v>
      </c>
      <c r="EV117" s="231">
        <v>33206238</v>
      </c>
      <c r="EW117" s="231">
        <v>1761.26</v>
      </c>
      <c r="EX117" s="231">
        <v>1701.86</v>
      </c>
      <c r="EY117" s="228">
        <v>59.4</v>
      </c>
      <c r="EZ117" s="229">
        <v>3.49E-2</v>
      </c>
      <c r="FA117" s="229">
        <v>0.61709999999999998</v>
      </c>
      <c r="FB117" s="227" t="s">
        <v>567</v>
      </c>
      <c r="FC117">
        <f t="shared" si="1"/>
        <v>79</v>
      </c>
    </row>
    <row r="118" spans="1:159" ht="17.25" thickBot="1" x14ac:dyDescent="0.3">
      <c r="A118" s="226">
        <v>46029</v>
      </c>
      <c r="B118" s="227" t="s">
        <v>206</v>
      </c>
      <c r="C118" s="227" t="s">
        <v>588</v>
      </c>
      <c r="D118" s="228">
        <v>450</v>
      </c>
      <c r="E118" s="228">
        <v>20</v>
      </c>
      <c r="F118" s="231">
        <v>1114.7</v>
      </c>
      <c r="G118" s="231">
        <v>1114.5</v>
      </c>
      <c r="H118" s="228">
        <v>0.2</v>
      </c>
      <c r="I118" s="229">
        <v>2.0000000000000001E-4</v>
      </c>
      <c r="J118" s="231">
        <v>1110.9000000000001</v>
      </c>
      <c r="K118" s="231">
        <v>1112.0999999999999</v>
      </c>
      <c r="L118" s="228">
        <v>-1.2</v>
      </c>
      <c r="M118" s="229">
        <v>-1.1000000000000001E-3</v>
      </c>
      <c r="N118" s="231">
        <v>1114.7</v>
      </c>
      <c r="O118" s="231">
        <v>1114.5</v>
      </c>
      <c r="P118" s="228">
        <v>0.2</v>
      </c>
      <c r="Q118" s="229">
        <v>2.0000000000000001E-4</v>
      </c>
      <c r="R118" s="231">
        <v>1121.0999999999999</v>
      </c>
      <c r="S118" s="231">
        <v>1121.4000000000001</v>
      </c>
      <c r="T118" s="228">
        <v>-0.3</v>
      </c>
      <c r="U118" s="229">
        <v>-2.9999999999999997E-4</v>
      </c>
      <c r="V118" s="231">
        <v>1128.8</v>
      </c>
      <c r="W118" s="231">
        <v>1128.3</v>
      </c>
      <c r="X118" s="228">
        <v>0.5</v>
      </c>
      <c r="Y118" s="229">
        <v>4.0000000000000002E-4</v>
      </c>
      <c r="Z118" s="228">
        <v>3.8</v>
      </c>
      <c r="AA118" s="228">
        <v>2.4</v>
      </c>
      <c r="AB118" s="228">
        <v>1.4</v>
      </c>
      <c r="AC118" s="229">
        <v>3.3999999999999998E-3</v>
      </c>
      <c r="AD118" s="228">
        <v>3.8</v>
      </c>
      <c r="AE118" s="228">
        <v>2.4</v>
      </c>
      <c r="AF118" s="228">
        <v>1.4</v>
      </c>
      <c r="AG118" s="229">
        <v>3.3999999999999998E-3</v>
      </c>
      <c r="AH118" s="228">
        <v>10.199999999999999</v>
      </c>
      <c r="AI118" s="228">
        <v>9.3000000000000007</v>
      </c>
      <c r="AJ118" s="228">
        <v>0.9</v>
      </c>
      <c r="AK118" s="229">
        <v>9.1999999999999998E-3</v>
      </c>
      <c r="AL118" s="228">
        <v>17.899999999999999</v>
      </c>
      <c r="AM118" s="228">
        <v>16.2</v>
      </c>
      <c r="AN118" s="228">
        <v>1.7</v>
      </c>
      <c r="AO118" s="229">
        <v>1.61E-2</v>
      </c>
      <c r="AP118" s="231">
        <v>1120.6300000000001</v>
      </c>
      <c r="AQ118" s="231">
        <v>1128.67</v>
      </c>
      <c r="AR118" s="228">
        <v>0</v>
      </c>
      <c r="AS118" s="228">
        <v>233</v>
      </c>
      <c r="AT118" s="228">
        <v>134</v>
      </c>
      <c r="AU118" s="228">
        <v>99</v>
      </c>
      <c r="AV118" s="229">
        <v>0.7419</v>
      </c>
      <c r="AW118" s="228">
        <v>224</v>
      </c>
      <c r="AX118" s="228">
        <v>128</v>
      </c>
      <c r="AY118" s="228">
        <v>97</v>
      </c>
      <c r="AZ118" s="229">
        <v>0.75829999999999997</v>
      </c>
      <c r="BA118" s="228">
        <v>8</v>
      </c>
      <c r="BB118" s="228">
        <v>6</v>
      </c>
      <c r="BC118" s="228">
        <v>3</v>
      </c>
      <c r="BD118" s="229">
        <v>0.45050000000000001</v>
      </c>
      <c r="BE118" s="228">
        <v>1</v>
      </c>
      <c r="BF118" s="228">
        <v>1</v>
      </c>
      <c r="BG118" s="228">
        <v>0</v>
      </c>
      <c r="BH118" s="229">
        <v>0</v>
      </c>
      <c r="BI118" s="228">
        <v>663</v>
      </c>
      <c r="BJ118" s="228">
        <v>286</v>
      </c>
      <c r="BK118" s="228">
        <v>377</v>
      </c>
      <c r="BL118" s="229">
        <v>1.3193999999999999</v>
      </c>
      <c r="BM118" s="228">
        <v>258</v>
      </c>
      <c r="BN118" s="228">
        <v>130</v>
      </c>
      <c r="BO118" s="228">
        <v>128</v>
      </c>
      <c r="BP118" s="229">
        <v>0.97770000000000001</v>
      </c>
      <c r="BQ118" s="230">
        <v>1154</v>
      </c>
      <c r="BR118" s="228">
        <v>550</v>
      </c>
      <c r="BS118" s="228">
        <v>604</v>
      </c>
      <c r="BT118" s="229">
        <v>1.0979000000000001</v>
      </c>
      <c r="BU118" s="230">
        <v>2695035</v>
      </c>
      <c r="BV118" s="230">
        <v>2369549</v>
      </c>
      <c r="BW118" s="230">
        <v>325486</v>
      </c>
      <c r="BX118" s="229">
        <v>0.13739999999999999</v>
      </c>
      <c r="BY118" s="230">
        <v>1376</v>
      </c>
      <c r="BZ118" s="230">
        <v>1394</v>
      </c>
      <c r="CA118" s="228">
        <v>-18</v>
      </c>
      <c r="CB118" s="229">
        <v>-1.29E-2</v>
      </c>
      <c r="CC118" s="230">
        <v>1349</v>
      </c>
      <c r="CD118" s="230">
        <v>1369</v>
      </c>
      <c r="CE118" s="228">
        <v>-20</v>
      </c>
      <c r="CF118" s="229">
        <v>-1.4500000000000001E-2</v>
      </c>
      <c r="CG118" s="228">
        <v>25</v>
      </c>
      <c r="CH118" s="228">
        <v>24</v>
      </c>
      <c r="CI118" s="228">
        <v>2</v>
      </c>
      <c r="CJ118" s="229">
        <v>6.5799999999999997E-2</v>
      </c>
      <c r="CK118" s="228">
        <v>2</v>
      </c>
      <c r="CL118" s="228">
        <v>1</v>
      </c>
      <c r="CM118" s="228">
        <v>0</v>
      </c>
      <c r="CN118" s="229">
        <v>0.29630000000000001</v>
      </c>
      <c r="CO118" s="228">
        <v>313</v>
      </c>
      <c r="CP118" s="228">
        <v>257</v>
      </c>
      <c r="CQ118" s="228">
        <v>56</v>
      </c>
      <c r="CR118" s="229">
        <v>0.21809999999999999</v>
      </c>
      <c r="CS118" s="228">
        <v>212</v>
      </c>
      <c r="CT118" s="228">
        <v>201</v>
      </c>
      <c r="CU118" s="228">
        <v>11</v>
      </c>
      <c r="CV118" s="229">
        <v>5.7000000000000002E-2</v>
      </c>
      <c r="CW118" s="230">
        <v>1901</v>
      </c>
      <c r="CX118" s="230">
        <v>1852</v>
      </c>
      <c r="CY118" s="228">
        <v>49</v>
      </c>
      <c r="CZ118" s="229">
        <v>2.6700000000000002E-2</v>
      </c>
      <c r="DA118" s="228">
        <v>30.25</v>
      </c>
      <c r="DB118" s="228">
        <v>30.37</v>
      </c>
      <c r="DC118" s="228">
        <v>-0.12</v>
      </c>
      <c r="DD118" s="228">
        <v>-0.12</v>
      </c>
      <c r="DE118" s="228">
        <v>42.91</v>
      </c>
      <c r="DF118" s="228">
        <v>43.02</v>
      </c>
      <c r="DG118" s="228">
        <v>-12.66</v>
      </c>
      <c r="DH118" s="228">
        <v>-0.11</v>
      </c>
      <c r="DI118" s="228">
        <v>30.35</v>
      </c>
      <c r="DJ118" s="228">
        <v>30.26</v>
      </c>
      <c r="DK118" s="228">
        <v>0.09</v>
      </c>
      <c r="DL118" s="228">
        <v>0.09</v>
      </c>
      <c r="DM118" s="228">
        <v>30</v>
      </c>
      <c r="DN118" s="228">
        <v>30.59</v>
      </c>
      <c r="DO118" s="228">
        <v>-0.59</v>
      </c>
      <c r="DP118" s="228">
        <v>-0.59</v>
      </c>
      <c r="DQ118" s="228">
        <v>0.68</v>
      </c>
      <c r="DR118" s="228">
        <v>0.78</v>
      </c>
      <c r="DS118" s="228">
        <v>-0.1</v>
      </c>
      <c r="DT118" s="229">
        <v>-0.12820000000000001</v>
      </c>
      <c r="DU118" s="231">
        <v>1120</v>
      </c>
      <c r="DV118" s="231">
        <v>1000</v>
      </c>
      <c r="DW118" s="228">
        <v>0.39</v>
      </c>
      <c r="DX118" s="228">
        <v>0.46</v>
      </c>
      <c r="DY118" s="228">
        <v>-7.0000000000000007E-2</v>
      </c>
      <c r="DZ118" s="229">
        <v>-0.1522</v>
      </c>
      <c r="EA118" s="229">
        <v>1.9599999999999999E-2</v>
      </c>
      <c r="EB118" s="230">
        <v>224100</v>
      </c>
      <c r="EC118" s="229">
        <v>5.7000000000000002E-3</v>
      </c>
      <c r="ED118" s="229">
        <v>1.9599999999999999E-2</v>
      </c>
      <c r="EE118" s="228">
        <v>8.0399999999999991</v>
      </c>
      <c r="EF118" s="229">
        <v>7.1999999999999998E-3</v>
      </c>
      <c r="EG118" s="230">
        <v>1422785</v>
      </c>
      <c r="EH118" s="230">
        <v>1831751</v>
      </c>
      <c r="EI118" s="229">
        <v>-0.2233</v>
      </c>
      <c r="EJ118" s="229">
        <v>0.52790000000000004</v>
      </c>
      <c r="EK118" s="228">
        <v>695.93</v>
      </c>
      <c r="EL118" s="228">
        <v>258.88</v>
      </c>
      <c r="EM118" s="228">
        <v>234.51</v>
      </c>
      <c r="EN118" s="228">
        <v>31.17</v>
      </c>
      <c r="EO118" s="231">
        <v>1189.32</v>
      </c>
      <c r="EP118" s="228">
        <v>561.66</v>
      </c>
      <c r="EQ118" s="228">
        <v>627.66</v>
      </c>
      <c r="ER118" s="229">
        <v>1.1174999999999999</v>
      </c>
      <c r="ES118" s="228">
        <v>320.13</v>
      </c>
      <c r="ET118" s="228">
        <v>203.09</v>
      </c>
      <c r="EU118" s="231">
        <v>1376.2</v>
      </c>
      <c r="EV118" s="231">
        <v>42126960</v>
      </c>
      <c r="EW118" s="231">
        <v>1899.41</v>
      </c>
      <c r="EX118" s="231">
        <v>1848.38</v>
      </c>
      <c r="EY118" s="228">
        <v>51.03</v>
      </c>
      <c r="EZ118" s="229">
        <v>2.76E-2</v>
      </c>
      <c r="FA118" s="229">
        <v>0.40479999999999999</v>
      </c>
      <c r="FB118" s="227" t="s">
        <v>556</v>
      </c>
      <c r="FC118">
        <f t="shared" si="1"/>
        <v>27</v>
      </c>
    </row>
    <row r="119" spans="1:159" ht="17.25" thickBot="1" x14ac:dyDescent="0.3">
      <c r="A119" s="226">
        <v>46029</v>
      </c>
      <c r="B119" s="227" t="s">
        <v>184</v>
      </c>
      <c r="C119" s="227" t="s">
        <v>249</v>
      </c>
      <c r="D119" s="228">
        <v>175</v>
      </c>
      <c r="E119" s="228">
        <v>20</v>
      </c>
      <c r="F119" s="231">
        <v>4164.3</v>
      </c>
      <c r="G119" s="231">
        <v>4160.1000000000004</v>
      </c>
      <c r="H119" s="228">
        <v>4.2</v>
      </c>
      <c r="I119" s="229">
        <v>1E-3</v>
      </c>
      <c r="J119" s="231">
        <v>4157</v>
      </c>
      <c r="K119" s="231">
        <v>4140.6000000000004</v>
      </c>
      <c r="L119" s="228">
        <v>16.399999999999999</v>
      </c>
      <c r="M119" s="229">
        <v>4.0000000000000001E-3</v>
      </c>
      <c r="N119" s="231">
        <v>4164.3</v>
      </c>
      <c r="O119" s="231">
        <v>4160.1000000000004</v>
      </c>
      <c r="P119" s="228">
        <v>4.2</v>
      </c>
      <c r="Q119" s="229">
        <v>1E-3</v>
      </c>
      <c r="R119" s="231">
        <v>4191</v>
      </c>
      <c r="S119" s="231">
        <v>4182.2</v>
      </c>
      <c r="T119" s="228">
        <v>8.8000000000000007</v>
      </c>
      <c r="U119" s="229">
        <v>2.0999999999999999E-3</v>
      </c>
      <c r="V119" s="231">
        <v>4213.3</v>
      </c>
      <c r="W119" s="231">
        <v>4206</v>
      </c>
      <c r="X119" s="228">
        <v>7.3</v>
      </c>
      <c r="Y119" s="229">
        <v>1.6999999999999999E-3</v>
      </c>
      <c r="Z119" s="228">
        <v>7.3</v>
      </c>
      <c r="AA119" s="228">
        <v>19.5</v>
      </c>
      <c r="AB119" s="228">
        <v>-12.2</v>
      </c>
      <c r="AC119" s="229">
        <v>1.8E-3</v>
      </c>
      <c r="AD119" s="228">
        <v>7.3</v>
      </c>
      <c r="AE119" s="228">
        <v>19.5</v>
      </c>
      <c r="AF119" s="228">
        <v>-12.2</v>
      </c>
      <c r="AG119" s="229">
        <v>1.8E-3</v>
      </c>
      <c r="AH119" s="228">
        <v>34</v>
      </c>
      <c r="AI119" s="228">
        <v>41.6</v>
      </c>
      <c r="AJ119" s="228">
        <v>-7.6</v>
      </c>
      <c r="AK119" s="229">
        <v>8.2000000000000007E-3</v>
      </c>
      <c r="AL119" s="228">
        <v>56.3</v>
      </c>
      <c r="AM119" s="228">
        <v>65.400000000000006</v>
      </c>
      <c r="AN119" s="228">
        <v>-9.1</v>
      </c>
      <c r="AO119" s="229">
        <v>1.35E-2</v>
      </c>
      <c r="AP119" s="231">
        <v>4141.8</v>
      </c>
      <c r="AQ119" s="231">
        <v>4164.03</v>
      </c>
      <c r="AR119" s="228">
        <v>0</v>
      </c>
      <c r="AS119" s="228">
        <v>594</v>
      </c>
      <c r="AT119" s="228">
        <v>498</v>
      </c>
      <c r="AU119" s="228">
        <v>96</v>
      </c>
      <c r="AV119" s="229">
        <v>0.1918</v>
      </c>
      <c r="AW119" s="228">
        <v>561</v>
      </c>
      <c r="AX119" s="228">
        <v>470</v>
      </c>
      <c r="AY119" s="228">
        <v>91</v>
      </c>
      <c r="AZ119" s="229">
        <v>0.19259999999999999</v>
      </c>
      <c r="BA119" s="228">
        <v>20</v>
      </c>
      <c r="BB119" s="228">
        <v>26</v>
      </c>
      <c r="BC119" s="228">
        <v>-6</v>
      </c>
      <c r="BD119" s="229">
        <v>-0.2301</v>
      </c>
      <c r="BE119" s="228">
        <v>13</v>
      </c>
      <c r="BF119" s="228">
        <v>2</v>
      </c>
      <c r="BG119" s="228">
        <v>11</v>
      </c>
      <c r="BH119" s="229">
        <v>4.6875</v>
      </c>
      <c r="BI119" s="230">
        <v>1790</v>
      </c>
      <c r="BJ119" s="230">
        <v>1584</v>
      </c>
      <c r="BK119" s="228">
        <v>205</v>
      </c>
      <c r="BL119" s="229">
        <v>0.1295</v>
      </c>
      <c r="BM119" s="230">
        <v>1138</v>
      </c>
      <c r="BN119" s="228">
        <v>774</v>
      </c>
      <c r="BO119" s="228">
        <v>364</v>
      </c>
      <c r="BP119" s="229">
        <v>0.46960000000000002</v>
      </c>
      <c r="BQ119" s="230">
        <v>3521</v>
      </c>
      <c r="BR119" s="230">
        <v>2857</v>
      </c>
      <c r="BS119" s="228">
        <v>664</v>
      </c>
      <c r="BT119" s="229">
        <v>0.23250000000000001</v>
      </c>
      <c r="BU119" s="230">
        <v>1294910</v>
      </c>
      <c r="BV119" s="230">
        <v>1234843</v>
      </c>
      <c r="BW119" s="230">
        <v>60067</v>
      </c>
      <c r="BX119" s="229">
        <v>4.8599999999999997E-2</v>
      </c>
      <c r="BY119" s="230">
        <v>5651</v>
      </c>
      <c r="BZ119" s="230">
        <v>5694</v>
      </c>
      <c r="CA119" s="228">
        <v>-43</v>
      </c>
      <c r="CB119" s="229">
        <v>-7.6E-3</v>
      </c>
      <c r="CC119" s="230">
        <v>5527</v>
      </c>
      <c r="CD119" s="230">
        <v>5581</v>
      </c>
      <c r="CE119" s="228">
        <v>-54</v>
      </c>
      <c r="CF119" s="229">
        <v>-9.7000000000000003E-3</v>
      </c>
      <c r="CG119" s="228">
        <v>105</v>
      </c>
      <c r="CH119" s="228">
        <v>103</v>
      </c>
      <c r="CI119" s="228">
        <v>2</v>
      </c>
      <c r="CJ119" s="229">
        <v>1.7000000000000001E-2</v>
      </c>
      <c r="CK119" s="228">
        <v>20</v>
      </c>
      <c r="CL119" s="228">
        <v>11</v>
      </c>
      <c r="CM119" s="228">
        <v>9</v>
      </c>
      <c r="CN119" s="229">
        <v>0.84830000000000005</v>
      </c>
      <c r="CO119" s="230">
        <v>1436</v>
      </c>
      <c r="CP119" s="230">
        <v>1256</v>
      </c>
      <c r="CQ119" s="228">
        <v>180</v>
      </c>
      <c r="CR119" s="229">
        <v>0.14349999999999999</v>
      </c>
      <c r="CS119" s="228">
        <v>956</v>
      </c>
      <c r="CT119" s="228">
        <v>922</v>
      </c>
      <c r="CU119" s="228">
        <v>34</v>
      </c>
      <c r="CV119" s="229">
        <v>3.6999999999999998E-2</v>
      </c>
      <c r="CW119" s="230">
        <v>8043</v>
      </c>
      <c r="CX119" s="230">
        <v>7872</v>
      </c>
      <c r="CY119" s="228">
        <v>171</v>
      </c>
      <c r="CZ119" s="229">
        <v>2.1700000000000001E-2</v>
      </c>
      <c r="DA119" s="228">
        <v>15.83</v>
      </c>
      <c r="DB119" s="228">
        <v>16.309999999999999</v>
      </c>
      <c r="DC119" s="228">
        <v>-0.48</v>
      </c>
      <c r="DD119" s="228">
        <v>-0.48</v>
      </c>
      <c r="DE119" s="228">
        <v>25.36</v>
      </c>
      <c r="DF119" s="228">
        <v>25.42</v>
      </c>
      <c r="DG119" s="228">
        <v>-9.5299999999999994</v>
      </c>
      <c r="DH119" s="228">
        <v>-0.06</v>
      </c>
      <c r="DI119" s="228">
        <v>15.43</v>
      </c>
      <c r="DJ119" s="228">
        <v>16.170000000000002</v>
      </c>
      <c r="DK119" s="228">
        <v>-0.74</v>
      </c>
      <c r="DL119" s="228">
        <v>-0.74</v>
      </c>
      <c r="DM119" s="228">
        <v>16.46</v>
      </c>
      <c r="DN119" s="228">
        <v>16.61</v>
      </c>
      <c r="DO119" s="228">
        <v>-0.15</v>
      </c>
      <c r="DP119" s="228">
        <v>-0.15</v>
      </c>
      <c r="DQ119" s="228">
        <v>0.67</v>
      </c>
      <c r="DR119" s="228">
        <v>0.73</v>
      </c>
      <c r="DS119" s="228">
        <v>-0.06</v>
      </c>
      <c r="DT119" s="229">
        <v>-8.2199999999999995E-2</v>
      </c>
      <c r="DU119" s="231">
        <v>4200</v>
      </c>
      <c r="DV119" s="231">
        <v>4100</v>
      </c>
      <c r="DW119" s="228">
        <v>0.64</v>
      </c>
      <c r="DX119" s="228">
        <v>0.49</v>
      </c>
      <c r="DY119" s="228">
        <v>0.15</v>
      </c>
      <c r="DZ119" s="229">
        <v>0.30609999999999998</v>
      </c>
      <c r="EA119" s="229">
        <v>2.1999999999999999E-2</v>
      </c>
      <c r="EB119" s="230">
        <v>272475</v>
      </c>
      <c r="EC119" s="229">
        <v>6.4000000000000003E-3</v>
      </c>
      <c r="ED119" s="229">
        <v>2.1999999999999999E-2</v>
      </c>
      <c r="EE119" s="228">
        <v>22.23</v>
      </c>
      <c r="EF119" s="229">
        <v>5.4000000000000003E-3</v>
      </c>
      <c r="EG119" s="230">
        <v>803160</v>
      </c>
      <c r="EH119" s="230">
        <v>661294</v>
      </c>
      <c r="EI119" s="229">
        <v>0.2145</v>
      </c>
      <c r="EJ119" s="229">
        <v>0.62019999999999997</v>
      </c>
      <c r="EK119" s="231">
        <v>1826.41</v>
      </c>
      <c r="EL119" s="231">
        <v>1127.49</v>
      </c>
      <c r="EM119" s="228">
        <v>591.11</v>
      </c>
      <c r="EN119" s="228">
        <v>70.489999999999995</v>
      </c>
      <c r="EO119" s="231">
        <v>3545</v>
      </c>
      <c r="EP119" s="231">
        <v>2891.12</v>
      </c>
      <c r="EQ119" s="228">
        <v>653.88</v>
      </c>
      <c r="ER119" s="229">
        <v>0.22620000000000001</v>
      </c>
      <c r="ES119" s="231">
        <v>1443.77</v>
      </c>
      <c r="ET119" s="228">
        <v>922.93</v>
      </c>
      <c r="EU119" s="231">
        <v>5651.65</v>
      </c>
      <c r="EV119" s="231">
        <v>136109374</v>
      </c>
      <c r="EW119" s="231">
        <v>8018.35</v>
      </c>
      <c r="EX119" s="231">
        <v>7841</v>
      </c>
      <c r="EY119" s="228">
        <v>177.35</v>
      </c>
      <c r="EZ119" s="229">
        <v>2.2599999999999999E-2</v>
      </c>
      <c r="FA119" s="229">
        <v>0.1419</v>
      </c>
      <c r="FB119" s="227" t="s">
        <v>556</v>
      </c>
      <c r="FC119">
        <f t="shared" si="1"/>
        <v>124</v>
      </c>
    </row>
    <row r="120" spans="1:159" ht="17.25" thickBot="1" x14ac:dyDescent="0.3">
      <c r="A120" s="226">
        <v>46029</v>
      </c>
      <c r="B120" s="227" t="s">
        <v>175</v>
      </c>
      <c r="C120" s="227" t="s">
        <v>565</v>
      </c>
      <c r="D120" s="228">
        <v>2250</v>
      </c>
      <c r="E120" s="228">
        <v>20</v>
      </c>
      <c r="F120" s="228">
        <v>314.2</v>
      </c>
      <c r="G120" s="228">
        <v>319.75</v>
      </c>
      <c r="H120" s="228">
        <v>-5.55</v>
      </c>
      <c r="I120" s="229">
        <v>-1.7399999999999999E-2</v>
      </c>
      <c r="J120" s="228">
        <v>313.95</v>
      </c>
      <c r="K120" s="228">
        <v>319.35000000000002</v>
      </c>
      <c r="L120" s="228">
        <v>-5.4</v>
      </c>
      <c r="M120" s="229">
        <v>-1.6899999999999998E-2</v>
      </c>
      <c r="N120" s="228">
        <v>314.2</v>
      </c>
      <c r="O120" s="228">
        <v>319.75</v>
      </c>
      <c r="P120" s="228">
        <v>-5.55</v>
      </c>
      <c r="Q120" s="229">
        <v>-1.7399999999999999E-2</v>
      </c>
      <c r="R120" s="228">
        <v>315.75</v>
      </c>
      <c r="S120" s="228">
        <v>320.39999999999998</v>
      </c>
      <c r="T120" s="228">
        <v>-4.6500000000000004</v>
      </c>
      <c r="U120" s="229">
        <v>-1.4500000000000001E-2</v>
      </c>
      <c r="V120" s="228">
        <v>316.60000000000002</v>
      </c>
      <c r="W120" s="228">
        <v>321.55</v>
      </c>
      <c r="X120" s="228">
        <v>-4.95</v>
      </c>
      <c r="Y120" s="229">
        <v>-1.54E-2</v>
      </c>
      <c r="Z120" s="228">
        <v>0.25</v>
      </c>
      <c r="AA120" s="228">
        <v>0.4</v>
      </c>
      <c r="AB120" s="228">
        <v>-0.15</v>
      </c>
      <c r="AC120" s="229">
        <v>8.0000000000000004E-4</v>
      </c>
      <c r="AD120" s="228">
        <v>0.25</v>
      </c>
      <c r="AE120" s="228">
        <v>0.4</v>
      </c>
      <c r="AF120" s="228">
        <v>-0.15</v>
      </c>
      <c r="AG120" s="229">
        <v>8.0000000000000004E-4</v>
      </c>
      <c r="AH120" s="228">
        <v>1.8</v>
      </c>
      <c r="AI120" s="228">
        <v>1.05</v>
      </c>
      <c r="AJ120" s="228">
        <v>0.75</v>
      </c>
      <c r="AK120" s="229">
        <v>5.7000000000000002E-3</v>
      </c>
      <c r="AL120" s="228">
        <v>2.65</v>
      </c>
      <c r="AM120" s="228">
        <v>2.2000000000000002</v>
      </c>
      <c r="AN120" s="228">
        <v>0.45</v>
      </c>
      <c r="AO120" s="229">
        <v>8.3999999999999995E-3</v>
      </c>
      <c r="AP120" s="228">
        <v>314.18</v>
      </c>
      <c r="AQ120" s="228">
        <v>315.5</v>
      </c>
      <c r="AR120" s="228">
        <v>0</v>
      </c>
      <c r="AS120" s="228">
        <v>454</v>
      </c>
      <c r="AT120" s="228">
        <v>474</v>
      </c>
      <c r="AU120" s="228">
        <v>-19</v>
      </c>
      <c r="AV120" s="229">
        <v>-4.0899999999999999E-2</v>
      </c>
      <c r="AW120" s="228">
        <v>422</v>
      </c>
      <c r="AX120" s="228">
        <v>452</v>
      </c>
      <c r="AY120" s="228">
        <v>-31</v>
      </c>
      <c r="AZ120" s="229">
        <v>-6.8000000000000005E-2</v>
      </c>
      <c r="BA120" s="228">
        <v>28</v>
      </c>
      <c r="BB120" s="228">
        <v>16</v>
      </c>
      <c r="BC120" s="228">
        <v>11</v>
      </c>
      <c r="BD120" s="229">
        <v>0.68400000000000005</v>
      </c>
      <c r="BE120" s="228">
        <v>5</v>
      </c>
      <c r="BF120" s="228">
        <v>5</v>
      </c>
      <c r="BG120" s="228">
        <v>0</v>
      </c>
      <c r="BH120" s="229">
        <v>4.41E-2</v>
      </c>
      <c r="BI120" s="228">
        <v>793</v>
      </c>
      <c r="BJ120" s="230">
        <v>1565</v>
      </c>
      <c r="BK120" s="228">
        <v>-772</v>
      </c>
      <c r="BL120" s="229">
        <v>-0.49349999999999999</v>
      </c>
      <c r="BM120" s="228">
        <v>479</v>
      </c>
      <c r="BN120" s="228">
        <v>671</v>
      </c>
      <c r="BO120" s="228">
        <v>-192</v>
      </c>
      <c r="BP120" s="229">
        <v>-0.28610000000000002</v>
      </c>
      <c r="BQ120" s="230">
        <v>1726</v>
      </c>
      <c r="BR120" s="230">
        <v>2710</v>
      </c>
      <c r="BS120" s="228">
        <v>-984</v>
      </c>
      <c r="BT120" s="229">
        <v>-0.36299999999999999</v>
      </c>
      <c r="BU120" s="230">
        <v>5312685</v>
      </c>
      <c r="BV120" s="230">
        <v>9047750</v>
      </c>
      <c r="BW120" s="230">
        <v>-3735065</v>
      </c>
      <c r="BX120" s="229">
        <v>-0.4128</v>
      </c>
      <c r="BY120" s="230">
        <v>1290</v>
      </c>
      <c r="BZ120" s="230">
        <v>1301</v>
      </c>
      <c r="CA120" s="228">
        <v>-11</v>
      </c>
      <c r="CB120" s="229">
        <v>-8.2000000000000007E-3</v>
      </c>
      <c r="CC120" s="230">
        <v>1248</v>
      </c>
      <c r="CD120" s="230">
        <v>1267</v>
      </c>
      <c r="CE120" s="228">
        <v>-19</v>
      </c>
      <c r="CF120" s="229">
        <v>-1.52E-2</v>
      </c>
      <c r="CG120" s="228">
        <v>34</v>
      </c>
      <c r="CH120" s="228">
        <v>27</v>
      </c>
      <c r="CI120" s="228">
        <v>7</v>
      </c>
      <c r="CJ120" s="229">
        <v>0.26840000000000003</v>
      </c>
      <c r="CK120" s="228">
        <v>8</v>
      </c>
      <c r="CL120" s="228">
        <v>7</v>
      </c>
      <c r="CM120" s="228">
        <v>1</v>
      </c>
      <c r="CN120" s="229">
        <v>0.20430000000000001</v>
      </c>
      <c r="CO120" s="228">
        <v>739</v>
      </c>
      <c r="CP120" s="228">
        <v>668</v>
      </c>
      <c r="CQ120" s="228">
        <v>70</v>
      </c>
      <c r="CR120" s="229">
        <v>0.10539999999999999</v>
      </c>
      <c r="CS120" s="228">
        <v>481</v>
      </c>
      <c r="CT120" s="228">
        <v>474</v>
      </c>
      <c r="CU120" s="228">
        <v>7</v>
      </c>
      <c r="CV120" s="229">
        <v>1.4200000000000001E-2</v>
      </c>
      <c r="CW120" s="230">
        <v>2510</v>
      </c>
      <c r="CX120" s="230">
        <v>2443</v>
      </c>
      <c r="CY120" s="228">
        <v>66</v>
      </c>
      <c r="CZ120" s="229">
        <v>2.7199999999999998E-2</v>
      </c>
      <c r="DA120" s="228">
        <v>32.9</v>
      </c>
      <c r="DB120" s="228">
        <v>32.729999999999997</v>
      </c>
      <c r="DC120" s="228">
        <v>0.17</v>
      </c>
      <c r="DD120" s="228">
        <v>0.17</v>
      </c>
      <c r="DE120" s="228">
        <v>38.24</v>
      </c>
      <c r="DF120" s="228">
        <v>38.26</v>
      </c>
      <c r="DG120" s="228">
        <v>-5.34</v>
      </c>
      <c r="DH120" s="228">
        <v>-0.02</v>
      </c>
      <c r="DI120" s="228">
        <v>33.19</v>
      </c>
      <c r="DJ120" s="228">
        <v>32.85</v>
      </c>
      <c r="DK120" s="228">
        <v>0.34</v>
      </c>
      <c r="DL120" s="228">
        <v>0.34</v>
      </c>
      <c r="DM120" s="228">
        <v>32.42</v>
      </c>
      <c r="DN120" s="228">
        <v>32.43</v>
      </c>
      <c r="DO120" s="228">
        <v>-0.01</v>
      </c>
      <c r="DP120" s="228">
        <v>-0.01</v>
      </c>
      <c r="DQ120" s="228">
        <v>0.65</v>
      </c>
      <c r="DR120" s="228">
        <v>0.71</v>
      </c>
      <c r="DS120" s="228">
        <v>-0.06</v>
      </c>
      <c r="DT120" s="229">
        <v>-8.4500000000000006E-2</v>
      </c>
      <c r="DU120" s="228">
        <v>320</v>
      </c>
      <c r="DV120" s="228">
        <v>310</v>
      </c>
      <c r="DW120" s="228">
        <v>0.6</v>
      </c>
      <c r="DX120" s="228">
        <v>0.43</v>
      </c>
      <c r="DY120" s="228">
        <v>0.17</v>
      </c>
      <c r="DZ120" s="229">
        <v>0.39529999999999998</v>
      </c>
      <c r="EA120" s="229">
        <v>3.2500000000000001E-2</v>
      </c>
      <c r="EB120" s="230">
        <v>1064250</v>
      </c>
      <c r="EC120" s="229">
        <v>4.8999999999999998E-3</v>
      </c>
      <c r="ED120" s="229">
        <v>3.2500000000000001E-2</v>
      </c>
      <c r="EE120" s="228">
        <v>1.32</v>
      </c>
      <c r="EF120" s="229">
        <v>4.1999999999999997E-3</v>
      </c>
      <c r="EG120" s="230">
        <v>2020554</v>
      </c>
      <c r="EH120" s="230">
        <v>3475461</v>
      </c>
      <c r="EI120" s="229">
        <v>-0.41860000000000003</v>
      </c>
      <c r="EJ120" s="229">
        <v>0.38030000000000003</v>
      </c>
      <c r="EK120" s="228">
        <v>837.59</v>
      </c>
      <c r="EL120" s="228">
        <v>481.31</v>
      </c>
      <c r="EM120" s="228">
        <v>454.33</v>
      </c>
      <c r="EN120" s="228">
        <v>56.58</v>
      </c>
      <c r="EO120" s="231">
        <v>1773.23</v>
      </c>
      <c r="EP120" s="231">
        <v>2862.04</v>
      </c>
      <c r="EQ120" s="231">
        <v>-1088.81</v>
      </c>
      <c r="ER120" s="229">
        <v>-0.38040000000000002</v>
      </c>
      <c r="ES120" s="228">
        <v>763.63</v>
      </c>
      <c r="ET120" s="228">
        <v>464.14</v>
      </c>
      <c r="EU120" s="231">
        <v>1290.3399999999999</v>
      </c>
      <c r="EV120" s="231">
        <v>127100972</v>
      </c>
      <c r="EW120" s="231">
        <v>2518.12</v>
      </c>
      <c r="EX120" s="231">
        <v>2474.15</v>
      </c>
      <c r="EY120" s="228">
        <v>43.97</v>
      </c>
      <c r="EZ120" s="229">
        <v>1.78E-2</v>
      </c>
      <c r="FA120" s="229">
        <v>0.62839999999999996</v>
      </c>
      <c r="FB120" s="227" t="s">
        <v>568</v>
      </c>
      <c r="FC120">
        <f t="shared" si="1"/>
        <v>42</v>
      </c>
    </row>
    <row r="121" spans="1:159" ht="17.25" thickBot="1" x14ac:dyDescent="0.3">
      <c r="A121" s="226">
        <v>46029</v>
      </c>
      <c r="B121" s="227" t="s">
        <v>221</v>
      </c>
      <c r="C121" s="227" t="s">
        <v>561</v>
      </c>
      <c r="D121" s="228">
        <v>150</v>
      </c>
      <c r="E121" s="228">
        <v>20</v>
      </c>
      <c r="F121" s="231">
        <v>6133</v>
      </c>
      <c r="G121" s="231">
        <v>6013.5</v>
      </c>
      <c r="H121" s="228">
        <v>119.5</v>
      </c>
      <c r="I121" s="229">
        <v>1.9900000000000001E-2</v>
      </c>
      <c r="J121" s="231">
        <v>6102</v>
      </c>
      <c r="K121" s="231">
        <v>5982.5</v>
      </c>
      <c r="L121" s="228">
        <v>119.5</v>
      </c>
      <c r="M121" s="229">
        <v>0.02</v>
      </c>
      <c r="N121" s="231">
        <v>6133</v>
      </c>
      <c r="O121" s="231">
        <v>6013.5</v>
      </c>
      <c r="P121" s="228">
        <v>119.5</v>
      </c>
      <c r="Q121" s="229">
        <v>1.9900000000000001E-2</v>
      </c>
      <c r="R121" s="231">
        <v>6162.5</v>
      </c>
      <c r="S121" s="231">
        <v>6032</v>
      </c>
      <c r="T121" s="228">
        <v>130.5</v>
      </c>
      <c r="U121" s="229">
        <v>2.1600000000000001E-2</v>
      </c>
      <c r="V121" s="231">
        <v>6190.5</v>
      </c>
      <c r="W121" s="231">
        <v>6057.5</v>
      </c>
      <c r="X121" s="228">
        <v>133</v>
      </c>
      <c r="Y121" s="229">
        <v>2.1999999999999999E-2</v>
      </c>
      <c r="Z121" s="228">
        <v>31</v>
      </c>
      <c r="AA121" s="228">
        <v>31</v>
      </c>
      <c r="AB121" s="228">
        <v>0</v>
      </c>
      <c r="AC121" s="229">
        <v>5.1000000000000004E-3</v>
      </c>
      <c r="AD121" s="228">
        <v>31</v>
      </c>
      <c r="AE121" s="228">
        <v>31</v>
      </c>
      <c r="AF121" s="228">
        <v>0</v>
      </c>
      <c r="AG121" s="229">
        <v>5.1000000000000004E-3</v>
      </c>
      <c r="AH121" s="228">
        <v>60.5</v>
      </c>
      <c r="AI121" s="228">
        <v>49.5</v>
      </c>
      <c r="AJ121" s="228">
        <v>11</v>
      </c>
      <c r="AK121" s="229">
        <v>9.9000000000000008E-3</v>
      </c>
      <c r="AL121" s="228">
        <v>88.5</v>
      </c>
      <c r="AM121" s="228">
        <v>75</v>
      </c>
      <c r="AN121" s="228">
        <v>13.5</v>
      </c>
      <c r="AO121" s="229">
        <v>1.4500000000000001E-2</v>
      </c>
      <c r="AP121" s="231">
        <v>6115.53</v>
      </c>
      <c r="AQ121" s="231">
        <v>6144.05</v>
      </c>
      <c r="AR121" s="228">
        <v>0</v>
      </c>
      <c r="AS121" s="228">
        <v>333</v>
      </c>
      <c r="AT121" s="228">
        <v>407</v>
      </c>
      <c r="AU121" s="228">
        <v>-75</v>
      </c>
      <c r="AV121" s="229">
        <v>-0.18310000000000001</v>
      </c>
      <c r="AW121" s="228">
        <v>324</v>
      </c>
      <c r="AX121" s="228">
        <v>401</v>
      </c>
      <c r="AY121" s="228">
        <v>-77</v>
      </c>
      <c r="AZ121" s="229">
        <v>-0.19139999999999999</v>
      </c>
      <c r="BA121" s="228">
        <v>7</v>
      </c>
      <c r="BB121" s="228">
        <v>5</v>
      </c>
      <c r="BC121" s="228">
        <v>3</v>
      </c>
      <c r="BD121" s="229">
        <v>0.61219999999999997</v>
      </c>
      <c r="BE121" s="228">
        <v>1</v>
      </c>
      <c r="BF121" s="228">
        <v>2</v>
      </c>
      <c r="BG121" s="228">
        <v>-1</v>
      </c>
      <c r="BH121" s="229">
        <v>-0.33329999999999999</v>
      </c>
      <c r="BI121" s="228">
        <v>974</v>
      </c>
      <c r="BJ121" s="228">
        <v>640</v>
      </c>
      <c r="BK121" s="228">
        <v>334</v>
      </c>
      <c r="BL121" s="229">
        <v>0.52270000000000005</v>
      </c>
      <c r="BM121" s="228">
        <v>439</v>
      </c>
      <c r="BN121" s="228">
        <v>593</v>
      </c>
      <c r="BO121" s="228">
        <v>-154</v>
      </c>
      <c r="BP121" s="229">
        <v>-0.25929999999999997</v>
      </c>
      <c r="BQ121" s="230">
        <v>1746</v>
      </c>
      <c r="BR121" s="230">
        <v>1640</v>
      </c>
      <c r="BS121" s="228">
        <v>106</v>
      </c>
      <c r="BT121" s="229">
        <v>6.4699999999999994E-2</v>
      </c>
      <c r="BU121" s="230">
        <v>300200</v>
      </c>
      <c r="BV121" s="230">
        <v>364268</v>
      </c>
      <c r="BW121" s="230">
        <v>-64068</v>
      </c>
      <c r="BX121" s="229">
        <v>-0.1759</v>
      </c>
      <c r="BY121" s="230">
        <v>1433</v>
      </c>
      <c r="BZ121" s="230">
        <v>1432</v>
      </c>
      <c r="CA121" s="228">
        <v>2</v>
      </c>
      <c r="CB121" s="229">
        <v>1.1999999999999999E-3</v>
      </c>
      <c r="CC121" s="230">
        <v>1418</v>
      </c>
      <c r="CD121" s="230">
        <v>1417</v>
      </c>
      <c r="CE121" s="228">
        <v>1</v>
      </c>
      <c r="CF121" s="229">
        <v>1E-3</v>
      </c>
      <c r="CG121" s="228">
        <v>13</v>
      </c>
      <c r="CH121" s="228">
        <v>12</v>
      </c>
      <c r="CI121" s="228">
        <v>1</v>
      </c>
      <c r="CJ121" s="229">
        <v>8.5900000000000004E-2</v>
      </c>
      <c r="CK121" s="228">
        <v>2</v>
      </c>
      <c r="CL121" s="228">
        <v>3</v>
      </c>
      <c r="CM121" s="228">
        <v>-1</v>
      </c>
      <c r="CN121" s="229">
        <v>-0.2414</v>
      </c>
      <c r="CO121" s="228">
        <v>521</v>
      </c>
      <c r="CP121" s="228">
        <v>480</v>
      </c>
      <c r="CQ121" s="228">
        <v>41</v>
      </c>
      <c r="CR121" s="229">
        <v>8.6099999999999996E-2</v>
      </c>
      <c r="CS121" s="228">
        <v>419</v>
      </c>
      <c r="CT121" s="228">
        <v>406</v>
      </c>
      <c r="CU121" s="228">
        <v>14</v>
      </c>
      <c r="CV121" s="229">
        <v>3.3799999999999997E-2</v>
      </c>
      <c r="CW121" s="230">
        <v>2374</v>
      </c>
      <c r="CX121" s="230">
        <v>2317</v>
      </c>
      <c r="CY121" s="228">
        <v>57</v>
      </c>
      <c r="CZ121" s="229">
        <v>2.4500000000000001E-2</v>
      </c>
      <c r="DA121" s="228">
        <v>28.37</v>
      </c>
      <c r="DB121" s="228">
        <v>27.49</v>
      </c>
      <c r="DC121" s="228">
        <v>0.88</v>
      </c>
      <c r="DD121" s="228">
        <v>0.88</v>
      </c>
      <c r="DE121" s="228">
        <v>31.5</v>
      </c>
      <c r="DF121" s="228">
        <v>31.46</v>
      </c>
      <c r="DG121" s="228">
        <v>-3.13</v>
      </c>
      <c r="DH121" s="228">
        <v>0.04</v>
      </c>
      <c r="DI121" s="228">
        <v>28.4</v>
      </c>
      <c r="DJ121" s="228">
        <v>27.5</v>
      </c>
      <c r="DK121" s="228">
        <v>0.9</v>
      </c>
      <c r="DL121" s="228">
        <v>0.9</v>
      </c>
      <c r="DM121" s="228">
        <v>28.3</v>
      </c>
      <c r="DN121" s="228">
        <v>27.47</v>
      </c>
      <c r="DO121" s="228">
        <v>0.83</v>
      </c>
      <c r="DP121" s="228">
        <v>0.83</v>
      </c>
      <c r="DQ121" s="228">
        <v>0.8</v>
      </c>
      <c r="DR121" s="228">
        <v>0.85</v>
      </c>
      <c r="DS121" s="228">
        <v>-0.05</v>
      </c>
      <c r="DT121" s="229">
        <v>-5.8799999999999998E-2</v>
      </c>
      <c r="DU121" s="231">
        <v>6850</v>
      </c>
      <c r="DV121" s="231">
        <v>5450</v>
      </c>
      <c r="DW121" s="228">
        <v>0.45</v>
      </c>
      <c r="DX121" s="228">
        <v>0.93</v>
      </c>
      <c r="DY121" s="228">
        <v>-0.48</v>
      </c>
      <c r="DZ121" s="229">
        <v>-0.5161</v>
      </c>
      <c r="EA121" s="229">
        <v>1.03E-2</v>
      </c>
      <c r="EB121" s="230">
        <v>23550</v>
      </c>
      <c r="EC121" s="229">
        <v>4.7999999999999996E-3</v>
      </c>
      <c r="ED121" s="229">
        <v>1.03E-2</v>
      </c>
      <c r="EE121" s="228">
        <v>28.52</v>
      </c>
      <c r="EF121" s="229">
        <v>4.7000000000000002E-3</v>
      </c>
      <c r="EG121" s="230">
        <v>172301</v>
      </c>
      <c r="EH121" s="230">
        <v>232227</v>
      </c>
      <c r="EI121" s="229">
        <v>-0.25800000000000001</v>
      </c>
      <c r="EJ121" s="229">
        <v>0.57399999999999995</v>
      </c>
      <c r="EK121" s="231">
        <v>1015.9</v>
      </c>
      <c r="EL121" s="228">
        <v>429.69</v>
      </c>
      <c r="EM121" s="228">
        <v>331.65</v>
      </c>
      <c r="EN121" s="228">
        <v>28.08</v>
      </c>
      <c r="EO121" s="231">
        <v>1777.25</v>
      </c>
      <c r="EP121" s="231">
        <v>1637.63</v>
      </c>
      <c r="EQ121" s="228">
        <v>139.62</v>
      </c>
      <c r="ER121" s="229">
        <v>8.5300000000000001E-2</v>
      </c>
      <c r="ES121" s="228">
        <v>543.55999999999995</v>
      </c>
      <c r="ET121" s="228">
        <v>395.18</v>
      </c>
      <c r="EU121" s="231">
        <v>1433.36</v>
      </c>
      <c r="EV121" s="231">
        <v>9672091</v>
      </c>
      <c r="EW121" s="231">
        <v>2372.11</v>
      </c>
      <c r="EX121" s="231">
        <v>2283.86</v>
      </c>
      <c r="EY121" s="228">
        <v>88.25</v>
      </c>
      <c r="EZ121" s="229">
        <v>3.8600000000000002E-2</v>
      </c>
      <c r="FA121" s="229">
        <v>0.4002</v>
      </c>
      <c r="FB121" s="227" t="s">
        <v>555</v>
      </c>
      <c r="FC121">
        <f t="shared" si="1"/>
        <v>15</v>
      </c>
    </row>
    <row r="122" spans="1:159" ht="17.25" thickBot="1" x14ac:dyDescent="0.3">
      <c r="A122" s="226">
        <v>46029</v>
      </c>
      <c r="B122" s="227" t="s">
        <v>170</v>
      </c>
      <c r="C122" s="227" t="s">
        <v>250</v>
      </c>
      <c r="D122" s="228">
        <v>425</v>
      </c>
      <c r="E122" s="228">
        <v>20</v>
      </c>
      <c r="F122" s="231">
        <v>2223.9</v>
      </c>
      <c r="G122" s="231">
        <v>2161.9</v>
      </c>
      <c r="H122" s="228">
        <v>62</v>
      </c>
      <c r="I122" s="229">
        <v>2.87E-2</v>
      </c>
      <c r="J122" s="231">
        <v>2214.3000000000002</v>
      </c>
      <c r="K122" s="231">
        <v>2149.6999999999998</v>
      </c>
      <c r="L122" s="228">
        <v>64.599999999999994</v>
      </c>
      <c r="M122" s="229">
        <v>3.0099999999999998E-2</v>
      </c>
      <c r="N122" s="231">
        <v>2223.9</v>
      </c>
      <c r="O122" s="231">
        <v>2161.9</v>
      </c>
      <c r="P122" s="228">
        <v>62</v>
      </c>
      <c r="Q122" s="229">
        <v>2.87E-2</v>
      </c>
      <c r="R122" s="231">
        <v>2234.4</v>
      </c>
      <c r="S122" s="231">
        <v>2174.1999999999998</v>
      </c>
      <c r="T122" s="228">
        <v>60.2</v>
      </c>
      <c r="U122" s="229">
        <v>2.7699999999999999E-2</v>
      </c>
      <c r="V122" s="231">
        <v>2247.5</v>
      </c>
      <c r="W122" s="231">
        <v>2188.1</v>
      </c>
      <c r="X122" s="228">
        <v>59.4</v>
      </c>
      <c r="Y122" s="229">
        <v>2.7099999999999999E-2</v>
      </c>
      <c r="Z122" s="228">
        <v>9.6</v>
      </c>
      <c r="AA122" s="228">
        <v>12.2</v>
      </c>
      <c r="AB122" s="228">
        <v>-2.6</v>
      </c>
      <c r="AC122" s="229">
        <v>4.3E-3</v>
      </c>
      <c r="AD122" s="228">
        <v>9.6</v>
      </c>
      <c r="AE122" s="228">
        <v>12.2</v>
      </c>
      <c r="AF122" s="228">
        <v>-2.6</v>
      </c>
      <c r="AG122" s="229">
        <v>4.3E-3</v>
      </c>
      <c r="AH122" s="228">
        <v>20.100000000000001</v>
      </c>
      <c r="AI122" s="228">
        <v>24.5</v>
      </c>
      <c r="AJ122" s="228">
        <v>-4.4000000000000004</v>
      </c>
      <c r="AK122" s="229">
        <v>9.1000000000000004E-3</v>
      </c>
      <c r="AL122" s="228">
        <v>33.200000000000003</v>
      </c>
      <c r="AM122" s="228">
        <v>38.4</v>
      </c>
      <c r="AN122" s="228">
        <v>-5.2</v>
      </c>
      <c r="AO122" s="229">
        <v>1.4999999999999999E-2</v>
      </c>
      <c r="AP122" s="231">
        <v>2209.2399999999998</v>
      </c>
      <c r="AQ122" s="231">
        <v>2221.61</v>
      </c>
      <c r="AR122" s="228">
        <v>0</v>
      </c>
      <c r="AS122" s="228">
        <v>669</v>
      </c>
      <c r="AT122" s="228">
        <v>610</v>
      </c>
      <c r="AU122" s="228">
        <v>59</v>
      </c>
      <c r="AV122" s="229">
        <v>9.7500000000000003E-2</v>
      </c>
      <c r="AW122" s="228">
        <v>643</v>
      </c>
      <c r="AX122" s="228">
        <v>584</v>
      </c>
      <c r="AY122" s="228">
        <v>59</v>
      </c>
      <c r="AZ122" s="229">
        <v>0.1013</v>
      </c>
      <c r="BA122" s="228">
        <v>24</v>
      </c>
      <c r="BB122" s="228">
        <v>23</v>
      </c>
      <c r="BC122" s="228">
        <v>1</v>
      </c>
      <c r="BD122" s="229">
        <v>3.2399999999999998E-2</v>
      </c>
      <c r="BE122" s="228">
        <v>2</v>
      </c>
      <c r="BF122" s="228">
        <v>3</v>
      </c>
      <c r="BG122" s="228">
        <v>0</v>
      </c>
      <c r="BH122" s="229">
        <v>-0.1852</v>
      </c>
      <c r="BI122" s="230">
        <v>3442</v>
      </c>
      <c r="BJ122" s="230">
        <v>2023</v>
      </c>
      <c r="BK122" s="230">
        <v>1418</v>
      </c>
      <c r="BL122" s="229">
        <v>0.70099999999999996</v>
      </c>
      <c r="BM122" s="230">
        <v>1219</v>
      </c>
      <c r="BN122" s="228">
        <v>546</v>
      </c>
      <c r="BO122" s="228">
        <v>674</v>
      </c>
      <c r="BP122" s="229">
        <v>1.2337</v>
      </c>
      <c r="BQ122" s="230">
        <v>5330</v>
      </c>
      <c r="BR122" s="230">
        <v>3179</v>
      </c>
      <c r="BS122" s="230">
        <v>2151</v>
      </c>
      <c r="BT122" s="229">
        <v>0.67669999999999997</v>
      </c>
      <c r="BU122" s="230">
        <v>1428069</v>
      </c>
      <c r="BV122" s="230">
        <v>2014431</v>
      </c>
      <c r="BW122" s="230">
        <v>-586362</v>
      </c>
      <c r="BX122" s="229">
        <v>-0.29110000000000003</v>
      </c>
      <c r="BY122" s="230">
        <v>1625</v>
      </c>
      <c r="BZ122" s="230">
        <v>1602</v>
      </c>
      <c r="CA122" s="228">
        <v>23</v>
      </c>
      <c r="CB122" s="229">
        <v>1.4200000000000001E-2</v>
      </c>
      <c r="CC122" s="230">
        <v>1601</v>
      </c>
      <c r="CD122" s="230">
        <v>1579</v>
      </c>
      <c r="CE122" s="228">
        <v>22</v>
      </c>
      <c r="CF122" s="229">
        <v>1.3599999999999999E-2</v>
      </c>
      <c r="CG122" s="228">
        <v>22</v>
      </c>
      <c r="CH122" s="228">
        <v>21</v>
      </c>
      <c r="CI122" s="228">
        <v>1</v>
      </c>
      <c r="CJ122" s="229">
        <v>4.07E-2</v>
      </c>
      <c r="CK122" s="228">
        <v>2</v>
      </c>
      <c r="CL122" s="228">
        <v>2</v>
      </c>
      <c r="CM122" s="228">
        <v>0</v>
      </c>
      <c r="CN122" s="229">
        <v>0.13039999999999999</v>
      </c>
      <c r="CO122" s="228">
        <v>529</v>
      </c>
      <c r="CP122" s="228">
        <v>431</v>
      </c>
      <c r="CQ122" s="228">
        <v>97</v>
      </c>
      <c r="CR122" s="229">
        <v>0.22570000000000001</v>
      </c>
      <c r="CS122" s="228">
        <v>419</v>
      </c>
      <c r="CT122" s="228">
        <v>302</v>
      </c>
      <c r="CU122" s="228">
        <v>116</v>
      </c>
      <c r="CV122" s="229">
        <v>0.38490000000000002</v>
      </c>
      <c r="CW122" s="230">
        <v>2572</v>
      </c>
      <c r="CX122" s="230">
        <v>2336</v>
      </c>
      <c r="CY122" s="228">
        <v>236</v>
      </c>
      <c r="CZ122" s="229">
        <v>0.1012</v>
      </c>
      <c r="DA122" s="228">
        <v>22.54</v>
      </c>
      <c r="DB122" s="228">
        <v>21.89</v>
      </c>
      <c r="DC122" s="228">
        <v>0.65</v>
      </c>
      <c r="DD122" s="228">
        <v>0.65</v>
      </c>
      <c r="DE122" s="228">
        <v>30.05</v>
      </c>
      <c r="DF122" s="228">
        <v>29.85</v>
      </c>
      <c r="DG122" s="228">
        <v>-7.51</v>
      </c>
      <c r="DH122" s="228">
        <v>0.2</v>
      </c>
      <c r="DI122" s="228">
        <v>22.35</v>
      </c>
      <c r="DJ122" s="228">
        <v>21.82</v>
      </c>
      <c r="DK122" s="228">
        <v>0.53</v>
      </c>
      <c r="DL122" s="228">
        <v>0.53</v>
      </c>
      <c r="DM122" s="228">
        <v>23.07</v>
      </c>
      <c r="DN122" s="228">
        <v>22.15</v>
      </c>
      <c r="DO122" s="228">
        <v>0.92</v>
      </c>
      <c r="DP122" s="228">
        <v>0.92</v>
      </c>
      <c r="DQ122" s="228">
        <v>0.79</v>
      </c>
      <c r="DR122" s="228">
        <v>0.7</v>
      </c>
      <c r="DS122" s="228">
        <v>0.09</v>
      </c>
      <c r="DT122" s="229">
        <v>0.12859999999999999</v>
      </c>
      <c r="DU122" s="231">
        <v>2200</v>
      </c>
      <c r="DV122" s="231">
        <v>1900</v>
      </c>
      <c r="DW122" s="228">
        <v>0.35</v>
      </c>
      <c r="DX122" s="228">
        <v>0.27</v>
      </c>
      <c r="DY122" s="228">
        <v>0.08</v>
      </c>
      <c r="DZ122" s="229">
        <v>0.29630000000000001</v>
      </c>
      <c r="EA122" s="229">
        <v>1.49E-2</v>
      </c>
      <c r="EB122" s="230">
        <v>103700</v>
      </c>
      <c r="EC122" s="229">
        <v>4.7000000000000002E-3</v>
      </c>
      <c r="ED122" s="229">
        <v>1.49E-2</v>
      </c>
      <c r="EE122" s="228">
        <v>12.37</v>
      </c>
      <c r="EF122" s="229">
        <v>5.5999999999999999E-3</v>
      </c>
      <c r="EG122" s="230">
        <v>584025</v>
      </c>
      <c r="EH122" s="230">
        <v>1464509</v>
      </c>
      <c r="EI122" s="229">
        <v>-0.60119999999999996</v>
      </c>
      <c r="EJ122" s="229">
        <v>0.40899999999999997</v>
      </c>
      <c r="EK122" s="231">
        <v>3535.04</v>
      </c>
      <c r="EL122" s="231">
        <v>1185.24</v>
      </c>
      <c r="EM122" s="228">
        <v>665.11</v>
      </c>
      <c r="EN122" s="228">
        <v>28.12</v>
      </c>
      <c r="EO122" s="231">
        <v>5385.39</v>
      </c>
      <c r="EP122" s="231">
        <v>3107.86</v>
      </c>
      <c r="EQ122" s="231">
        <v>2277.5300000000002</v>
      </c>
      <c r="ER122" s="229">
        <v>0.73280000000000001</v>
      </c>
      <c r="ES122" s="228">
        <v>535.55999999999995</v>
      </c>
      <c r="ET122" s="228">
        <v>390.61</v>
      </c>
      <c r="EU122" s="231">
        <v>1625.23</v>
      </c>
      <c r="EV122" s="231">
        <v>36381777</v>
      </c>
      <c r="EW122" s="231">
        <v>2551.4</v>
      </c>
      <c r="EX122" s="231">
        <v>2260.4699999999998</v>
      </c>
      <c r="EY122" s="228">
        <v>290.93</v>
      </c>
      <c r="EZ122" s="229">
        <v>0.12870000000000001</v>
      </c>
      <c r="FA122" s="229">
        <v>0.31790000000000002</v>
      </c>
      <c r="FB122" s="227" t="s">
        <v>555</v>
      </c>
      <c r="FC122">
        <f t="shared" si="1"/>
        <v>24</v>
      </c>
    </row>
    <row r="123" spans="1:159" ht="17.25" thickBot="1" x14ac:dyDescent="0.3">
      <c r="A123" s="226">
        <v>46029</v>
      </c>
      <c r="B123" s="227" t="s">
        <v>162</v>
      </c>
      <c r="C123" s="227" t="s">
        <v>251</v>
      </c>
      <c r="D123" s="228">
        <v>200</v>
      </c>
      <c r="E123" s="228">
        <v>20</v>
      </c>
      <c r="F123" s="231">
        <v>3758.5</v>
      </c>
      <c r="G123" s="231">
        <v>3802.9</v>
      </c>
      <c r="H123" s="228">
        <v>-44.4</v>
      </c>
      <c r="I123" s="229">
        <v>-1.17E-2</v>
      </c>
      <c r="J123" s="231">
        <v>3748.8</v>
      </c>
      <c r="K123" s="231">
        <v>3785.6</v>
      </c>
      <c r="L123" s="228">
        <v>-36.799999999999997</v>
      </c>
      <c r="M123" s="229">
        <v>-9.7000000000000003E-3</v>
      </c>
      <c r="N123" s="231">
        <v>3758.5</v>
      </c>
      <c r="O123" s="231">
        <v>3802.9</v>
      </c>
      <c r="P123" s="228">
        <v>-44.4</v>
      </c>
      <c r="Q123" s="229">
        <v>-1.17E-2</v>
      </c>
      <c r="R123" s="231">
        <v>3781.5</v>
      </c>
      <c r="S123" s="231">
        <v>3826.4</v>
      </c>
      <c r="T123" s="228">
        <v>-44.9</v>
      </c>
      <c r="U123" s="229">
        <v>-1.17E-2</v>
      </c>
      <c r="V123" s="231">
        <v>3803.3</v>
      </c>
      <c r="W123" s="231">
        <v>3850.4</v>
      </c>
      <c r="X123" s="228">
        <v>-47.1</v>
      </c>
      <c r="Y123" s="229">
        <v>-1.2200000000000001E-2</v>
      </c>
      <c r="Z123" s="228">
        <v>9.6999999999999993</v>
      </c>
      <c r="AA123" s="228">
        <v>17.3</v>
      </c>
      <c r="AB123" s="228">
        <v>-7.6</v>
      </c>
      <c r="AC123" s="229">
        <v>2.5999999999999999E-3</v>
      </c>
      <c r="AD123" s="228">
        <v>9.6999999999999993</v>
      </c>
      <c r="AE123" s="228">
        <v>17.3</v>
      </c>
      <c r="AF123" s="228">
        <v>-7.6</v>
      </c>
      <c r="AG123" s="229">
        <v>2.5999999999999999E-3</v>
      </c>
      <c r="AH123" s="228">
        <v>32.700000000000003</v>
      </c>
      <c r="AI123" s="228">
        <v>40.799999999999997</v>
      </c>
      <c r="AJ123" s="228">
        <v>-8.1</v>
      </c>
      <c r="AK123" s="229">
        <v>8.6999999999999994E-3</v>
      </c>
      <c r="AL123" s="228">
        <v>54.5</v>
      </c>
      <c r="AM123" s="228">
        <v>64.8</v>
      </c>
      <c r="AN123" s="228">
        <v>-10.3</v>
      </c>
      <c r="AO123" s="229">
        <v>1.4500000000000001E-2</v>
      </c>
      <c r="AP123" s="231">
        <v>3766.77</v>
      </c>
      <c r="AQ123" s="231">
        <v>3790.57</v>
      </c>
      <c r="AR123" s="228">
        <v>0</v>
      </c>
      <c r="AS123" s="228">
        <v>472</v>
      </c>
      <c r="AT123" s="228">
        <v>441</v>
      </c>
      <c r="AU123" s="228">
        <v>31</v>
      </c>
      <c r="AV123" s="229">
        <v>7.0099999999999996E-2</v>
      </c>
      <c r="AW123" s="228">
        <v>438</v>
      </c>
      <c r="AX123" s="228">
        <v>417</v>
      </c>
      <c r="AY123" s="228">
        <v>21</v>
      </c>
      <c r="AZ123" s="229">
        <v>5.0900000000000001E-2</v>
      </c>
      <c r="BA123" s="228">
        <v>25</v>
      </c>
      <c r="BB123" s="228">
        <v>22</v>
      </c>
      <c r="BC123" s="228">
        <v>3</v>
      </c>
      <c r="BD123" s="229">
        <v>0.13750000000000001</v>
      </c>
      <c r="BE123" s="228">
        <v>9</v>
      </c>
      <c r="BF123" s="228">
        <v>2</v>
      </c>
      <c r="BG123" s="228">
        <v>7</v>
      </c>
      <c r="BH123" s="229">
        <v>2.871</v>
      </c>
      <c r="BI123" s="230">
        <v>1869</v>
      </c>
      <c r="BJ123" s="230">
        <v>1415</v>
      </c>
      <c r="BK123" s="228">
        <v>455</v>
      </c>
      <c r="BL123" s="229">
        <v>0.32150000000000001</v>
      </c>
      <c r="BM123" s="230">
        <v>1174</v>
      </c>
      <c r="BN123" s="230">
        <v>1102</v>
      </c>
      <c r="BO123" s="228">
        <v>72</v>
      </c>
      <c r="BP123" s="229">
        <v>6.5600000000000006E-2</v>
      </c>
      <c r="BQ123" s="230">
        <v>3515</v>
      </c>
      <c r="BR123" s="230">
        <v>2957</v>
      </c>
      <c r="BS123" s="228">
        <v>558</v>
      </c>
      <c r="BT123" s="229">
        <v>0.18870000000000001</v>
      </c>
      <c r="BU123" s="230">
        <v>1095975</v>
      </c>
      <c r="BV123" s="230">
        <v>1329582</v>
      </c>
      <c r="BW123" s="230">
        <v>-233607</v>
      </c>
      <c r="BX123" s="229">
        <v>-0.1757</v>
      </c>
      <c r="BY123" s="230">
        <v>6888</v>
      </c>
      <c r="BZ123" s="230">
        <v>6886</v>
      </c>
      <c r="CA123" s="228">
        <v>3</v>
      </c>
      <c r="CB123" s="229">
        <v>4.0000000000000002E-4</v>
      </c>
      <c r="CC123" s="230">
        <v>6778</v>
      </c>
      <c r="CD123" s="230">
        <v>6789</v>
      </c>
      <c r="CE123" s="228">
        <v>-11</v>
      </c>
      <c r="CF123" s="229">
        <v>-1.6000000000000001E-3</v>
      </c>
      <c r="CG123" s="228">
        <v>98</v>
      </c>
      <c r="CH123" s="228">
        <v>91</v>
      </c>
      <c r="CI123" s="228">
        <v>7</v>
      </c>
      <c r="CJ123" s="229">
        <v>7.3300000000000004E-2</v>
      </c>
      <c r="CK123" s="228">
        <v>12</v>
      </c>
      <c r="CL123" s="228">
        <v>6</v>
      </c>
      <c r="CM123" s="228">
        <v>6</v>
      </c>
      <c r="CN123" s="229">
        <v>1.1026</v>
      </c>
      <c r="CO123" s="230">
        <v>1197</v>
      </c>
      <c r="CP123" s="230">
        <v>1059</v>
      </c>
      <c r="CQ123" s="228">
        <v>138</v>
      </c>
      <c r="CR123" s="229">
        <v>0.1308</v>
      </c>
      <c r="CS123" s="228">
        <v>747</v>
      </c>
      <c r="CT123" s="228">
        <v>771</v>
      </c>
      <c r="CU123" s="228">
        <v>-24</v>
      </c>
      <c r="CV123" s="229">
        <v>-3.1300000000000001E-2</v>
      </c>
      <c r="CW123" s="230">
        <v>8832</v>
      </c>
      <c r="CX123" s="230">
        <v>8715</v>
      </c>
      <c r="CY123" s="228">
        <v>117</v>
      </c>
      <c r="CZ123" s="229">
        <v>1.34E-2</v>
      </c>
      <c r="DA123" s="228">
        <v>20.58</v>
      </c>
      <c r="DB123" s="228">
        <v>19.77</v>
      </c>
      <c r="DC123" s="228">
        <v>0.81</v>
      </c>
      <c r="DD123" s="228">
        <v>0.81</v>
      </c>
      <c r="DE123" s="228">
        <v>31.39</v>
      </c>
      <c r="DF123" s="228">
        <v>31.44</v>
      </c>
      <c r="DG123" s="228">
        <v>-10.81</v>
      </c>
      <c r="DH123" s="228">
        <v>-0.05</v>
      </c>
      <c r="DI123" s="228">
        <v>20.45</v>
      </c>
      <c r="DJ123" s="228">
        <v>19.420000000000002</v>
      </c>
      <c r="DK123" s="228">
        <v>1.03</v>
      </c>
      <c r="DL123" s="228">
        <v>1.03</v>
      </c>
      <c r="DM123" s="228">
        <v>20.79</v>
      </c>
      <c r="DN123" s="228">
        <v>20.22</v>
      </c>
      <c r="DO123" s="228">
        <v>0.56999999999999995</v>
      </c>
      <c r="DP123" s="228">
        <v>0.56999999999999995</v>
      </c>
      <c r="DQ123" s="228">
        <v>0.62</v>
      </c>
      <c r="DR123" s="228">
        <v>0.73</v>
      </c>
      <c r="DS123" s="228">
        <v>-0.11</v>
      </c>
      <c r="DT123" s="229">
        <v>-0.1507</v>
      </c>
      <c r="DU123" s="231">
        <v>3800</v>
      </c>
      <c r="DV123" s="231">
        <v>3700</v>
      </c>
      <c r="DW123" s="228">
        <v>0.63</v>
      </c>
      <c r="DX123" s="228">
        <v>0.78</v>
      </c>
      <c r="DY123" s="228">
        <v>-0.15</v>
      </c>
      <c r="DZ123" s="229">
        <v>-0.1923</v>
      </c>
      <c r="EA123" s="229">
        <v>1.6E-2</v>
      </c>
      <c r="EB123" s="230">
        <v>258400</v>
      </c>
      <c r="EC123" s="229">
        <v>6.1000000000000004E-3</v>
      </c>
      <c r="ED123" s="229">
        <v>1.6E-2</v>
      </c>
      <c r="EE123" s="228">
        <v>23.8</v>
      </c>
      <c r="EF123" s="229">
        <v>6.3E-3</v>
      </c>
      <c r="EG123" s="230">
        <v>621804</v>
      </c>
      <c r="EH123" s="230">
        <v>750922</v>
      </c>
      <c r="EI123" s="229">
        <v>-0.1719</v>
      </c>
      <c r="EJ123" s="229">
        <v>0.56740000000000002</v>
      </c>
      <c r="EK123" s="231">
        <v>1945.62</v>
      </c>
      <c r="EL123" s="231">
        <v>1164.6600000000001</v>
      </c>
      <c r="EM123" s="228">
        <v>473.14</v>
      </c>
      <c r="EN123" s="228">
        <v>86.84</v>
      </c>
      <c r="EO123" s="231">
        <v>3583.42</v>
      </c>
      <c r="EP123" s="231">
        <v>3026.26</v>
      </c>
      <c r="EQ123" s="228">
        <v>557.16</v>
      </c>
      <c r="ER123" s="229">
        <v>0.18410000000000001</v>
      </c>
      <c r="ES123" s="231">
        <v>1233.02</v>
      </c>
      <c r="ET123" s="228">
        <v>715.37</v>
      </c>
      <c r="EU123" s="231">
        <v>6889.02</v>
      </c>
      <c r="EV123" s="231">
        <v>95452027</v>
      </c>
      <c r="EW123" s="231">
        <v>8837.42</v>
      </c>
      <c r="EX123" s="231">
        <v>8799.2999999999993</v>
      </c>
      <c r="EY123" s="228">
        <v>38.119999999999997</v>
      </c>
      <c r="EZ123" s="229">
        <v>4.3E-3</v>
      </c>
      <c r="FA123" s="229">
        <v>0.2462</v>
      </c>
      <c r="FB123" s="227" t="s">
        <v>567</v>
      </c>
      <c r="FC123">
        <f t="shared" si="1"/>
        <v>110</v>
      </c>
    </row>
    <row r="124" spans="1:159" ht="17.25" thickBot="1" x14ac:dyDescent="0.3">
      <c r="A124" s="226">
        <v>46029</v>
      </c>
      <c r="B124" s="227" t="s">
        <v>175</v>
      </c>
      <c r="C124" s="227" t="s">
        <v>253</v>
      </c>
      <c r="D124" s="228">
        <v>3000</v>
      </c>
      <c r="E124" s="228">
        <v>20</v>
      </c>
      <c r="F124" s="228">
        <v>320.55</v>
      </c>
      <c r="G124" s="228">
        <v>308.85000000000002</v>
      </c>
      <c r="H124" s="228">
        <v>11.7</v>
      </c>
      <c r="I124" s="229">
        <v>3.7900000000000003E-2</v>
      </c>
      <c r="J124" s="228">
        <v>319.89999999999998</v>
      </c>
      <c r="K124" s="228">
        <v>308.25</v>
      </c>
      <c r="L124" s="228">
        <v>11.65</v>
      </c>
      <c r="M124" s="229">
        <v>3.78E-2</v>
      </c>
      <c r="N124" s="228">
        <v>320.55</v>
      </c>
      <c r="O124" s="228">
        <v>308.85000000000002</v>
      </c>
      <c r="P124" s="228">
        <v>11.7</v>
      </c>
      <c r="Q124" s="229">
        <v>3.7900000000000003E-2</v>
      </c>
      <c r="R124" s="228">
        <v>322.05</v>
      </c>
      <c r="S124" s="228">
        <v>310.3</v>
      </c>
      <c r="T124" s="228">
        <v>11.75</v>
      </c>
      <c r="U124" s="229">
        <v>3.7900000000000003E-2</v>
      </c>
      <c r="V124" s="228">
        <v>323.3</v>
      </c>
      <c r="W124" s="228">
        <v>310</v>
      </c>
      <c r="X124" s="228">
        <v>13.3</v>
      </c>
      <c r="Y124" s="229">
        <v>4.2900000000000001E-2</v>
      </c>
      <c r="Z124" s="228">
        <v>0.65</v>
      </c>
      <c r="AA124" s="228">
        <v>0.6</v>
      </c>
      <c r="AB124" s="228">
        <v>0.05</v>
      </c>
      <c r="AC124" s="229">
        <v>2E-3</v>
      </c>
      <c r="AD124" s="228">
        <v>0.65</v>
      </c>
      <c r="AE124" s="228">
        <v>0.6</v>
      </c>
      <c r="AF124" s="228">
        <v>0.05</v>
      </c>
      <c r="AG124" s="229">
        <v>2E-3</v>
      </c>
      <c r="AH124" s="228">
        <v>2.15</v>
      </c>
      <c r="AI124" s="228">
        <v>2.0499999999999998</v>
      </c>
      <c r="AJ124" s="228">
        <v>0.1</v>
      </c>
      <c r="AK124" s="229">
        <v>6.7000000000000002E-3</v>
      </c>
      <c r="AL124" s="228">
        <v>3.4</v>
      </c>
      <c r="AM124" s="228">
        <v>1.75</v>
      </c>
      <c r="AN124" s="228">
        <v>1.65</v>
      </c>
      <c r="AO124" s="229">
        <v>1.06E-2</v>
      </c>
      <c r="AP124" s="228">
        <v>316.39</v>
      </c>
      <c r="AQ124" s="228">
        <v>317.07</v>
      </c>
      <c r="AR124" s="228">
        <v>0</v>
      </c>
      <c r="AS124" s="228">
        <v>659</v>
      </c>
      <c r="AT124" s="228">
        <v>183</v>
      </c>
      <c r="AU124" s="228">
        <v>477</v>
      </c>
      <c r="AV124" s="229">
        <v>2.6107999999999998</v>
      </c>
      <c r="AW124" s="228">
        <v>622</v>
      </c>
      <c r="AX124" s="228">
        <v>175</v>
      </c>
      <c r="AY124" s="228">
        <v>447</v>
      </c>
      <c r="AZ124" s="229">
        <v>2.5535000000000001</v>
      </c>
      <c r="BA124" s="228">
        <v>34</v>
      </c>
      <c r="BB124" s="228">
        <v>7</v>
      </c>
      <c r="BC124" s="228">
        <v>27</v>
      </c>
      <c r="BD124" s="229">
        <v>3.7296999999999998</v>
      </c>
      <c r="BE124" s="228">
        <v>3</v>
      </c>
      <c r="BF124" s="228">
        <v>0</v>
      </c>
      <c r="BG124" s="228">
        <v>3</v>
      </c>
      <c r="BH124" s="229">
        <v>8</v>
      </c>
      <c r="BI124" s="230">
        <v>2162</v>
      </c>
      <c r="BJ124" s="228">
        <v>397</v>
      </c>
      <c r="BK124" s="230">
        <v>1765</v>
      </c>
      <c r="BL124" s="229">
        <v>4.4421999999999997</v>
      </c>
      <c r="BM124" s="228">
        <v>452</v>
      </c>
      <c r="BN124" s="228">
        <v>135</v>
      </c>
      <c r="BO124" s="228">
        <v>316</v>
      </c>
      <c r="BP124" s="229">
        <v>2.3329</v>
      </c>
      <c r="BQ124" s="230">
        <v>3273</v>
      </c>
      <c r="BR124" s="228">
        <v>715</v>
      </c>
      <c r="BS124" s="230">
        <v>2558</v>
      </c>
      <c r="BT124" s="229">
        <v>3.5752999999999999</v>
      </c>
      <c r="BU124" s="230">
        <v>8555917</v>
      </c>
      <c r="BV124" s="230">
        <v>2196003</v>
      </c>
      <c r="BW124" s="230">
        <v>6359914</v>
      </c>
      <c r="BX124" s="229">
        <v>2.8961000000000001</v>
      </c>
      <c r="BY124" s="230">
        <v>1437</v>
      </c>
      <c r="BZ124" s="230">
        <v>1354</v>
      </c>
      <c r="CA124" s="228">
        <v>83</v>
      </c>
      <c r="CB124" s="229">
        <v>6.1100000000000002E-2</v>
      </c>
      <c r="CC124" s="230">
        <v>1406</v>
      </c>
      <c r="CD124" s="230">
        <v>1326</v>
      </c>
      <c r="CE124" s="228">
        <v>80</v>
      </c>
      <c r="CF124" s="229">
        <v>6.0100000000000001E-2</v>
      </c>
      <c r="CG124" s="228">
        <v>28</v>
      </c>
      <c r="CH124" s="228">
        <v>26</v>
      </c>
      <c r="CI124" s="228">
        <v>1</v>
      </c>
      <c r="CJ124" s="229">
        <v>5.1499999999999997E-2</v>
      </c>
      <c r="CK124" s="228">
        <v>3</v>
      </c>
      <c r="CL124" s="228">
        <v>2</v>
      </c>
      <c r="CM124" s="228">
        <v>2</v>
      </c>
      <c r="CN124" s="229">
        <v>1</v>
      </c>
      <c r="CO124" s="228">
        <v>585</v>
      </c>
      <c r="CP124" s="228">
        <v>518</v>
      </c>
      <c r="CQ124" s="228">
        <v>66</v>
      </c>
      <c r="CR124" s="229">
        <v>0.12820000000000001</v>
      </c>
      <c r="CS124" s="228">
        <v>331</v>
      </c>
      <c r="CT124" s="228">
        <v>290</v>
      </c>
      <c r="CU124" s="228">
        <v>40</v>
      </c>
      <c r="CV124" s="229">
        <v>0.13919999999999999</v>
      </c>
      <c r="CW124" s="230">
        <v>2352</v>
      </c>
      <c r="CX124" s="230">
        <v>2163</v>
      </c>
      <c r="CY124" s="228">
        <v>190</v>
      </c>
      <c r="CZ124" s="229">
        <v>8.7599999999999997E-2</v>
      </c>
      <c r="DA124" s="228">
        <v>32.57</v>
      </c>
      <c r="DB124" s="228">
        <v>30.45</v>
      </c>
      <c r="DC124" s="228">
        <v>2.12</v>
      </c>
      <c r="DD124" s="228">
        <v>2.12</v>
      </c>
      <c r="DE124" s="228">
        <v>40.71</v>
      </c>
      <c r="DF124" s="228">
        <v>40.51</v>
      </c>
      <c r="DG124" s="228">
        <v>-8.14</v>
      </c>
      <c r="DH124" s="228">
        <v>0.2</v>
      </c>
      <c r="DI124" s="228">
        <v>32.54</v>
      </c>
      <c r="DJ124" s="228">
        <v>30.47</v>
      </c>
      <c r="DK124" s="228">
        <v>2.0699999999999998</v>
      </c>
      <c r="DL124" s="228">
        <v>2.0699999999999998</v>
      </c>
      <c r="DM124" s="228">
        <v>32.75</v>
      </c>
      <c r="DN124" s="228">
        <v>30.4</v>
      </c>
      <c r="DO124" s="228">
        <v>2.35</v>
      </c>
      <c r="DP124" s="228">
        <v>2.35</v>
      </c>
      <c r="DQ124" s="228">
        <v>0.56999999999999995</v>
      </c>
      <c r="DR124" s="228">
        <v>0.56000000000000005</v>
      </c>
      <c r="DS124" s="228">
        <v>0.01</v>
      </c>
      <c r="DT124" s="229">
        <v>1.7899999999999999E-2</v>
      </c>
      <c r="DU124" s="228">
        <v>320</v>
      </c>
      <c r="DV124" s="228">
        <v>300</v>
      </c>
      <c r="DW124" s="228">
        <v>0.21</v>
      </c>
      <c r="DX124" s="228">
        <v>0.34</v>
      </c>
      <c r="DY124" s="228">
        <v>-0.13</v>
      </c>
      <c r="DZ124" s="229">
        <v>-0.38240000000000002</v>
      </c>
      <c r="EA124" s="229">
        <v>2.1399999999999999E-2</v>
      </c>
      <c r="EB124" s="230">
        <v>867000</v>
      </c>
      <c r="EC124" s="229">
        <v>4.7000000000000002E-3</v>
      </c>
      <c r="ED124" s="229">
        <v>2.1399999999999999E-2</v>
      </c>
      <c r="EE124" s="228">
        <v>0.68</v>
      </c>
      <c r="EF124" s="229">
        <v>2.0999999999999999E-3</v>
      </c>
      <c r="EG124" s="230">
        <v>3400417</v>
      </c>
      <c r="EH124" s="230">
        <v>796765</v>
      </c>
      <c r="EI124" s="229">
        <v>3.2677999999999998</v>
      </c>
      <c r="EJ124" s="229">
        <v>0.39739999999999998</v>
      </c>
      <c r="EK124" s="231">
        <v>2231.48</v>
      </c>
      <c r="EL124" s="228">
        <v>436.05</v>
      </c>
      <c r="EM124" s="228">
        <v>650.96</v>
      </c>
      <c r="EN124" s="228">
        <v>25.08</v>
      </c>
      <c r="EO124" s="231">
        <v>3318.49</v>
      </c>
      <c r="EP124" s="228">
        <v>709.48</v>
      </c>
      <c r="EQ124" s="231">
        <v>2609.0100000000002</v>
      </c>
      <c r="ER124" s="229">
        <v>3.6772999999999998</v>
      </c>
      <c r="ES124" s="228">
        <v>592.01</v>
      </c>
      <c r="ET124" s="228">
        <v>308.14999999999998</v>
      </c>
      <c r="EU124" s="231">
        <v>1437.05</v>
      </c>
      <c r="EV124" s="231">
        <v>82205057</v>
      </c>
      <c r="EW124" s="231">
        <v>2337.2199999999998</v>
      </c>
      <c r="EX124" s="231">
        <v>2094.25</v>
      </c>
      <c r="EY124" s="228">
        <v>242.97</v>
      </c>
      <c r="EZ124" s="229">
        <v>0.11600000000000001</v>
      </c>
      <c r="FA124" s="229">
        <v>0.89259999999999995</v>
      </c>
      <c r="FB124" s="227" t="s">
        <v>555</v>
      </c>
      <c r="FC124">
        <f t="shared" si="1"/>
        <v>31</v>
      </c>
    </row>
    <row r="125" spans="1:159" ht="17.25" thickBot="1" x14ac:dyDescent="0.3">
      <c r="A125" s="226">
        <v>46029</v>
      </c>
      <c r="B125" s="227" t="s">
        <v>170</v>
      </c>
      <c r="C125" s="227" t="s">
        <v>672</v>
      </c>
      <c r="D125" s="228">
        <v>225</v>
      </c>
      <c r="E125" s="228">
        <v>20</v>
      </c>
      <c r="F125" s="231">
        <v>2312.4</v>
      </c>
      <c r="G125" s="231">
        <v>2245.1999999999998</v>
      </c>
      <c r="H125" s="228">
        <v>67.2</v>
      </c>
      <c r="I125" s="229">
        <v>2.9899999999999999E-2</v>
      </c>
      <c r="J125" s="231">
        <v>2311.8000000000002</v>
      </c>
      <c r="K125" s="231">
        <v>2240.8000000000002</v>
      </c>
      <c r="L125" s="228">
        <v>71</v>
      </c>
      <c r="M125" s="229">
        <v>3.1699999999999999E-2</v>
      </c>
      <c r="N125" s="231">
        <v>2312.4</v>
      </c>
      <c r="O125" s="231">
        <v>2245.1999999999998</v>
      </c>
      <c r="P125" s="228">
        <v>67.2</v>
      </c>
      <c r="Q125" s="229">
        <v>2.9899999999999999E-2</v>
      </c>
      <c r="R125" s="231">
        <v>2326.4</v>
      </c>
      <c r="S125" s="231">
        <v>2258.5</v>
      </c>
      <c r="T125" s="228">
        <v>67.900000000000006</v>
      </c>
      <c r="U125" s="229">
        <v>3.0099999999999998E-2</v>
      </c>
      <c r="V125" s="231">
        <v>2333.6</v>
      </c>
      <c r="W125" s="231">
        <v>2263.5</v>
      </c>
      <c r="X125" s="228">
        <v>70.099999999999994</v>
      </c>
      <c r="Y125" s="229">
        <v>3.1E-2</v>
      </c>
      <c r="Z125" s="228">
        <v>0.6</v>
      </c>
      <c r="AA125" s="228">
        <v>4.4000000000000004</v>
      </c>
      <c r="AB125" s="228">
        <v>-3.8</v>
      </c>
      <c r="AC125" s="229">
        <v>2.9999999999999997E-4</v>
      </c>
      <c r="AD125" s="228">
        <v>0.6</v>
      </c>
      <c r="AE125" s="228">
        <v>4.4000000000000004</v>
      </c>
      <c r="AF125" s="228">
        <v>-3.8</v>
      </c>
      <c r="AG125" s="229">
        <v>2.9999999999999997E-4</v>
      </c>
      <c r="AH125" s="228">
        <v>14.6</v>
      </c>
      <c r="AI125" s="228">
        <v>17.7</v>
      </c>
      <c r="AJ125" s="228">
        <v>-3.1</v>
      </c>
      <c r="AK125" s="229">
        <v>6.3E-3</v>
      </c>
      <c r="AL125" s="228">
        <v>21.8</v>
      </c>
      <c r="AM125" s="228">
        <v>22.7</v>
      </c>
      <c r="AN125" s="228">
        <v>-0.9</v>
      </c>
      <c r="AO125" s="229">
        <v>9.4000000000000004E-3</v>
      </c>
      <c r="AP125" s="231">
        <v>2290.9299999999998</v>
      </c>
      <c r="AQ125" s="231">
        <v>2304.0300000000002</v>
      </c>
      <c r="AR125" s="228">
        <v>0</v>
      </c>
      <c r="AS125" s="228">
        <v>301</v>
      </c>
      <c r="AT125" s="228">
        <v>110</v>
      </c>
      <c r="AU125" s="228">
        <v>191</v>
      </c>
      <c r="AV125" s="229">
        <v>1.7376</v>
      </c>
      <c r="AW125" s="228">
        <v>288</v>
      </c>
      <c r="AX125" s="228">
        <v>105</v>
      </c>
      <c r="AY125" s="228">
        <v>183</v>
      </c>
      <c r="AZ125" s="229">
        <v>1.7332000000000001</v>
      </c>
      <c r="BA125" s="228">
        <v>12</v>
      </c>
      <c r="BB125" s="228">
        <v>4</v>
      </c>
      <c r="BC125" s="228">
        <v>8</v>
      </c>
      <c r="BD125" s="229">
        <v>2.0127000000000002</v>
      </c>
      <c r="BE125" s="228">
        <v>1</v>
      </c>
      <c r="BF125" s="228">
        <v>1</v>
      </c>
      <c r="BG125" s="228">
        <v>0</v>
      </c>
      <c r="BH125" s="229">
        <v>0.66669999999999996</v>
      </c>
      <c r="BI125" s="228">
        <v>947</v>
      </c>
      <c r="BJ125" s="228">
        <v>225</v>
      </c>
      <c r="BK125" s="228">
        <v>723</v>
      </c>
      <c r="BL125" s="229">
        <v>3.218</v>
      </c>
      <c r="BM125" s="228">
        <v>198</v>
      </c>
      <c r="BN125" s="228">
        <v>20</v>
      </c>
      <c r="BO125" s="228">
        <v>178</v>
      </c>
      <c r="BP125" s="229">
        <v>8.7937999999999992</v>
      </c>
      <c r="BQ125" s="230">
        <v>1446</v>
      </c>
      <c r="BR125" s="228">
        <v>355</v>
      </c>
      <c r="BS125" s="230">
        <v>1091</v>
      </c>
      <c r="BT125" s="229">
        <v>3.0760999999999998</v>
      </c>
      <c r="BU125" s="230">
        <v>1047927</v>
      </c>
      <c r="BV125" s="230">
        <v>309566</v>
      </c>
      <c r="BW125" s="230">
        <v>738361</v>
      </c>
      <c r="BX125" s="229">
        <v>2.3851</v>
      </c>
      <c r="BY125" s="228">
        <v>466</v>
      </c>
      <c r="BZ125" s="228">
        <v>494</v>
      </c>
      <c r="CA125" s="228">
        <v>-28</v>
      </c>
      <c r="CB125" s="229">
        <v>-5.74E-2</v>
      </c>
      <c r="CC125" s="228">
        <v>454</v>
      </c>
      <c r="CD125" s="228">
        <v>482</v>
      </c>
      <c r="CE125" s="228">
        <v>-28</v>
      </c>
      <c r="CF125" s="229">
        <v>-5.7700000000000001E-2</v>
      </c>
      <c r="CG125" s="228">
        <v>11</v>
      </c>
      <c r="CH125" s="228">
        <v>11</v>
      </c>
      <c r="CI125" s="228">
        <v>-1</v>
      </c>
      <c r="CJ125" s="229">
        <v>-5.0500000000000003E-2</v>
      </c>
      <c r="CK125" s="228">
        <v>1</v>
      </c>
      <c r="CL125" s="228">
        <v>1</v>
      </c>
      <c r="CM125" s="228">
        <v>0</v>
      </c>
      <c r="CN125" s="229">
        <v>0</v>
      </c>
      <c r="CO125" s="228">
        <v>171</v>
      </c>
      <c r="CP125" s="228">
        <v>105</v>
      </c>
      <c r="CQ125" s="228">
        <v>66</v>
      </c>
      <c r="CR125" s="229">
        <v>0.62909999999999999</v>
      </c>
      <c r="CS125" s="228">
        <v>111</v>
      </c>
      <c r="CT125" s="228">
        <v>80</v>
      </c>
      <c r="CU125" s="228">
        <v>32</v>
      </c>
      <c r="CV125" s="229">
        <v>0.39789999999999998</v>
      </c>
      <c r="CW125" s="228">
        <v>748</v>
      </c>
      <c r="CX125" s="228">
        <v>679</v>
      </c>
      <c r="CY125" s="228">
        <v>70</v>
      </c>
      <c r="CZ125" s="229">
        <v>0.10249999999999999</v>
      </c>
      <c r="DA125" s="228">
        <v>25.66</v>
      </c>
      <c r="DB125" s="228">
        <v>23.83</v>
      </c>
      <c r="DC125" s="228">
        <v>1.83</v>
      </c>
      <c r="DD125" s="228">
        <v>1.83</v>
      </c>
      <c r="DE125" s="228">
        <v>32.21</v>
      </c>
      <c r="DF125" s="228">
        <v>32.04</v>
      </c>
      <c r="DG125" s="228">
        <v>-6.55</v>
      </c>
      <c r="DH125" s="228">
        <v>0.17</v>
      </c>
      <c r="DI125" s="228">
        <v>25.68</v>
      </c>
      <c r="DJ125" s="228">
        <v>23.86</v>
      </c>
      <c r="DK125" s="228">
        <v>1.82</v>
      </c>
      <c r="DL125" s="228">
        <v>1.82</v>
      </c>
      <c r="DM125" s="228">
        <v>25.58</v>
      </c>
      <c r="DN125" s="228">
        <v>23.5</v>
      </c>
      <c r="DO125" s="228">
        <v>2.08</v>
      </c>
      <c r="DP125" s="228">
        <v>2.08</v>
      </c>
      <c r="DQ125" s="228">
        <v>0.65</v>
      </c>
      <c r="DR125" s="228">
        <v>0.76</v>
      </c>
      <c r="DS125" s="228">
        <v>-0.11</v>
      </c>
      <c r="DT125" s="229">
        <v>-0.1447</v>
      </c>
      <c r="DU125" s="231">
        <v>2300</v>
      </c>
      <c r="DV125" s="231">
        <v>2200</v>
      </c>
      <c r="DW125" s="228">
        <v>0.21</v>
      </c>
      <c r="DX125" s="228">
        <v>0.09</v>
      </c>
      <c r="DY125" s="228">
        <v>0.12</v>
      </c>
      <c r="DZ125" s="229">
        <v>1.3332999999999999</v>
      </c>
      <c r="EA125" s="229">
        <v>2.5100000000000001E-2</v>
      </c>
      <c r="EB125" s="230">
        <v>53100</v>
      </c>
      <c r="EC125" s="229">
        <v>6.1000000000000004E-3</v>
      </c>
      <c r="ED125" s="229">
        <v>2.5100000000000001E-2</v>
      </c>
      <c r="EE125" s="228">
        <v>13.1</v>
      </c>
      <c r="EF125" s="229">
        <v>5.7000000000000002E-3</v>
      </c>
      <c r="EG125" s="230">
        <v>616068</v>
      </c>
      <c r="EH125" s="230">
        <v>178826</v>
      </c>
      <c r="EI125" s="229">
        <v>2.4451000000000001</v>
      </c>
      <c r="EJ125" s="229">
        <v>0.58789999999999998</v>
      </c>
      <c r="EK125" s="228">
        <v>967.75</v>
      </c>
      <c r="EL125" s="228">
        <v>191.58</v>
      </c>
      <c r="EM125" s="228">
        <v>298.52999999999997</v>
      </c>
      <c r="EN125" s="228">
        <v>15.79</v>
      </c>
      <c r="EO125" s="231">
        <v>1457.87</v>
      </c>
      <c r="EP125" s="228">
        <v>349.61</v>
      </c>
      <c r="EQ125" s="231">
        <v>1108.26</v>
      </c>
      <c r="ER125" s="229">
        <v>3.17</v>
      </c>
      <c r="ES125" s="228">
        <v>171.06</v>
      </c>
      <c r="ET125" s="228">
        <v>106.14</v>
      </c>
      <c r="EU125" s="228">
        <v>465.63</v>
      </c>
      <c r="EV125" s="231">
        <v>16919681</v>
      </c>
      <c r="EW125" s="228">
        <v>742.83</v>
      </c>
      <c r="EX125" s="228">
        <v>657.62</v>
      </c>
      <c r="EY125" s="228">
        <v>85.21</v>
      </c>
      <c r="EZ125" s="229">
        <v>0.12959999999999999</v>
      </c>
      <c r="FA125" s="229">
        <v>0.1913</v>
      </c>
      <c r="FB125" s="227" t="s">
        <v>556</v>
      </c>
      <c r="FC125">
        <f t="shared" si="1"/>
        <v>12</v>
      </c>
    </row>
    <row r="126" spans="1:159" ht="17.25" thickBot="1" x14ac:dyDescent="0.3">
      <c r="A126" s="226">
        <v>46029</v>
      </c>
      <c r="B126" s="227" t="s">
        <v>168</v>
      </c>
      <c r="C126" s="227" t="s">
        <v>254</v>
      </c>
      <c r="D126" s="228">
        <v>1200</v>
      </c>
      <c r="E126" s="228">
        <v>20</v>
      </c>
      <c r="F126" s="228">
        <v>775.15</v>
      </c>
      <c r="G126" s="228">
        <v>781.05</v>
      </c>
      <c r="H126" s="228">
        <v>-5.9</v>
      </c>
      <c r="I126" s="229">
        <v>-7.6E-3</v>
      </c>
      <c r="J126" s="228">
        <v>773.8</v>
      </c>
      <c r="K126" s="228">
        <v>779.05</v>
      </c>
      <c r="L126" s="228">
        <v>-5.25</v>
      </c>
      <c r="M126" s="229">
        <v>-6.7000000000000002E-3</v>
      </c>
      <c r="N126" s="228">
        <v>775.15</v>
      </c>
      <c r="O126" s="228">
        <v>781.05</v>
      </c>
      <c r="P126" s="228">
        <v>-5.9</v>
      </c>
      <c r="Q126" s="229">
        <v>-7.6E-3</v>
      </c>
      <c r="R126" s="228">
        <v>776.6</v>
      </c>
      <c r="S126" s="228">
        <v>782.6</v>
      </c>
      <c r="T126" s="228">
        <v>-6</v>
      </c>
      <c r="U126" s="229">
        <v>-7.7000000000000002E-3</v>
      </c>
      <c r="V126" s="228">
        <v>780.45</v>
      </c>
      <c r="W126" s="228">
        <v>786.1</v>
      </c>
      <c r="X126" s="228">
        <v>-5.65</v>
      </c>
      <c r="Y126" s="229">
        <v>-7.1999999999999998E-3</v>
      </c>
      <c r="Z126" s="228">
        <v>1.35</v>
      </c>
      <c r="AA126" s="228">
        <v>2</v>
      </c>
      <c r="AB126" s="228">
        <v>-0.65</v>
      </c>
      <c r="AC126" s="229">
        <v>1.6999999999999999E-3</v>
      </c>
      <c r="AD126" s="228">
        <v>1.35</v>
      </c>
      <c r="AE126" s="228">
        <v>2</v>
      </c>
      <c r="AF126" s="228">
        <v>-0.65</v>
      </c>
      <c r="AG126" s="229">
        <v>1.6999999999999999E-3</v>
      </c>
      <c r="AH126" s="228">
        <v>2.8</v>
      </c>
      <c r="AI126" s="228">
        <v>3.55</v>
      </c>
      <c r="AJ126" s="228">
        <v>-0.75</v>
      </c>
      <c r="AK126" s="229">
        <v>3.5999999999999999E-3</v>
      </c>
      <c r="AL126" s="228">
        <v>6.65</v>
      </c>
      <c r="AM126" s="228">
        <v>7.05</v>
      </c>
      <c r="AN126" s="228">
        <v>-0.4</v>
      </c>
      <c r="AO126" s="229">
        <v>8.6E-3</v>
      </c>
      <c r="AP126" s="228">
        <v>776.81</v>
      </c>
      <c r="AQ126" s="228">
        <v>778.19</v>
      </c>
      <c r="AR126" s="228">
        <v>0</v>
      </c>
      <c r="AS126" s="228">
        <v>171</v>
      </c>
      <c r="AT126" s="228">
        <v>254</v>
      </c>
      <c r="AU126" s="228">
        <v>-82</v>
      </c>
      <c r="AV126" s="229">
        <v>-0.32500000000000001</v>
      </c>
      <c r="AW126" s="228">
        <v>167</v>
      </c>
      <c r="AX126" s="228">
        <v>244</v>
      </c>
      <c r="AY126" s="228">
        <v>-77</v>
      </c>
      <c r="AZ126" s="229">
        <v>-0.31409999999999999</v>
      </c>
      <c r="BA126" s="228">
        <v>3</v>
      </c>
      <c r="BB126" s="228">
        <v>8</v>
      </c>
      <c r="BC126" s="228">
        <v>-5</v>
      </c>
      <c r="BD126" s="229">
        <v>-0.60670000000000002</v>
      </c>
      <c r="BE126" s="228">
        <v>1</v>
      </c>
      <c r="BF126" s="228">
        <v>1</v>
      </c>
      <c r="BG126" s="228">
        <v>-1</v>
      </c>
      <c r="BH126" s="229">
        <v>-0.57140000000000002</v>
      </c>
      <c r="BI126" s="228">
        <v>568</v>
      </c>
      <c r="BJ126" s="228">
        <v>967</v>
      </c>
      <c r="BK126" s="228">
        <v>-398</v>
      </c>
      <c r="BL126" s="229">
        <v>-0.41220000000000001</v>
      </c>
      <c r="BM126" s="228">
        <v>200</v>
      </c>
      <c r="BN126" s="228">
        <v>294</v>
      </c>
      <c r="BO126" s="228">
        <v>-94</v>
      </c>
      <c r="BP126" s="229">
        <v>-0.31990000000000002</v>
      </c>
      <c r="BQ126" s="228">
        <v>939</v>
      </c>
      <c r="BR126" s="230">
        <v>1514</v>
      </c>
      <c r="BS126" s="228">
        <v>-575</v>
      </c>
      <c r="BT126" s="229">
        <v>-0.37969999999999998</v>
      </c>
      <c r="BU126" s="230">
        <v>2208375</v>
      </c>
      <c r="BV126" s="230">
        <v>1920377</v>
      </c>
      <c r="BW126" s="230">
        <v>287998</v>
      </c>
      <c r="BX126" s="229">
        <v>0.15</v>
      </c>
      <c r="BY126" s="230">
        <v>2407</v>
      </c>
      <c r="BZ126" s="230">
        <v>2449</v>
      </c>
      <c r="CA126" s="228">
        <v>-43</v>
      </c>
      <c r="CB126" s="229">
        <v>-1.7399999999999999E-2</v>
      </c>
      <c r="CC126" s="230">
        <v>2396</v>
      </c>
      <c r="CD126" s="230">
        <v>2439</v>
      </c>
      <c r="CE126" s="228">
        <v>-43</v>
      </c>
      <c r="CF126" s="229">
        <v>-1.78E-2</v>
      </c>
      <c r="CG126" s="228">
        <v>9</v>
      </c>
      <c r="CH126" s="228">
        <v>8</v>
      </c>
      <c r="CI126" s="228">
        <v>0</v>
      </c>
      <c r="CJ126" s="229">
        <v>4.4900000000000002E-2</v>
      </c>
      <c r="CK126" s="228">
        <v>2</v>
      </c>
      <c r="CL126" s="228">
        <v>1</v>
      </c>
      <c r="CM126" s="228">
        <v>0</v>
      </c>
      <c r="CN126" s="229">
        <v>0.1875</v>
      </c>
      <c r="CO126" s="228">
        <v>517</v>
      </c>
      <c r="CP126" s="228">
        <v>425</v>
      </c>
      <c r="CQ126" s="228">
        <v>92</v>
      </c>
      <c r="CR126" s="229">
        <v>0.21529999999999999</v>
      </c>
      <c r="CS126" s="228">
        <v>312</v>
      </c>
      <c r="CT126" s="228">
        <v>271</v>
      </c>
      <c r="CU126" s="228">
        <v>41</v>
      </c>
      <c r="CV126" s="229">
        <v>0.14979999999999999</v>
      </c>
      <c r="CW126" s="230">
        <v>3235</v>
      </c>
      <c r="CX126" s="230">
        <v>3146</v>
      </c>
      <c r="CY126" s="228">
        <v>89</v>
      </c>
      <c r="CZ126" s="229">
        <v>2.8400000000000002E-2</v>
      </c>
      <c r="DA126" s="228">
        <v>22.56</v>
      </c>
      <c r="DB126" s="228">
        <v>21.14</v>
      </c>
      <c r="DC126" s="228">
        <v>1.42</v>
      </c>
      <c r="DD126" s="228">
        <v>1.42</v>
      </c>
      <c r="DE126" s="228">
        <v>24.55</v>
      </c>
      <c r="DF126" s="228">
        <v>24.59</v>
      </c>
      <c r="DG126" s="228">
        <v>-1.99</v>
      </c>
      <c r="DH126" s="228">
        <v>-0.04</v>
      </c>
      <c r="DI126" s="228">
        <v>22.67</v>
      </c>
      <c r="DJ126" s="228">
        <v>21.07</v>
      </c>
      <c r="DK126" s="228">
        <v>1.6</v>
      </c>
      <c r="DL126" s="228">
        <v>1.6</v>
      </c>
      <c r="DM126" s="228">
        <v>22.26</v>
      </c>
      <c r="DN126" s="228">
        <v>21.37</v>
      </c>
      <c r="DO126" s="228">
        <v>0.89</v>
      </c>
      <c r="DP126" s="228">
        <v>0.89</v>
      </c>
      <c r="DQ126" s="228">
        <v>0.6</v>
      </c>
      <c r="DR126" s="228">
        <v>0.64</v>
      </c>
      <c r="DS126" s="228">
        <v>-0.04</v>
      </c>
      <c r="DT126" s="229">
        <v>-6.25E-2</v>
      </c>
      <c r="DU126" s="228">
        <v>785</v>
      </c>
      <c r="DV126" s="228">
        <v>730</v>
      </c>
      <c r="DW126" s="228">
        <v>0.35</v>
      </c>
      <c r="DX126" s="228">
        <v>0.3</v>
      </c>
      <c r="DY126" s="228">
        <v>0.05</v>
      </c>
      <c r="DZ126" s="229">
        <v>0.16669999999999999</v>
      </c>
      <c r="EA126" s="229">
        <v>4.3E-3</v>
      </c>
      <c r="EB126" s="230">
        <v>126000</v>
      </c>
      <c r="EC126" s="229">
        <v>1.9E-3</v>
      </c>
      <c r="ED126" s="229">
        <v>4.3E-3</v>
      </c>
      <c r="EE126" s="228">
        <v>1.38</v>
      </c>
      <c r="EF126" s="229">
        <v>1.8E-3</v>
      </c>
      <c r="EG126" s="230">
        <v>1675048</v>
      </c>
      <c r="EH126" s="230">
        <v>1204568</v>
      </c>
      <c r="EI126" s="229">
        <v>0.3906</v>
      </c>
      <c r="EJ126" s="229">
        <v>0.75849999999999995</v>
      </c>
      <c r="EK126" s="228">
        <v>589.86</v>
      </c>
      <c r="EL126" s="228">
        <v>193.99</v>
      </c>
      <c r="EM126" s="228">
        <v>171.53</v>
      </c>
      <c r="EN126" s="228">
        <v>29.53</v>
      </c>
      <c r="EO126" s="228">
        <v>955.38</v>
      </c>
      <c r="EP126" s="231">
        <v>1540.42</v>
      </c>
      <c r="EQ126" s="228">
        <v>-585.04</v>
      </c>
      <c r="ER126" s="229">
        <v>-0.37980000000000003</v>
      </c>
      <c r="ES126" s="228">
        <v>528.38</v>
      </c>
      <c r="ET126" s="228">
        <v>296.10000000000002</v>
      </c>
      <c r="EU126" s="231">
        <v>2406.59</v>
      </c>
      <c r="EV126" s="231">
        <v>79442217</v>
      </c>
      <c r="EW126" s="231">
        <v>3231.07</v>
      </c>
      <c r="EX126" s="231">
        <v>3159.84</v>
      </c>
      <c r="EY126" s="228">
        <v>71.23</v>
      </c>
      <c r="EZ126" s="229">
        <v>2.2499999999999999E-2</v>
      </c>
      <c r="FA126" s="229">
        <v>0.52539999999999998</v>
      </c>
      <c r="FB126" s="227" t="s">
        <v>568</v>
      </c>
      <c r="FC126">
        <f t="shared" si="1"/>
        <v>11</v>
      </c>
    </row>
    <row r="127" spans="1:159" ht="17.25" thickBot="1" x14ac:dyDescent="0.3">
      <c r="A127" s="226">
        <v>46029</v>
      </c>
      <c r="B127" s="227" t="s">
        <v>162</v>
      </c>
      <c r="C127" s="227" t="s">
        <v>255</v>
      </c>
      <c r="D127" s="228">
        <v>50</v>
      </c>
      <c r="E127" s="228">
        <v>20</v>
      </c>
      <c r="F127" s="231">
        <v>16875</v>
      </c>
      <c r="G127" s="231">
        <v>17330</v>
      </c>
      <c r="H127" s="228">
        <v>-455</v>
      </c>
      <c r="I127" s="229">
        <v>-2.63E-2</v>
      </c>
      <c r="J127" s="231">
        <v>16809</v>
      </c>
      <c r="K127" s="231">
        <v>17292</v>
      </c>
      <c r="L127" s="228">
        <v>-483</v>
      </c>
      <c r="M127" s="229">
        <v>-2.7900000000000001E-2</v>
      </c>
      <c r="N127" s="231">
        <v>16875</v>
      </c>
      <c r="O127" s="231">
        <v>17330</v>
      </c>
      <c r="P127" s="228">
        <v>-455</v>
      </c>
      <c r="Q127" s="229">
        <v>-2.63E-2</v>
      </c>
      <c r="R127" s="231">
        <v>16963</v>
      </c>
      <c r="S127" s="231">
        <v>17426</v>
      </c>
      <c r="T127" s="228">
        <v>-463</v>
      </c>
      <c r="U127" s="229">
        <v>-2.6599999999999999E-2</v>
      </c>
      <c r="V127" s="231">
        <v>17071</v>
      </c>
      <c r="W127" s="231">
        <v>17516</v>
      </c>
      <c r="X127" s="228">
        <v>-445</v>
      </c>
      <c r="Y127" s="229">
        <v>-2.5399999999999999E-2</v>
      </c>
      <c r="Z127" s="228">
        <v>66</v>
      </c>
      <c r="AA127" s="228">
        <v>38</v>
      </c>
      <c r="AB127" s="228">
        <v>28</v>
      </c>
      <c r="AC127" s="229">
        <v>3.8999999999999998E-3</v>
      </c>
      <c r="AD127" s="228">
        <v>66</v>
      </c>
      <c r="AE127" s="228">
        <v>38</v>
      </c>
      <c r="AF127" s="228">
        <v>28</v>
      </c>
      <c r="AG127" s="229">
        <v>3.8999999999999998E-3</v>
      </c>
      <c r="AH127" s="228">
        <v>154</v>
      </c>
      <c r="AI127" s="228">
        <v>134</v>
      </c>
      <c r="AJ127" s="228">
        <v>20</v>
      </c>
      <c r="AK127" s="229">
        <v>9.1999999999999998E-3</v>
      </c>
      <c r="AL127" s="228">
        <v>262</v>
      </c>
      <c r="AM127" s="228">
        <v>224</v>
      </c>
      <c r="AN127" s="228">
        <v>38</v>
      </c>
      <c r="AO127" s="229">
        <v>1.5599999999999999E-2</v>
      </c>
      <c r="AP127" s="231">
        <v>16894.54</v>
      </c>
      <c r="AQ127" s="231">
        <v>16960.599999999999</v>
      </c>
      <c r="AR127" s="228">
        <v>0</v>
      </c>
      <c r="AS127" s="230">
        <v>1712</v>
      </c>
      <c r="AT127" s="228">
        <v>448</v>
      </c>
      <c r="AU127" s="230">
        <v>1264</v>
      </c>
      <c r="AV127" s="229">
        <v>2.8214000000000001</v>
      </c>
      <c r="AW127" s="230">
        <v>1604</v>
      </c>
      <c r="AX127" s="228">
        <v>431</v>
      </c>
      <c r="AY127" s="230">
        <v>1173</v>
      </c>
      <c r="AZ127" s="229">
        <v>2.7195999999999998</v>
      </c>
      <c r="BA127" s="228">
        <v>85</v>
      </c>
      <c r="BB127" s="228">
        <v>14</v>
      </c>
      <c r="BC127" s="228">
        <v>70</v>
      </c>
      <c r="BD127" s="229">
        <v>4.9000000000000004</v>
      </c>
      <c r="BE127" s="228">
        <v>23</v>
      </c>
      <c r="BF127" s="228">
        <v>2</v>
      </c>
      <c r="BG127" s="228">
        <v>21</v>
      </c>
      <c r="BH127" s="229">
        <v>8.7857000000000003</v>
      </c>
      <c r="BI127" s="230">
        <v>14114</v>
      </c>
      <c r="BJ127" s="230">
        <v>3448</v>
      </c>
      <c r="BK127" s="230">
        <v>10666</v>
      </c>
      <c r="BL127" s="229">
        <v>3.0935999999999999</v>
      </c>
      <c r="BM127" s="230">
        <v>15695</v>
      </c>
      <c r="BN127" s="230">
        <v>2374</v>
      </c>
      <c r="BO127" s="230">
        <v>13321</v>
      </c>
      <c r="BP127" s="229">
        <v>5.6121999999999996</v>
      </c>
      <c r="BQ127" s="230">
        <v>31521</v>
      </c>
      <c r="BR127" s="230">
        <v>6269</v>
      </c>
      <c r="BS127" s="230">
        <v>25251</v>
      </c>
      <c r="BT127" s="229">
        <v>4.0277000000000003</v>
      </c>
      <c r="BU127" s="230">
        <v>446068</v>
      </c>
      <c r="BV127" s="230">
        <v>196146</v>
      </c>
      <c r="BW127" s="230">
        <v>249922</v>
      </c>
      <c r="BX127" s="229">
        <v>1.2742</v>
      </c>
      <c r="BY127" s="230">
        <v>4986</v>
      </c>
      <c r="BZ127" s="230">
        <v>4969</v>
      </c>
      <c r="CA127" s="228">
        <v>17</v>
      </c>
      <c r="CB127" s="229">
        <v>3.3999999999999998E-3</v>
      </c>
      <c r="CC127" s="230">
        <v>4878</v>
      </c>
      <c r="CD127" s="230">
        <v>4883</v>
      </c>
      <c r="CE127" s="228">
        <v>-5</v>
      </c>
      <c r="CF127" s="229">
        <v>-1.1000000000000001E-3</v>
      </c>
      <c r="CG127" s="228">
        <v>87</v>
      </c>
      <c r="CH127" s="228">
        <v>76</v>
      </c>
      <c r="CI127" s="228">
        <v>11</v>
      </c>
      <c r="CJ127" s="229">
        <v>0.14510000000000001</v>
      </c>
      <c r="CK127" s="228">
        <v>20</v>
      </c>
      <c r="CL127" s="228">
        <v>9</v>
      </c>
      <c r="CM127" s="228">
        <v>11</v>
      </c>
      <c r="CN127" s="229">
        <v>1.2406999999999999</v>
      </c>
      <c r="CO127" s="230">
        <v>2750</v>
      </c>
      <c r="CP127" s="230">
        <v>2024</v>
      </c>
      <c r="CQ127" s="228">
        <v>726</v>
      </c>
      <c r="CR127" s="229">
        <v>0.35859999999999997</v>
      </c>
      <c r="CS127" s="230">
        <v>1900</v>
      </c>
      <c r="CT127" s="230">
        <v>2160</v>
      </c>
      <c r="CU127" s="228">
        <v>-260</v>
      </c>
      <c r="CV127" s="229">
        <v>-0.1203</v>
      </c>
      <c r="CW127" s="230">
        <v>9635</v>
      </c>
      <c r="CX127" s="230">
        <v>9152</v>
      </c>
      <c r="CY127" s="228">
        <v>483</v>
      </c>
      <c r="CZ127" s="229">
        <v>5.28E-2</v>
      </c>
      <c r="DA127" s="228">
        <v>18.8</v>
      </c>
      <c r="DB127" s="228">
        <v>17.59</v>
      </c>
      <c r="DC127" s="228">
        <v>1.21</v>
      </c>
      <c r="DD127" s="228">
        <v>1.21</v>
      </c>
      <c r="DE127" s="228">
        <v>24.36</v>
      </c>
      <c r="DF127" s="228">
        <v>24.12</v>
      </c>
      <c r="DG127" s="228">
        <v>-5.56</v>
      </c>
      <c r="DH127" s="228">
        <v>0.24</v>
      </c>
      <c r="DI127" s="228">
        <v>18.14</v>
      </c>
      <c r="DJ127" s="228">
        <v>16.86</v>
      </c>
      <c r="DK127" s="228">
        <v>1.28</v>
      </c>
      <c r="DL127" s="228">
        <v>1.28</v>
      </c>
      <c r="DM127" s="228">
        <v>19.39</v>
      </c>
      <c r="DN127" s="228">
        <v>18.66</v>
      </c>
      <c r="DO127" s="228">
        <v>0.73</v>
      </c>
      <c r="DP127" s="228">
        <v>0.73</v>
      </c>
      <c r="DQ127" s="228">
        <v>0.69</v>
      </c>
      <c r="DR127" s="228">
        <v>1.07</v>
      </c>
      <c r="DS127" s="228">
        <v>-0.38</v>
      </c>
      <c r="DT127" s="229">
        <v>-0.35510000000000003</v>
      </c>
      <c r="DU127" s="231">
        <v>17500</v>
      </c>
      <c r="DV127" s="231">
        <v>16000</v>
      </c>
      <c r="DW127" s="228">
        <v>1.1100000000000001</v>
      </c>
      <c r="DX127" s="228">
        <v>0.69</v>
      </c>
      <c r="DY127" s="228">
        <v>0.42</v>
      </c>
      <c r="DZ127" s="229">
        <v>0.60870000000000002</v>
      </c>
      <c r="EA127" s="229">
        <v>2.1600000000000001E-2</v>
      </c>
      <c r="EB127" s="230">
        <v>50550</v>
      </c>
      <c r="EC127" s="229">
        <v>5.1999999999999998E-3</v>
      </c>
      <c r="ED127" s="229">
        <v>2.1600000000000001E-2</v>
      </c>
      <c r="EE127" s="228">
        <v>66.06</v>
      </c>
      <c r="EF127" s="229">
        <v>3.8999999999999998E-3</v>
      </c>
      <c r="EG127" s="230">
        <v>220989</v>
      </c>
      <c r="EH127" s="230">
        <v>99548</v>
      </c>
      <c r="EI127" s="229">
        <v>1.2199</v>
      </c>
      <c r="EJ127" s="229">
        <v>0.49540000000000001</v>
      </c>
      <c r="EK127" s="231">
        <v>14643.22</v>
      </c>
      <c r="EL127" s="231">
        <v>15473.68</v>
      </c>
      <c r="EM127" s="231">
        <v>1714.36</v>
      </c>
      <c r="EN127" s="228">
        <v>79.489999999999995</v>
      </c>
      <c r="EO127" s="231">
        <v>31831.26</v>
      </c>
      <c r="EP127" s="231">
        <v>6477.79</v>
      </c>
      <c r="EQ127" s="231">
        <v>25353.47</v>
      </c>
      <c r="ER127" s="229">
        <v>3.9138999999999999</v>
      </c>
      <c r="ES127" s="231">
        <v>2845.06</v>
      </c>
      <c r="ET127" s="231">
        <v>1823.88</v>
      </c>
      <c r="EU127" s="231">
        <v>4986.5</v>
      </c>
      <c r="EV127" s="231">
        <v>17687048</v>
      </c>
      <c r="EW127" s="231">
        <v>9655.43</v>
      </c>
      <c r="EX127" s="231">
        <v>9300.25</v>
      </c>
      <c r="EY127" s="228">
        <v>355.18</v>
      </c>
      <c r="EZ127" s="229">
        <v>3.8199999999999998E-2</v>
      </c>
      <c r="FA127" s="229">
        <v>0.32279999999999998</v>
      </c>
      <c r="FB127" s="227" t="s">
        <v>567</v>
      </c>
      <c r="FC127">
        <f t="shared" si="1"/>
        <v>108</v>
      </c>
    </row>
    <row r="128" spans="1:159" ht="17.25" thickBot="1" x14ac:dyDescent="0.3">
      <c r="A128" s="226">
        <v>46029</v>
      </c>
      <c r="B128" s="227" t="s">
        <v>170</v>
      </c>
      <c r="C128" s="227" t="s">
        <v>603</v>
      </c>
      <c r="D128" s="228">
        <v>525</v>
      </c>
      <c r="E128" s="228">
        <v>20</v>
      </c>
      <c r="F128" s="231">
        <v>1038.2</v>
      </c>
      <c r="G128" s="231">
        <v>1056.5999999999999</v>
      </c>
      <c r="H128" s="228">
        <v>-18.399999999999999</v>
      </c>
      <c r="I128" s="229">
        <v>-1.7399999999999999E-2</v>
      </c>
      <c r="J128" s="231">
        <v>1034.7</v>
      </c>
      <c r="K128" s="231">
        <v>1051.5999999999999</v>
      </c>
      <c r="L128" s="228">
        <v>-16.899999999999999</v>
      </c>
      <c r="M128" s="229">
        <v>-1.61E-2</v>
      </c>
      <c r="N128" s="231">
        <v>1038.2</v>
      </c>
      <c r="O128" s="231">
        <v>1056.5999999999999</v>
      </c>
      <c r="P128" s="228">
        <v>-18.399999999999999</v>
      </c>
      <c r="Q128" s="229">
        <v>-1.7399999999999999E-2</v>
      </c>
      <c r="R128" s="231">
        <v>1044.5</v>
      </c>
      <c r="S128" s="231">
        <v>1062</v>
      </c>
      <c r="T128" s="228">
        <v>-17.5</v>
      </c>
      <c r="U128" s="229">
        <v>-1.6500000000000001E-2</v>
      </c>
      <c r="V128" s="231">
        <v>1050</v>
      </c>
      <c r="W128" s="231">
        <v>1069.5999999999999</v>
      </c>
      <c r="X128" s="228">
        <v>-19.600000000000001</v>
      </c>
      <c r="Y128" s="229">
        <v>-1.83E-2</v>
      </c>
      <c r="Z128" s="228">
        <v>3.5</v>
      </c>
      <c r="AA128" s="228">
        <v>5</v>
      </c>
      <c r="AB128" s="228">
        <v>-1.5</v>
      </c>
      <c r="AC128" s="229">
        <v>3.3999999999999998E-3</v>
      </c>
      <c r="AD128" s="228">
        <v>3.5</v>
      </c>
      <c r="AE128" s="228">
        <v>5</v>
      </c>
      <c r="AF128" s="228">
        <v>-1.5</v>
      </c>
      <c r="AG128" s="229">
        <v>3.3999999999999998E-3</v>
      </c>
      <c r="AH128" s="228">
        <v>9.8000000000000007</v>
      </c>
      <c r="AI128" s="228">
        <v>10.4</v>
      </c>
      <c r="AJ128" s="228">
        <v>-0.6</v>
      </c>
      <c r="AK128" s="229">
        <v>9.4999999999999998E-3</v>
      </c>
      <c r="AL128" s="228">
        <v>15.3</v>
      </c>
      <c r="AM128" s="228">
        <v>18</v>
      </c>
      <c r="AN128" s="228">
        <v>-2.7</v>
      </c>
      <c r="AO128" s="229">
        <v>1.4800000000000001E-2</v>
      </c>
      <c r="AP128" s="231">
        <v>1036.82</v>
      </c>
      <c r="AQ128" s="231">
        <v>1043.28</v>
      </c>
      <c r="AR128" s="228">
        <v>0</v>
      </c>
      <c r="AS128" s="228">
        <v>389</v>
      </c>
      <c r="AT128" s="228">
        <v>277</v>
      </c>
      <c r="AU128" s="228">
        <v>111</v>
      </c>
      <c r="AV128" s="229">
        <v>0.40139999999999998</v>
      </c>
      <c r="AW128" s="228">
        <v>369</v>
      </c>
      <c r="AX128" s="228">
        <v>265</v>
      </c>
      <c r="AY128" s="228">
        <v>105</v>
      </c>
      <c r="AZ128" s="229">
        <v>0.39510000000000001</v>
      </c>
      <c r="BA128" s="228">
        <v>17</v>
      </c>
      <c r="BB128" s="228">
        <v>11</v>
      </c>
      <c r="BC128" s="228">
        <v>6</v>
      </c>
      <c r="BD128" s="229">
        <v>0.61029999999999995</v>
      </c>
      <c r="BE128" s="228">
        <v>2</v>
      </c>
      <c r="BF128" s="228">
        <v>2</v>
      </c>
      <c r="BG128" s="228">
        <v>0</v>
      </c>
      <c r="BH128" s="229">
        <v>0.1143</v>
      </c>
      <c r="BI128" s="228">
        <v>618</v>
      </c>
      <c r="BJ128" s="228">
        <v>340</v>
      </c>
      <c r="BK128" s="228">
        <v>278</v>
      </c>
      <c r="BL128" s="229">
        <v>0.81910000000000005</v>
      </c>
      <c r="BM128" s="228">
        <v>313</v>
      </c>
      <c r="BN128" s="228">
        <v>101</v>
      </c>
      <c r="BO128" s="228">
        <v>212</v>
      </c>
      <c r="BP128" s="229">
        <v>2.0994000000000002</v>
      </c>
      <c r="BQ128" s="230">
        <v>1319</v>
      </c>
      <c r="BR128" s="228">
        <v>718</v>
      </c>
      <c r="BS128" s="228">
        <v>601</v>
      </c>
      <c r="BT128" s="229">
        <v>0.8377</v>
      </c>
      <c r="BU128" s="230">
        <v>4916062</v>
      </c>
      <c r="BV128" s="230">
        <v>2100914</v>
      </c>
      <c r="BW128" s="230">
        <v>2815148</v>
      </c>
      <c r="BX128" s="229">
        <v>1.34</v>
      </c>
      <c r="BY128" s="230">
        <v>2336</v>
      </c>
      <c r="BZ128" s="230">
        <v>2272</v>
      </c>
      <c r="CA128" s="228">
        <v>64</v>
      </c>
      <c r="CB128" s="229">
        <v>2.8299999999999999E-2</v>
      </c>
      <c r="CC128" s="230">
        <v>2292</v>
      </c>
      <c r="CD128" s="230">
        <v>2233</v>
      </c>
      <c r="CE128" s="228">
        <v>59</v>
      </c>
      <c r="CF128" s="229">
        <v>2.6499999999999999E-2</v>
      </c>
      <c r="CG128" s="228">
        <v>40</v>
      </c>
      <c r="CH128" s="228">
        <v>36</v>
      </c>
      <c r="CI128" s="228">
        <v>4</v>
      </c>
      <c r="CJ128" s="229">
        <v>0.10440000000000001</v>
      </c>
      <c r="CK128" s="228">
        <v>5</v>
      </c>
      <c r="CL128" s="228">
        <v>3</v>
      </c>
      <c r="CM128" s="228">
        <v>1</v>
      </c>
      <c r="CN128" s="229">
        <v>0.3594</v>
      </c>
      <c r="CO128" s="228">
        <v>337</v>
      </c>
      <c r="CP128" s="228">
        <v>267</v>
      </c>
      <c r="CQ128" s="228">
        <v>70</v>
      </c>
      <c r="CR128" s="229">
        <v>0.26369999999999999</v>
      </c>
      <c r="CS128" s="228">
        <v>218</v>
      </c>
      <c r="CT128" s="228">
        <v>211</v>
      </c>
      <c r="CU128" s="228">
        <v>6</v>
      </c>
      <c r="CV128" s="229">
        <v>2.9700000000000001E-2</v>
      </c>
      <c r="CW128" s="230">
        <v>2891</v>
      </c>
      <c r="CX128" s="230">
        <v>2751</v>
      </c>
      <c r="CY128" s="228">
        <v>141</v>
      </c>
      <c r="CZ128" s="229">
        <v>5.1200000000000002E-2</v>
      </c>
      <c r="DA128" s="228">
        <v>25.43</v>
      </c>
      <c r="DB128" s="228">
        <v>23.88</v>
      </c>
      <c r="DC128" s="228">
        <v>1.55</v>
      </c>
      <c r="DD128" s="228">
        <v>1.55</v>
      </c>
      <c r="DE128" s="228">
        <v>38.47</v>
      </c>
      <c r="DF128" s="228">
        <v>38.5</v>
      </c>
      <c r="DG128" s="228">
        <v>-13.04</v>
      </c>
      <c r="DH128" s="228">
        <v>-0.03</v>
      </c>
      <c r="DI128" s="228">
        <v>25.51</v>
      </c>
      <c r="DJ128" s="228">
        <v>23.9</v>
      </c>
      <c r="DK128" s="228">
        <v>1.61</v>
      </c>
      <c r="DL128" s="228">
        <v>1.61</v>
      </c>
      <c r="DM128" s="228">
        <v>25.26</v>
      </c>
      <c r="DN128" s="228">
        <v>23.82</v>
      </c>
      <c r="DO128" s="228">
        <v>1.44</v>
      </c>
      <c r="DP128" s="228">
        <v>1.44</v>
      </c>
      <c r="DQ128" s="228">
        <v>0.64</v>
      </c>
      <c r="DR128" s="228">
        <v>0.79</v>
      </c>
      <c r="DS128" s="228">
        <v>-0.15</v>
      </c>
      <c r="DT128" s="229">
        <v>-0.18990000000000001</v>
      </c>
      <c r="DU128" s="231">
        <v>1100</v>
      </c>
      <c r="DV128" s="231">
        <v>1040</v>
      </c>
      <c r="DW128" s="228">
        <v>0.51</v>
      </c>
      <c r="DX128" s="228">
        <v>0.3</v>
      </c>
      <c r="DY128" s="228">
        <v>0.21</v>
      </c>
      <c r="DZ128" s="229">
        <v>0.7</v>
      </c>
      <c r="EA128" s="229">
        <v>1.9099999999999999E-2</v>
      </c>
      <c r="EB128" s="230">
        <v>380625</v>
      </c>
      <c r="EC128" s="229">
        <v>6.1000000000000004E-3</v>
      </c>
      <c r="ED128" s="229">
        <v>1.9099999999999999E-2</v>
      </c>
      <c r="EE128" s="228">
        <v>6.46</v>
      </c>
      <c r="EF128" s="229">
        <v>6.1999999999999998E-3</v>
      </c>
      <c r="EG128" s="230">
        <v>3167940</v>
      </c>
      <c r="EH128" s="230">
        <v>1200636</v>
      </c>
      <c r="EI128" s="229">
        <v>1.6386000000000001</v>
      </c>
      <c r="EJ128" s="229">
        <v>0.64439999999999997</v>
      </c>
      <c r="EK128" s="228">
        <v>645.69000000000005</v>
      </c>
      <c r="EL128" s="228">
        <v>313.83</v>
      </c>
      <c r="EM128" s="228">
        <v>388.19</v>
      </c>
      <c r="EN128" s="228">
        <v>33.04</v>
      </c>
      <c r="EO128" s="231">
        <v>1347.71</v>
      </c>
      <c r="EP128" s="228">
        <v>744.15</v>
      </c>
      <c r="EQ128" s="228">
        <v>603.55999999999995</v>
      </c>
      <c r="ER128" s="229">
        <v>0.81110000000000004</v>
      </c>
      <c r="ES128" s="228">
        <v>356.13</v>
      </c>
      <c r="ET128" s="228">
        <v>220.38</v>
      </c>
      <c r="EU128" s="231">
        <v>2336.67</v>
      </c>
      <c r="EV128" s="231">
        <v>111218809</v>
      </c>
      <c r="EW128" s="231">
        <v>2913.18</v>
      </c>
      <c r="EX128" s="231">
        <v>2812.33</v>
      </c>
      <c r="EY128" s="228">
        <v>100.85</v>
      </c>
      <c r="EZ128" s="229">
        <v>3.5900000000000001E-2</v>
      </c>
      <c r="FA128" s="229">
        <v>0.25040000000000001</v>
      </c>
      <c r="FB128" s="227" t="s">
        <v>567</v>
      </c>
      <c r="FC128">
        <f t="shared" si="1"/>
        <v>44</v>
      </c>
    </row>
    <row r="129" spans="1:159" ht="17.25" thickBot="1" x14ac:dyDescent="0.3">
      <c r="A129" s="226">
        <v>46029</v>
      </c>
      <c r="B129" s="227" t="s">
        <v>215</v>
      </c>
      <c r="C129" s="227" t="s">
        <v>673</v>
      </c>
      <c r="D129" s="228">
        <v>200</v>
      </c>
      <c r="E129" s="228">
        <v>20</v>
      </c>
      <c r="F129" s="231">
        <v>2523</v>
      </c>
      <c r="G129" s="231">
        <v>2505</v>
      </c>
      <c r="H129" s="228">
        <v>18</v>
      </c>
      <c r="I129" s="229">
        <v>7.1999999999999998E-3</v>
      </c>
      <c r="J129" s="231">
        <v>2511.4</v>
      </c>
      <c r="K129" s="231">
        <v>2496.4</v>
      </c>
      <c r="L129" s="228">
        <v>15</v>
      </c>
      <c r="M129" s="229">
        <v>6.0000000000000001E-3</v>
      </c>
      <c r="N129" s="231">
        <v>2523</v>
      </c>
      <c r="O129" s="231">
        <v>2505</v>
      </c>
      <c r="P129" s="228">
        <v>18</v>
      </c>
      <c r="Q129" s="229">
        <v>7.1999999999999998E-3</v>
      </c>
      <c r="R129" s="231">
        <v>2536.8000000000002</v>
      </c>
      <c r="S129" s="231">
        <v>2518.8000000000002</v>
      </c>
      <c r="T129" s="228">
        <v>18</v>
      </c>
      <c r="U129" s="229">
        <v>7.1000000000000004E-3</v>
      </c>
      <c r="V129" s="231">
        <v>2525.1</v>
      </c>
      <c r="W129" s="231">
        <v>2535.6999999999998</v>
      </c>
      <c r="X129" s="228">
        <v>-10.6</v>
      </c>
      <c r="Y129" s="229">
        <v>-4.1999999999999997E-3</v>
      </c>
      <c r="Z129" s="228">
        <v>11.6</v>
      </c>
      <c r="AA129" s="228">
        <v>8.6</v>
      </c>
      <c r="AB129" s="228">
        <v>3</v>
      </c>
      <c r="AC129" s="229">
        <v>4.5999999999999999E-3</v>
      </c>
      <c r="AD129" s="228">
        <v>11.6</v>
      </c>
      <c r="AE129" s="228">
        <v>8.6</v>
      </c>
      <c r="AF129" s="228">
        <v>3</v>
      </c>
      <c r="AG129" s="229">
        <v>4.5999999999999999E-3</v>
      </c>
      <c r="AH129" s="228">
        <v>25.4</v>
      </c>
      <c r="AI129" s="228">
        <v>22.4</v>
      </c>
      <c r="AJ129" s="228">
        <v>3</v>
      </c>
      <c r="AK129" s="229">
        <v>1.01E-2</v>
      </c>
      <c r="AL129" s="228">
        <v>13.7</v>
      </c>
      <c r="AM129" s="228">
        <v>39.299999999999997</v>
      </c>
      <c r="AN129" s="228">
        <v>-25.6</v>
      </c>
      <c r="AO129" s="229">
        <v>5.4999999999999997E-3</v>
      </c>
      <c r="AP129" s="231">
        <v>2505.77</v>
      </c>
      <c r="AQ129" s="231">
        <v>2512.21</v>
      </c>
      <c r="AR129" s="228">
        <v>0</v>
      </c>
      <c r="AS129" s="228">
        <v>216</v>
      </c>
      <c r="AT129" s="228">
        <v>143</v>
      </c>
      <c r="AU129" s="228">
        <v>73</v>
      </c>
      <c r="AV129" s="229">
        <v>0.51019999999999999</v>
      </c>
      <c r="AW129" s="228">
        <v>180</v>
      </c>
      <c r="AX129" s="228">
        <v>125</v>
      </c>
      <c r="AY129" s="228">
        <v>55</v>
      </c>
      <c r="AZ129" s="229">
        <v>0.43980000000000002</v>
      </c>
      <c r="BA129" s="228">
        <v>35</v>
      </c>
      <c r="BB129" s="228">
        <v>16</v>
      </c>
      <c r="BC129" s="228">
        <v>20</v>
      </c>
      <c r="BD129" s="229">
        <v>1.2597</v>
      </c>
      <c r="BE129" s="228">
        <v>0</v>
      </c>
      <c r="BF129" s="228">
        <v>2</v>
      </c>
      <c r="BG129" s="228">
        <v>-2</v>
      </c>
      <c r="BH129" s="229">
        <v>-0.79069999999999996</v>
      </c>
      <c r="BI129" s="228">
        <v>874</v>
      </c>
      <c r="BJ129" s="228">
        <v>618</v>
      </c>
      <c r="BK129" s="228">
        <v>256</v>
      </c>
      <c r="BL129" s="229">
        <v>0.41470000000000001</v>
      </c>
      <c r="BM129" s="228">
        <v>290</v>
      </c>
      <c r="BN129" s="228">
        <v>251</v>
      </c>
      <c r="BO129" s="228">
        <v>39</v>
      </c>
      <c r="BP129" s="229">
        <v>0.15629999999999999</v>
      </c>
      <c r="BQ129" s="230">
        <v>1380</v>
      </c>
      <c r="BR129" s="230">
        <v>1012</v>
      </c>
      <c r="BS129" s="228">
        <v>368</v>
      </c>
      <c r="BT129" s="229">
        <v>0.36420000000000002</v>
      </c>
      <c r="BU129" s="230">
        <v>849904</v>
      </c>
      <c r="BV129" s="230">
        <v>650990</v>
      </c>
      <c r="BW129" s="230">
        <v>198914</v>
      </c>
      <c r="BX129" s="229">
        <v>0.30559999999999998</v>
      </c>
      <c r="BY129" s="230">
        <v>1312</v>
      </c>
      <c r="BZ129" s="230">
        <v>1324</v>
      </c>
      <c r="CA129" s="228">
        <v>-12</v>
      </c>
      <c r="CB129" s="229">
        <v>-9.2999999999999992E-3</v>
      </c>
      <c r="CC129" s="230">
        <v>1238</v>
      </c>
      <c r="CD129" s="230">
        <v>1254</v>
      </c>
      <c r="CE129" s="228">
        <v>-15</v>
      </c>
      <c r="CF129" s="229">
        <v>-1.2200000000000001E-2</v>
      </c>
      <c r="CG129" s="228">
        <v>70</v>
      </c>
      <c r="CH129" s="228">
        <v>68</v>
      </c>
      <c r="CI129" s="228">
        <v>3</v>
      </c>
      <c r="CJ129" s="229">
        <v>4.0300000000000002E-2</v>
      </c>
      <c r="CK129" s="228">
        <v>3</v>
      </c>
      <c r="CL129" s="228">
        <v>3</v>
      </c>
      <c r="CM129" s="228">
        <v>0</v>
      </c>
      <c r="CN129" s="229">
        <v>8.4699999999999998E-2</v>
      </c>
      <c r="CO129" s="230">
        <v>1033</v>
      </c>
      <c r="CP129" s="230">
        <v>1042</v>
      </c>
      <c r="CQ129" s="228">
        <v>-9</v>
      </c>
      <c r="CR129" s="229">
        <v>-8.2000000000000007E-3</v>
      </c>
      <c r="CS129" s="228">
        <v>540</v>
      </c>
      <c r="CT129" s="228">
        <v>537</v>
      </c>
      <c r="CU129" s="228">
        <v>3</v>
      </c>
      <c r="CV129" s="229">
        <v>6.1000000000000004E-3</v>
      </c>
      <c r="CW129" s="230">
        <v>2885</v>
      </c>
      <c r="CX129" s="230">
        <v>2903</v>
      </c>
      <c r="CY129" s="228">
        <v>-18</v>
      </c>
      <c r="CZ129" s="229">
        <v>-6.0000000000000001E-3</v>
      </c>
      <c r="DA129" s="228">
        <v>34.39</v>
      </c>
      <c r="DB129" s="228">
        <v>33.799999999999997</v>
      </c>
      <c r="DC129" s="228">
        <v>0.59</v>
      </c>
      <c r="DD129" s="228">
        <v>0.59</v>
      </c>
      <c r="DE129" s="228">
        <v>54.26</v>
      </c>
      <c r="DF129" s="228">
        <v>54.39</v>
      </c>
      <c r="DG129" s="228">
        <v>-19.87</v>
      </c>
      <c r="DH129" s="228">
        <v>-0.13</v>
      </c>
      <c r="DI129" s="228">
        <v>34.71</v>
      </c>
      <c r="DJ129" s="228">
        <v>34.11</v>
      </c>
      <c r="DK129" s="228">
        <v>0.6</v>
      </c>
      <c r="DL129" s="228">
        <v>0.6</v>
      </c>
      <c r="DM129" s="228">
        <v>33.46</v>
      </c>
      <c r="DN129" s="228">
        <v>33.04</v>
      </c>
      <c r="DO129" s="228">
        <v>0.42</v>
      </c>
      <c r="DP129" s="228">
        <v>0.42</v>
      </c>
      <c r="DQ129" s="228">
        <v>0.52</v>
      </c>
      <c r="DR129" s="228">
        <v>0.52</v>
      </c>
      <c r="DS129" s="228">
        <v>0</v>
      </c>
      <c r="DT129" s="229">
        <v>0</v>
      </c>
      <c r="DU129" s="231">
        <v>2600</v>
      </c>
      <c r="DV129" s="231">
        <v>2400</v>
      </c>
      <c r="DW129" s="228">
        <v>0.33</v>
      </c>
      <c r="DX129" s="228">
        <v>0.41</v>
      </c>
      <c r="DY129" s="228">
        <v>-0.08</v>
      </c>
      <c r="DZ129" s="229">
        <v>-0.1951</v>
      </c>
      <c r="EA129" s="229">
        <v>5.6099999999999997E-2</v>
      </c>
      <c r="EB129" s="230">
        <v>280000</v>
      </c>
      <c r="EC129" s="229">
        <v>5.4999999999999997E-3</v>
      </c>
      <c r="ED129" s="229">
        <v>5.6099999999999997E-2</v>
      </c>
      <c r="EE129" s="228">
        <v>6.44</v>
      </c>
      <c r="EF129" s="229">
        <v>2.5999999999999999E-3</v>
      </c>
      <c r="EG129" s="230">
        <v>190370</v>
      </c>
      <c r="EH129" s="230">
        <v>165647</v>
      </c>
      <c r="EI129" s="229">
        <v>0.14929999999999999</v>
      </c>
      <c r="EJ129" s="229">
        <v>0.224</v>
      </c>
      <c r="EK129" s="228">
        <v>910.72</v>
      </c>
      <c r="EL129" s="228">
        <v>290.33</v>
      </c>
      <c r="EM129" s="228">
        <v>214.59</v>
      </c>
      <c r="EN129" s="228">
        <v>39.72</v>
      </c>
      <c r="EO129" s="231">
        <v>1415.63</v>
      </c>
      <c r="EP129" s="231">
        <v>1040.42</v>
      </c>
      <c r="EQ129" s="228">
        <v>375.21</v>
      </c>
      <c r="ER129" s="229">
        <v>0.36059999999999998</v>
      </c>
      <c r="ES129" s="231">
        <v>1112.3800000000001</v>
      </c>
      <c r="ET129" s="228">
        <v>530.72</v>
      </c>
      <c r="EU129" s="231">
        <v>1312.35</v>
      </c>
      <c r="EV129" s="231">
        <v>11364224</v>
      </c>
      <c r="EW129" s="231">
        <v>2955.45</v>
      </c>
      <c r="EX129" s="231">
        <v>2964.15</v>
      </c>
      <c r="EY129" s="228">
        <v>-8.6999999999999993</v>
      </c>
      <c r="EZ129" s="229">
        <v>-2.8999999999999998E-3</v>
      </c>
      <c r="FA129" s="229">
        <v>1.0063</v>
      </c>
      <c r="FB129" s="227" t="s">
        <v>556</v>
      </c>
      <c r="FC129">
        <f t="shared" si="1"/>
        <v>74</v>
      </c>
    </row>
    <row r="130" spans="1:159" ht="17.25" thickBot="1" x14ac:dyDescent="0.3">
      <c r="A130" s="226">
        <v>46029</v>
      </c>
      <c r="B130" s="227" t="s">
        <v>175</v>
      </c>
      <c r="C130" s="227" t="s">
        <v>517</v>
      </c>
      <c r="D130" s="228">
        <v>625</v>
      </c>
      <c r="E130" s="228">
        <v>20</v>
      </c>
      <c r="F130" s="231">
        <v>2310</v>
      </c>
      <c r="G130" s="231">
        <v>2260</v>
      </c>
      <c r="H130" s="228">
        <v>50</v>
      </c>
      <c r="I130" s="229">
        <v>2.2100000000000002E-2</v>
      </c>
      <c r="J130" s="231">
        <v>2305</v>
      </c>
      <c r="K130" s="231">
        <v>2246</v>
      </c>
      <c r="L130" s="228">
        <v>59</v>
      </c>
      <c r="M130" s="229">
        <v>2.63E-2</v>
      </c>
      <c r="N130" s="231">
        <v>2310</v>
      </c>
      <c r="O130" s="231">
        <v>2260</v>
      </c>
      <c r="P130" s="228">
        <v>50</v>
      </c>
      <c r="Q130" s="229">
        <v>2.2100000000000002E-2</v>
      </c>
      <c r="R130" s="231">
        <v>2322</v>
      </c>
      <c r="S130" s="231">
        <v>2273</v>
      </c>
      <c r="T130" s="228">
        <v>49</v>
      </c>
      <c r="U130" s="229">
        <v>2.1600000000000001E-2</v>
      </c>
      <c r="V130" s="231">
        <v>2337</v>
      </c>
      <c r="W130" s="231">
        <v>2288</v>
      </c>
      <c r="X130" s="228">
        <v>49</v>
      </c>
      <c r="Y130" s="229">
        <v>2.1399999999999999E-2</v>
      </c>
      <c r="Z130" s="228">
        <v>5</v>
      </c>
      <c r="AA130" s="228">
        <v>14</v>
      </c>
      <c r="AB130" s="228">
        <v>-9</v>
      </c>
      <c r="AC130" s="229">
        <v>2.2000000000000001E-3</v>
      </c>
      <c r="AD130" s="228">
        <v>5</v>
      </c>
      <c r="AE130" s="228">
        <v>14</v>
      </c>
      <c r="AF130" s="228">
        <v>-9</v>
      </c>
      <c r="AG130" s="229">
        <v>2.2000000000000001E-3</v>
      </c>
      <c r="AH130" s="228">
        <v>17</v>
      </c>
      <c r="AI130" s="228">
        <v>27</v>
      </c>
      <c r="AJ130" s="228">
        <v>-10</v>
      </c>
      <c r="AK130" s="229">
        <v>7.4000000000000003E-3</v>
      </c>
      <c r="AL130" s="228">
        <v>32</v>
      </c>
      <c r="AM130" s="228">
        <v>42</v>
      </c>
      <c r="AN130" s="228">
        <v>-10</v>
      </c>
      <c r="AO130" s="229">
        <v>1.3899999999999999E-2</v>
      </c>
      <c r="AP130" s="231">
        <v>2300.44</v>
      </c>
      <c r="AQ130" s="231">
        <v>2314.4299999999998</v>
      </c>
      <c r="AR130" s="228">
        <v>0</v>
      </c>
      <c r="AS130" s="230">
        <v>1155</v>
      </c>
      <c r="AT130" s="230">
        <v>1054</v>
      </c>
      <c r="AU130" s="228">
        <v>101</v>
      </c>
      <c r="AV130" s="229">
        <v>9.6299999999999997E-2</v>
      </c>
      <c r="AW130" s="230">
        <v>1070</v>
      </c>
      <c r="AX130" s="228">
        <v>964</v>
      </c>
      <c r="AY130" s="228">
        <v>105</v>
      </c>
      <c r="AZ130" s="229">
        <v>0.10929999999999999</v>
      </c>
      <c r="BA130" s="228">
        <v>67</v>
      </c>
      <c r="BB130" s="228">
        <v>64</v>
      </c>
      <c r="BC130" s="228">
        <v>3</v>
      </c>
      <c r="BD130" s="229">
        <v>5.4300000000000001E-2</v>
      </c>
      <c r="BE130" s="228">
        <v>18</v>
      </c>
      <c r="BF130" s="228">
        <v>26</v>
      </c>
      <c r="BG130" s="228">
        <v>-7</v>
      </c>
      <c r="BH130" s="229">
        <v>-0.28489999999999999</v>
      </c>
      <c r="BI130" s="230">
        <v>6582</v>
      </c>
      <c r="BJ130" s="230">
        <v>4718</v>
      </c>
      <c r="BK130" s="230">
        <v>1864</v>
      </c>
      <c r="BL130" s="229">
        <v>0.39510000000000001</v>
      </c>
      <c r="BM130" s="230">
        <v>3022</v>
      </c>
      <c r="BN130" s="230">
        <v>1932</v>
      </c>
      <c r="BO130" s="230">
        <v>1090</v>
      </c>
      <c r="BP130" s="229">
        <v>0.56440000000000001</v>
      </c>
      <c r="BQ130" s="230">
        <v>10760</v>
      </c>
      <c r="BR130" s="230">
        <v>7704</v>
      </c>
      <c r="BS130" s="230">
        <v>3056</v>
      </c>
      <c r="BT130" s="229">
        <v>0.3967</v>
      </c>
      <c r="BU130" s="230">
        <v>2703253</v>
      </c>
      <c r="BV130" s="230">
        <v>2545981</v>
      </c>
      <c r="BW130" s="230">
        <v>157272</v>
      </c>
      <c r="BX130" s="229">
        <v>6.1800000000000001E-2</v>
      </c>
      <c r="BY130" s="230">
        <v>3228</v>
      </c>
      <c r="BZ130" s="230">
        <v>3301</v>
      </c>
      <c r="CA130" s="228">
        <v>-73</v>
      </c>
      <c r="CB130" s="229">
        <v>-2.1999999999999999E-2</v>
      </c>
      <c r="CC130" s="230">
        <v>3095</v>
      </c>
      <c r="CD130" s="230">
        <v>3167</v>
      </c>
      <c r="CE130" s="228">
        <v>-72</v>
      </c>
      <c r="CF130" s="229">
        <v>-2.2700000000000001E-2</v>
      </c>
      <c r="CG130" s="228">
        <v>113</v>
      </c>
      <c r="CH130" s="228">
        <v>114</v>
      </c>
      <c r="CI130" s="228">
        <v>-1</v>
      </c>
      <c r="CJ130" s="229">
        <v>-1.01E-2</v>
      </c>
      <c r="CK130" s="228">
        <v>20</v>
      </c>
      <c r="CL130" s="228">
        <v>19</v>
      </c>
      <c r="CM130" s="228">
        <v>0</v>
      </c>
      <c r="CN130" s="229">
        <v>1.49E-2</v>
      </c>
      <c r="CO130" s="230">
        <v>2188</v>
      </c>
      <c r="CP130" s="230">
        <v>2130</v>
      </c>
      <c r="CQ130" s="228">
        <v>58</v>
      </c>
      <c r="CR130" s="229">
        <v>2.7300000000000001E-2</v>
      </c>
      <c r="CS130" s="230">
        <v>1651</v>
      </c>
      <c r="CT130" s="230">
        <v>1419</v>
      </c>
      <c r="CU130" s="228">
        <v>232</v>
      </c>
      <c r="CV130" s="229">
        <v>0.16370000000000001</v>
      </c>
      <c r="CW130" s="230">
        <v>7068</v>
      </c>
      <c r="CX130" s="230">
        <v>6850</v>
      </c>
      <c r="CY130" s="228">
        <v>218</v>
      </c>
      <c r="CZ130" s="229">
        <v>3.1800000000000002E-2</v>
      </c>
      <c r="DA130" s="228">
        <v>31.98</v>
      </c>
      <c r="DB130" s="228">
        <v>32.340000000000003</v>
      </c>
      <c r="DC130" s="228">
        <v>-0.36</v>
      </c>
      <c r="DD130" s="228">
        <v>-0.36</v>
      </c>
      <c r="DE130" s="228">
        <v>44.71</v>
      </c>
      <c r="DF130" s="228">
        <v>44.68</v>
      </c>
      <c r="DG130" s="228">
        <v>-12.73</v>
      </c>
      <c r="DH130" s="228">
        <v>0.03</v>
      </c>
      <c r="DI130" s="228">
        <v>31.54</v>
      </c>
      <c r="DJ130" s="228">
        <v>32.049999999999997</v>
      </c>
      <c r="DK130" s="228">
        <v>-0.51</v>
      </c>
      <c r="DL130" s="228">
        <v>-0.51</v>
      </c>
      <c r="DM130" s="228">
        <v>32.950000000000003</v>
      </c>
      <c r="DN130" s="228">
        <v>33.020000000000003</v>
      </c>
      <c r="DO130" s="228">
        <v>-7.0000000000000007E-2</v>
      </c>
      <c r="DP130" s="228">
        <v>-7.0000000000000007E-2</v>
      </c>
      <c r="DQ130" s="228">
        <v>0.75</v>
      </c>
      <c r="DR130" s="228">
        <v>0.67</v>
      </c>
      <c r="DS130" s="228">
        <v>0.08</v>
      </c>
      <c r="DT130" s="229">
        <v>0.11940000000000001</v>
      </c>
      <c r="DU130" s="231">
        <v>2400</v>
      </c>
      <c r="DV130" s="231">
        <v>2100</v>
      </c>
      <c r="DW130" s="228">
        <v>0.46</v>
      </c>
      <c r="DX130" s="228">
        <v>0.41</v>
      </c>
      <c r="DY130" s="228">
        <v>0.05</v>
      </c>
      <c r="DZ130" s="229">
        <v>0.122</v>
      </c>
      <c r="EA130" s="229">
        <v>4.1099999999999998E-2</v>
      </c>
      <c r="EB130" s="230">
        <v>578750</v>
      </c>
      <c r="EC130" s="229">
        <v>5.1999999999999998E-3</v>
      </c>
      <c r="ED130" s="229">
        <v>4.1099999999999998E-2</v>
      </c>
      <c r="EE130" s="228">
        <v>13.99</v>
      </c>
      <c r="EF130" s="229">
        <v>6.1000000000000004E-3</v>
      </c>
      <c r="EG130" s="230">
        <v>980578</v>
      </c>
      <c r="EH130" s="230">
        <v>1031086</v>
      </c>
      <c r="EI130" s="229">
        <v>-4.9000000000000002E-2</v>
      </c>
      <c r="EJ130" s="229">
        <v>0.36270000000000002</v>
      </c>
      <c r="EK130" s="231">
        <v>6851.27</v>
      </c>
      <c r="EL130" s="231">
        <v>2890.21</v>
      </c>
      <c r="EM130" s="231">
        <v>1151.1400000000001</v>
      </c>
      <c r="EN130" s="228">
        <v>155.09</v>
      </c>
      <c r="EO130" s="231">
        <v>10892.61</v>
      </c>
      <c r="EP130" s="231">
        <v>7684.77</v>
      </c>
      <c r="EQ130" s="231">
        <v>3207.84</v>
      </c>
      <c r="ER130" s="229">
        <v>0.41739999999999999</v>
      </c>
      <c r="ES130" s="231">
        <v>2205.7399999999998</v>
      </c>
      <c r="ET130" s="231">
        <v>1513.73</v>
      </c>
      <c r="EU130" s="231">
        <v>3229.04</v>
      </c>
      <c r="EV130" s="231">
        <v>38177110</v>
      </c>
      <c r="EW130" s="231">
        <v>6948.52</v>
      </c>
      <c r="EX130" s="231">
        <v>6634.96</v>
      </c>
      <c r="EY130" s="228">
        <v>313.56</v>
      </c>
      <c r="EZ130" s="229">
        <v>4.7300000000000002E-2</v>
      </c>
      <c r="FA130" s="229">
        <v>0.8014</v>
      </c>
      <c r="FB130" s="227" t="s">
        <v>556</v>
      </c>
      <c r="FC130">
        <f t="shared" si="1"/>
        <v>133</v>
      </c>
    </row>
    <row r="131" spans="1:159" ht="17.25" thickBot="1" x14ac:dyDescent="0.3">
      <c r="A131" s="226">
        <v>46029</v>
      </c>
      <c r="B131" s="227" t="s">
        <v>175</v>
      </c>
      <c r="C131" s="227" t="s">
        <v>257</v>
      </c>
      <c r="D131" s="228">
        <v>400</v>
      </c>
      <c r="E131" s="228">
        <v>20</v>
      </c>
      <c r="F131" s="231">
        <v>1735.2</v>
      </c>
      <c r="G131" s="231">
        <v>1740.6</v>
      </c>
      <c r="H131" s="228">
        <v>-5.4</v>
      </c>
      <c r="I131" s="229">
        <v>-3.0999999999999999E-3</v>
      </c>
      <c r="J131" s="231">
        <v>1727.1</v>
      </c>
      <c r="K131" s="231">
        <v>1731.3</v>
      </c>
      <c r="L131" s="228">
        <v>-4.2</v>
      </c>
      <c r="M131" s="229">
        <v>-2.3999999999999998E-3</v>
      </c>
      <c r="N131" s="231">
        <v>1735.2</v>
      </c>
      <c r="O131" s="231">
        <v>1740.6</v>
      </c>
      <c r="P131" s="228">
        <v>-5.4</v>
      </c>
      <c r="Q131" s="229">
        <v>-3.0999999999999999E-3</v>
      </c>
      <c r="R131" s="231">
        <v>1743.1</v>
      </c>
      <c r="S131" s="231">
        <v>1751.4</v>
      </c>
      <c r="T131" s="228">
        <v>-8.3000000000000007</v>
      </c>
      <c r="U131" s="229">
        <v>-4.7000000000000002E-3</v>
      </c>
      <c r="V131" s="231">
        <v>1762.7</v>
      </c>
      <c r="W131" s="231">
        <v>1762</v>
      </c>
      <c r="X131" s="228">
        <v>0.7</v>
      </c>
      <c r="Y131" s="229">
        <v>4.0000000000000002E-4</v>
      </c>
      <c r="Z131" s="228">
        <v>8.1</v>
      </c>
      <c r="AA131" s="228">
        <v>9.3000000000000007</v>
      </c>
      <c r="AB131" s="228">
        <v>-1.2</v>
      </c>
      <c r="AC131" s="229">
        <v>4.7000000000000002E-3</v>
      </c>
      <c r="AD131" s="228">
        <v>8.1</v>
      </c>
      <c r="AE131" s="228">
        <v>9.3000000000000007</v>
      </c>
      <c r="AF131" s="228">
        <v>-1.2</v>
      </c>
      <c r="AG131" s="229">
        <v>4.7000000000000002E-3</v>
      </c>
      <c r="AH131" s="228">
        <v>16</v>
      </c>
      <c r="AI131" s="228">
        <v>20.100000000000001</v>
      </c>
      <c r="AJ131" s="228">
        <v>-4.0999999999999996</v>
      </c>
      <c r="AK131" s="229">
        <v>9.2999999999999992E-3</v>
      </c>
      <c r="AL131" s="228">
        <v>35.6</v>
      </c>
      <c r="AM131" s="228">
        <v>30.7</v>
      </c>
      <c r="AN131" s="228">
        <v>4.9000000000000004</v>
      </c>
      <c r="AO131" s="229">
        <v>2.06E-2</v>
      </c>
      <c r="AP131" s="231">
        <v>1743.17</v>
      </c>
      <c r="AQ131" s="231">
        <v>1754.29</v>
      </c>
      <c r="AR131" s="228">
        <v>0</v>
      </c>
      <c r="AS131" s="228">
        <v>190</v>
      </c>
      <c r="AT131" s="228">
        <v>338</v>
      </c>
      <c r="AU131" s="228">
        <v>-148</v>
      </c>
      <c r="AV131" s="229">
        <v>-0.437</v>
      </c>
      <c r="AW131" s="228">
        <v>187</v>
      </c>
      <c r="AX131" s="228">
        <v>330</v>
      </c>
      <c r="AY131" s="228">
        <v>-143</v>
      </c>
      <c r="AZ131" s="229">
        <v>-0.43240000000000001</v>
      </c>
      <c r="BA131" s="228">
        <v>3</v>
      </c>
      <c r="BB131" s="228">
        <v>7</v>
      </c>
      <c r="BC131" s="228">
        <v>-4</v>
      </c>
      <c r="BD131" s="229">
        <v>-0.62139999999999995</v>
      </c>
      <c r="BE131" s="228">
        <v>0</v>
      </c>
      <c r="BF131" s="228">
        <v>1</v>
      </c>
      <c r="BG131" s="228">
        <v>-1</v>
      </c>
      <c r="BH131" s="229">
        <v>-0.66669999999999996</v>
      </c>
      <c r="BI131" s="228">
        <v>493</v>
      </c>
      <c r="BJ131" s="228">
        <v>970</v>
      </c>
      <c r="BK131" s="228">
        <v>-477</v>
      </c>
      <c r="BL131" s="229">
        <v>-0.49159999999999998</v>
      </c>
      <c r="BM131" s="228">
        <v>117</v>
      </c>
      <c r="BN131" s="228">
        <v>222</v>
      </c>
      <c r="BO131" s="228">
        <v>-106</v>
      </c>
      <c r="BP131" s="229">
        <v>-0.47599999999999998</v>
      </c>
      <c r="BQ131" s="228">
        <v>800</v>
      </c>
      <c r="BR131" s="230">
        <v>1531</v>
      </c>
      <c r="BS131" s="228">
        <v>-731</v>
      </c>
      <c r="BT131" s="229">
        <v>-0.4773</v>
      </c>
      <c r="BU131" s="230">
        <v>907412</v>
      </c>
      <c r="BV131" s="230">
        <v>1374903</v>
      </c>
      <c r="BW131" s="230">
        <v>-467491</v>
      </c>
      <c r="BX131" s="229">
        <v>-0.34</v>
      </c>
      <c r="BY131" s="230">
        <v>1560</v>
      </c>
      <c r="BZ131" s="230">
        <v>1527</v>
      </c>
      <c r="CA131" s="228">
        <v>32</v>
      </c>
      <c r="CB131" s="229">
        <v>2.12E-2</v>
      </c>
      <c r="CC131" s="230">
        <v>1553</v>
      </c>
      <c r="CD131" s="230">
        <v>1522</v>
      </c>
      <c r="CE131" s="228">
        <v>32</v>
      </c>
      <c r="CF131" s="229">
        <v>2.0799999999999999E-2</v>
      </c>
      <c r="CG131" s="228">
        <v>6</v>
      </c>
      <c r="CH131" s="228">
        <v>5</v>
      </c>
      <c r="CI131" s="228">
        <v>1</v>
      </c>
      <c r="CJ131" s="229">
        <v>0.12330000000000001</v>
      </c>
      <c r="CK131" s="228">
        <v>1</v>
      </c>
      <c r="CL131" s="228">
        <v>1</v>
      </c>
      <c r="CM131" s="228">
        <v>0</v>
      </c>
      <c r="CN131" s="229">
        <v>0.25</v>
      </c>
      <c r="CO131" s="228">
        <v>252</v>
      </c>
      <c r="CP131" s="228">
        <v>205</v>
      </c>
      <c r="CQ131" s="228">
        <v>47</v>
      </c>
      <c r="CR131" s="229">
        <v>0.2316</v>
      </c>
      <c r="CS131" s="228">
        <v>172</v>
      </c>
      <c r="CT131" s="228">
        <v>154</v>
      </c>
      <c r="CU131" s="228">
        <v>18</v>
      </c>
      <c r="CV131" s="229">
        <v>0.11849999999999999</v>
      </c>
      <c r="CW131" s="230">
        <v>1984</v>
      </c>
      <c r="CX131" s="230">
        <v>1886</v>
      </c>
      <c r="CY131" s="228">
        <v>98</v>
      </c>
      <c r="CZ131" s="229">
        <v>5.1999999999999998E-2</v>
      </c>
      <c r="DA131" s="228">
        <v>25.11</v>
      </c>
      <c r="DB131" s="228">
        <v>24.96</v>
      </c>
      <c r="DC131" s="228">
        <v>0.15</v>
      </c>
      <c r="DD131" s="228">
        <v>0.15</v>
      </c>
      <c r="DE131" s="228">
        <v>29.42</v>
      </c>
      <c r="DF131" s="228">
        <v>29.49</v>
      </c>
      <c r="DG131" s="228">
        <v>-4.3099999999999996</v>
      </c>
      <c r="DH131" s="228">
        <v>-7.0000000000000007E-2</v>
      </c>
      <c r="DI131" s="228">
        <v>25.16</v>
      </c>
      <c r="DJ131" s="228">
        <v>24.99</v>
      </c>
      <c r="DK131" s="228">
        <v>0.17</v>
      </c>
      <c r="DL131" s="228">
        <v>0.17</v>
      </c>
      <c r="DM131" s="228">
        <v>24.87</v>
      </c>
      <c r="DN131" s="228">
        <v>24.82</v>
      </c>
      <c r="DO131" s="228">
        <v>0.05</v>
      </c>
      <c r="DP131" s="228">
        <v>0.05</v>
      </c>
      <c r="DQ131" s="228">
        <v>0.68</v>
      </c>
      <c r="DR131" s="228">
        <v>0.75</v>
      </c>
      <c r="DS131" s="228">
        <v>-7.0000000000000007E-2</v>
      </c>
      <c r="DT131" s="229">
        <v>-9.3299999999999994E-2</v>
      </c>
      <c r="DU131" s="231">
        <v>1840</v>
      </c>
      <c r="DV131" s="231">
        <v>1620</v>
      </c>
      <c r="DW131" s="228">
        <v>0.24</v>
      </c>
      <c r="DX131" s="228">
        <v>0.23</v>
      </c>
      <c r="DY131" s="228">
        <v>0.01</v>
      </c>
      <c r="DZ131" s="229">
        <v>4.3499999999999997E-2</v>
      </c>
      <c r="EA131" s="229">
        <v>4.1000000000000003E-3</v>
      </c>
      <c r="EB131" s="230">
        <v>32400</v>
      </c>
      <c r="EC131" s="229">
        <v>4.5999999999999999E-3</v>
      </c>
      <c r="ED131" s="229">
        <v>4.1000000000000003E-3</v>
      </c>
      <c r="EE131" s="228">
        <v>11.12</v>
      </c>
      <c r="EF131" s="229">
        <v>6.4000000000000003E-3</v>
      </c>
      <c r="EG131" s="230">
        <v>543741</v>
      </c>
      <c r="EH131" s="230">
        <v>799669</v>
      </c>
      <c r="EI131" s="229">
        <v>-0.32</v>
      </c>
      <c r="EJ131" s="229">
        <v>0.59919999999999995</v>
      </c>
      <c r="EK131" s="228">
        <v>516.6</v>
      </c>
      <c r="EL131" s="228">
        <v>113.77</v>
      </c>
      <c r="EM131" s="228">
        <v>191.21</v>
      </c>
      <c r="EN131" s="228">
        <v>27.38</v>
      </c>
      <c r="EO131" s="228">
        <v>821.59</v>
      </c>
      <c r="EP131" s="231">
        <v>1562.03</v>
      </c>
      <c r="EQ131" s="228">
        <v>-740.44</v>
      </c>
      <c r="ER131" s="229">
        <v>-0.47399999999999998</v>
      </c>
      <c r="ES131" s="228">
        <v>259.83999999999997</v>
      </c>
      <c r="ET131" s="228">
        <v>162.94999999999999</v>
      </c>
      <c r="EU131" s="231">
        <v>1559.7</v>
      </c>
      <c r="EV131" s="231">
        <v>33919851</v>
      </c>
      <c r="EW131" s="231">
        <v>1982.49</v>
      </c>
      <c r="EX131" s="231">
        <v>1886.7</v>
      </c>
      <c r="EY131" s="228">
        <v>95.79</v>
      </c>
      <c r="EZ131" s="229">
        <v>5.0799999999999998E-2</v>
      </c>
      <c r="FA131" s="229">
        <v>0.3372</v>
      </c>
      <c r="FB131" s="227" t="s">
        <v>567</v>
      </c>
      <c r="FC131">
        <f t="shared" ref="FC131:FC147" si="2">BY131-CC131</f>
        <v>7</v>
      </c>
    </row>
    <row r="132" spans="1:159" ht="17.25" thickBot="1" x14ac:dyDescent="0.3">
      <c r="A132" s="226">
        <v>46029</v>
      </c>
      <c r="B132" s="227" t="s">
        <v>181</v>
      </c>
      <c r="C132" s="227" t="s">
        <v>563</v>
      </c>
      <c r="D132" s="228">
        <v>120</v>
      </c>
      <c r="E132" s="228">
        <v>20</v>
      </c>
      <c r="F132" s="231">
        <v>14113.4</v>
      </c>
      <c r="G132" s="231">
        <v>14007.65</v>
      </c>
      <c r="H132" s="228">
        <v>105.75</v>
      </c>
      <c r="I132" s="229">
        <v>7.4999999999999997E-3</v>
      </c>
      <c r="J132" s="231">
        <v>14053.4</v>
      </c>
      <c r="K132" s="231">
        <v>13957.1</v>
      </c>
      <c r="L132" s="228">
        <v>96.3</v>
      </c>
      <c r="M132" s="229">
        <v>6.8999999999999999E-3</v>
      </c>
      <c r="N132" s="231">
        <v>14113.4</v>
      </c>
      <c r="O132" s="231">
        <v>14007.65</v>
      </c>
      <c r="P132" s="228">
        <v>105.75</v>
      </c>
      <c r="Q132" s="229">
        <v>7.4999999999999997E-3</v>
      </c>
      <c r="R132" s="231">
        <v>14174.4</v>
      </c>
      <c r="S132" s="231">
        <v>14068.2</v>
      </c>
      <c r="T132" s="228">
        <v>106.2</v>
      </c>
      <c r="U132" s="229">
        <v>7.4999999999999997E-3</v>
      </c>
      <c r="V132" s="231">
        <v>14225.65</v>
      </c>
      <c r="W132" s="231">
        <v>14125.3</v>
      </c>
      <c r="X132" s="228">
        <v>100.35</v>
      </c>
      <c r="Y132" s="229">
        <v>7.1000000000000004E-3</v>
      </c>
      <c r="Z132" s="228">
        <v>60</v>
      </c>
      <c r="AA132" s="228">
        <v>50.55</v>
      </c>
      <c r="AB132" s="228">
        <v>9.4499999999999993</v>
      </c>
      <c r="AC132" s="229">
        <v>4.3E-3</v>
      </c>
      <c r="AD132" s="228">
        <v>60</v>
      </c>
      <c r="AE132" s="228">
        <v>50.55</v>
      </c>
      <c r="AF132" s="228">
        <v>9.4499999999999993</v>
      </c>
      <c r="AG132" s="229">
        <v>4.3E-3</v>
      </c>
      <c r="AH132" s="228">
        <v>121</v>
      </c>
      <c r="AI132" s="228">
        <v>111.1</v>
      </c>
      <c r="AJ132" s="228">
        <v>9.9</v>
      </c>
      <c r="AK132" s="229">
        <v>8.6E-3</v>
      </c>
      <c r="AL132" s="228">
        <v>172.25</v>
      </c>
      <c r="AM132" s="228">
        <v>168.2</v>
      </c>
      <c r="AN132" s="228">
        <v>4.05</v>
      </c>
      <c r="AO132" s="229">
        <v>1.23E-2</v>
      </c>
      <c r="AP132" s="231">
        <v>14077.37</v>
      </c>
      <c r="AQ132" s="231">
        <v>14141.56</v>
      </c>
      <c r="AR132" s="228">
        <v>0</v>
      </c>
      <c r="AS132" s="228">
        <v>968</v>
      </c>
      <c r="AT132" s="228">
        <v>890</v>
      </c>
      <c r="AU132" s="228">
        <v>79</v>
      </c>
      <c r="AV132" s="229">
        <v>8.8499999999999995E-2</v>
      </c>
      <c r="AW132" s="228">
        <v>923</v>
      </c>
      <c r="AX132" s="228">
        <v>853</v>
      </c>
      <c r="AY132" s="228">
        <v>71</v>
      </c>
      <c r="AZ132" s="229">
        <v>8.3000000000000004E-2</v>
      </c>
      <c r="BA132" s="228">
        <v>38</v>
      </c>
      <c r="BB132" s="228">
        <v>34</v>
      </c>
      <c r="BC132" s="228">
        <v>4</v>
      </c>
      <c r="BD132" s="229">
        <v>0.13070000000000001</v>
      </c>
      <c r="BE132" s="228">
        <v>7</v>
      </c>
      <c r="BF132" s="228">
        <v>3</v>
      </c>
      <c r="BG132" s="228">
        <v>4</v>
      </c>
      <c r="BH132" s="229">
        <v>1.05</v>
      </c>
      <c r="BI132" s="230">
        <v>25358</v>
      </c>
      <c r="BJ132" s="230">
        <v>15417</v>
      </c>
      <c r="BK132" s="230">
        <v>9940</v>
      </c>
      <c r="BL132" s="229">
        <v>0.64480000000000004</v>
      </c>
      <c r="BM132" s="230">
        <v>27430</v>
      </c>
      <c r="BN132" s="230">
        <v>16940</v>
      </c>
      <c r="BO132" s="230">
        <v>10490</v>
      </c>
      <c r="BP132" s="229">
        <v>0.61919999999999997</v>
      </c>
      <c r="BQ132" s="230">
        <v>53756</v>
      </c>
      <c r="BR132" s="230">
        <v>33247</v>
      </c>
      <c r="BS132" s="230">
        <v>20509</v>
      </c>
      <c r="BT132" s="229">
        <v>0.6169</v>
      </c>
      <c r="BU132" s="228">
        <v>0</v>
      </c>
      <c r="BV132" s="228">
        <v>0</v>
      </c>
      <c r="BW132" s="228">
        <v>0</v>
      </c>
      <c r="BX132" s="229">
        <v>0</v>
      </c>
      <c r="BY132" s="230">
        <v>3315</v>
      </c>
      <c r="BZ132" s="230">
        <v>3310</v>
      </c>
      <c r="CA132" s="228">
        <v>5</v>
      </c>
      <c r="CB132" s="229">
        <v>1.5E-3</v>
      </c>
      <c r="CC132" s="230">
        <v>3211</v>
      </c>
      <c r="CD132" s="230">
        <v>3209</v>
      </c>
      <c r="CE132" s="228">
        <v>2</v>
      </c>
      <c r="CF132" s="229">
        <v>6.9999999999999999E-4</v>
      </c>
      <c r="CG132" s="228">
        <v>92</v>
      </c>
      <c r="CH132" s="228">
        <v>89</v>
      </c>
      <c r="CI132" s="228">
        <v>3</v>
      </c>
      <c r="CJ132" s="229">
        <v>3.04E-2</v>
      </c>
      <c r="CK132" s="228">
        <v>11</v>
      </c>
      <c r="CL132" s="228">
        <v>12</v>
      </c>
      <c r="CM132" s="228">
        <v>0</v>
      </c>
      <c r="CN132" s="229">
        <v>-1.47E-2</v>
      </c>
      <c r="CO132" s="230">
        <v>9518</v>
      </c>
      <c r="CP132" s="230">
        <v>8323</v>
      </c>
      <c r="CQ132" s="230">
        <v>1196</v>
      </c>
      <c r="CR132" s="229">
        <v>0.14360000000000001</v>
      </c>
      <c r="CS132" s="230">
        <v>11294</v>
      </c>
      <c r="CT132" s="230">
        <v>9340</v>
      </c>
      <c r="CU132" s="230">
        <v>1954</v>
      </c>
      <c r="CV132" s="229">
        <v>0.2092</v>
      </c>
      <c r="CW132" s="230">
        <v>24127</v>
      </c>
      <c r="CX132" s="230">
        <v>20972</v>
      </c>
      <c r="CY132" s="230">
        <v>3155</v>
      </c>
      <c r="CZ132" s="229">
        <v>0.15040000000000001</v>
      </c>
      <c r="DA132" s="228">
        <v>14.89</v>
      </c>
      <c r="DB132" s="228">
        <v>14.64</v>
      </c>
      <c r="DC132" s="228">
        <v>0.25</v>
      </c>
      <c r="DD132" s="228">
        <v>0.25</v>
      </c>
      <c r="DE132" s="228">
        <v>21.39</v>
      </c>
      <c r="DF132" s="228">
        <v>21.42</v>
      </c>
      <c r="DG132" s="228">
        <v>-6.5</v>
      </c>
      <c r="DH132" s="228">
        <v>-0.03</v>
      </c>
      <c r="DI132" s="228">
        <v>13.97</v>
      </c>
      <c r="DJ132" s="228">
        <v>13.95</v>
      </c>
      <c r="DK132" s="228">
        <v>0.02</v>
      </c>
      <c r="DL132" s="228">
        <v>0.02</v>
      </c>
      <c r="DM132" s="228">
        <v>15.74</v>
      </c>
      <c r="DN132" s="228">
        <v>15.26</v>
      </c>
      <c r="DO132" s="228">
        <v>0.48</v>
      </c>
      <c r="DP132" s="228">
        <v>0.48</v>
      </c>
      <c r="DQ132" s="228">
        <v>1.19</v>
      </c>
      <c r="DR132" s="228">
        <v>1.1200000000000001</v>
      </c>
      <c r="DS132" s="228">
        <v>7.0000000000000007E-2</v>
      </c>
      <c r="DT132" s="229">
        <v>6.25E-2</v>
      </c>
      <c r="DU132" s="231">
        <v>14500</v>
      </c>
      <c r="DV132" s="231">
        <v>13700</v>
      </c>
      <c r="DW132" s="228">
        <v>1.08</v>
      </c>
      <c r="DX132" s="228">
        <v>1.1000000000000001</v>
      </c>
      <c r="DY132" s="228">
        <v>-0.02</v>
      </c>
      <c r="DZ132" s="229">
        <v>-1.8200000000000001E-2</v>
      </c>
      <c r="EA132" s="229">
        <v>3.1199999999999999E-2</v>
      </c>
      <c r="EB132" s="230">
        <v>71400</v>
      </c>
      <c r="EC132" s="229">
        <v>4.3E-3</v>
      </c>
      <c r="ED132" s="229">
        <v>3.1199999999999999E-2</v>
      </c>
      <c r="EE132" s="228">
        <v>64.19</v>
      </c>
      <c r="EF132" s="229">
        <v>4.5999999999999999E-3</v>
      </c>
      <c r="EG132" s="228">
        <v>0</v>
      </c>
      <c r="EH132" s="228">
        <v>0</v>
      </c>
      <c r="EI132" s="229">
        <v>0</v>
      </c>
      <c r="EJ132" s="229">
        <v>0</v>
      </c>
      <c r="EK132" s="231">
        <v>25854.66</v>
      </c>
      <c r="EL132" s="231">
        <v>26845.45</v>
      </c>
      <c r="EM132" s="228">
        <v>966.17</v>
      </c>
      <c r="EN132" s="228">
        <v>0</v>
      </c>
      <c r="EO132" s="231">
        <v>53666.28</v>
      </c>
      <c r="EP132" s="231">
        <v>33167.160000000003</v>
      </c>
      <c r="EQ132" s="231">
        <v>20499.12</v>
      </c>
      <c r="ER132" s="229">
        <v>0.61809999999999998</v>
      </c>
      <c r="ES132" s="231">
        <v>9647.06</v>
      </c>
      <c r="ET132" s="231">
        <v>10823.06</v>
      </c>
      <c r="EU132" s="231">
        <v>3315.05</v>
      </c>
      <c r="EV132" s="228">
        <v>0</v>
      </c>
      <c r="EW132" s="231">
        <v>23785.16</v>
      </c>
      <c r="EX132" s="231">
        <v>20630.55</v>
      </c>
      <c r="EY132" s="231">
        <v>3154.61</v>
      </c>
      <c r="EZ132" s="229">
        <v>0.15290000000000001</v>
      </c>
      <c r="FA132" s="229">
        <v>0</v>
      </c>
      <c r="FB132" s="227" t="s">
        <v>555</v>
      </c>
      <c r="FC132">
        <f t="shared" si="2"/>
        <v>104</v>
      </c>
    </row>
    <row r="133" spans="1:159" ht="17.25" thickBot="1" x14ac:dyDescent="0.3">
      <c r="A133" s="226">
        <v>46029</v>
      </c>
      <c r="B133" s="227" t="s">
        <v>162</v>
      </c>
      <c r="C133" s="227" t="s">
        <v>559</v>
      </c>
      <c r="D133" s="228">
        <v>6150</v>
      </c>
      <c r="E133" s="228">
        <v>20</v>
      </c>
      <c r="F133" s="228">
        <v>119.82</v>
      </c>
      <c r="G133" s="228">
        <v>121.41</v>
      </c>
      <c r="H133" s="228">
        <v>-1.59</v>
      </c>
      <c r="I133" s="229">
        <v>-1.3100000000000001E-2</v>
      </c>
      <c r="J133" s="228">
        <v>119.35</v>
      </c>
      <c r="K133" s="228">
        <v>120.83</v>
      </c>
      <c r="L133" s="228">
        <v>-1.48</v>
      </c>
      <c r="M133" s="229">
        <v>-1.2200000000000001E-2</v>
      </c>
      <c r="N133" s="228">
        <v>119.82</v>
      </c>
      <c r="O133" s="228">
        <v>121.41</v>
      </c>
      <c r="P133" s="228">
        <v>-1.59</v>
      </c>
      <c r="Q133" s="229">
        <v>-1.3100000000000001E-2</v>
      </c>
      <c r="R133" s="228">
        <v>120.47</v>
      </c>
      <c r="S133" s="228">
        <v>122.03</v>
      </c>
      <c r="T133" s="228">
        <v>-1.56</v>
      </c>
      <c r="U133" s="229">
        <v>-1.2800000000000001E-2</v>
      </c>
      <c r="V133" s="228">
        <v>121.3</v>
      </c>
      <c r="W133" s="228">
        <v>122.54</v>
      </c>
      <c r="X133" s="228">
        <v>-1.24</v>
      </c>
      <c r="Y133" s="229">
        <v>-1.01E-2</v>
      </c>
      <c r="Z133" s="228">
        <v>0.47</v>
      </c>
      <c r="AA133" s="228">
        <v>0.57999999999999996</v>
      </c>
      <c r="AB133" s="228">
        <v>-0.11</v>
      </c>
      <c r="AC133" s="229">
        <v>3.8999999999999998E-3</v>
      </c>
      <c r="AD133" s="228">
        <v>0.47</v>
      </c>
      <c r="AE133" s="228">
        <v>0.57999999999999996</v>
      </c>
      <c r="AF133" s="228">
        <v>-0.11</v>
      </c>
      <c r="AG133" s="229">
        <v>3.8999999999999998E-3</v>
      </c>
      <c r="AH133" s="228">
        <v>1.1200000000000001</v>
      </c>
      <c r="AI133" s="228">
        <v>1.2</v>
      </c>
      <c r="AJ133" s="228">
        <v>-0.08</v>
      </c>
      <c r="AK133" s="229">
        <v>9.4000000000000004E-3</v>
      </c>
      <c r="AL133" s="228">
        <v>1.95</v>
      </c>
      <c r="AM133" s="228">
        <v>1.71</v>
      </c>
      <c r="AN133" s="228">
        <v>0.24</v>
      </c>
      <c r="AO133" s="229">
        <v>1.6299999999999999E-2</v>
      </c>
      <c r="AP133" s="228">
        <v>120.51</v>
      </c>
      <c r="AQ133" s="228">
        <v>120.96</v>
      </c>
      <c r="AR133" s="228">
        <v>0</v>
      </c>
      <c r="AS133" s="228">
        <v>197</v>
      </c>
      <c r="AT133" s="228">
        <v>240</v>
      </c>
      <c r="AU133" s="228">
        <v>-43</v>
      </c>
      <c r="AV133" s="229">
        <v>-0.18049999999999999</v>
      </c>
      <c r="AW133" s="228">
        <v>179</v>
      </c>
      <c r="AX133" s="228">
        <v>226</v>
      </c>
      <c r="AY133" s="228">
        <v>-47</v>
      </c>
      <c r="AZ133" s="229">
        <v>-0.20830000000000001</v>
      </c>
      <c r="BA133" s="228">
        <v>15</v>
      </c>
      <c r="BB133" s="228">
        <v>13</v>
      </c>
      <c r="BC133" s="228">
        <v>2</v>
      </c>
      <c r="BD133" s="229">
        <v>0.1552</v>
      </c>
      <c r="BE133" s="228">
        <v>3</v>
      </c>
      <c r="BF133" s="228">
        <v>1</v>
      </c>
      <c r="BG133" s="228">
        <v>2</v>
      </c>
      <c r="BH133" s="229">
        <v>1.4117999999999999</v>
      </c>
      <c r="BI133" s="228">
        <v>361</v>
      </c>
      <c r="BJ133" s="228">
        <v>370</v>
      </c>
      <c r="BK133" s="228">
        <v>-8</v>
      </c>
      <c r="BL133" s="229">
        <v>-2.23E-2</v>
      </c>
      <c r="BM133" s="228">
        <v>131</v>
      </c>
      <c r="BN133" s="228">
        <v>180</v>
      </c>
      <c r="BO133" s="228">
        <v>-49</v>
      </c>
      <c r="BP133" s="229">
        <v>-0.27189999999999998</v>
      </c>
      <c r="BQ133" s="228">
        <v>689</v>
      </c>
      <c r="BR133" s="228">
        <v>789</v>
      </c>
      <c r="BS133" s="228">
        <v>-100</v>
      </c>
      <c r="BT133" s="229">
        <v>-0.12720000000000001</v>
      </c>
      <c r="BU133" s="230">
        <v>9456716</v>
      </c>
      <c r="BV133" s="230">
        <v>19750472</v>
      </c>
      <c r="BW133" s="230">
        <v>-10293756</v>
      </c>
      <c r="BX133" s="229">
        <v>-0.5212</v>
      </c>
      <c r="BY133" s="230">
        <v>2060</v>
      </c>
      <c r="BZ133" s="230">
        <v>2026</v>
      </c>
      <c r="CA133" s="228">
        <v>34</v>
      </c>
      <c r="CB133" s="229">
        <v>1.67E-2</v>
      </c>
      <c r="CC133" s="230">
        <v>2009</v>
      </c>
      <c r="CD133" s="230">
        <v>1980</v>
      </c>
      <c r="CE133" s="228">
        <v>30</v>
      </c>
      <c r="CF133" s="229">
        <v>1.4999999999999999E-2</v>
      </c>
      <c r="CG133" s="228">
        <v>41</v>
      </c>
      <c r="CH133" s="228">
        <v>38</v>
      </c>
      <c r="CI133" s="228">
        <v>2</v>
      </c>
      <c r="CJ133" s="229">
        <v>5.7599999999999998E-2</v>
      </c>
      <c r="CK133" s="228">
        <v>10</v>
      </c>
      <c r="CL133" s="228">
        <v>8</v>
      </c>
      <c r="CM133" s="228">
        <v>2</v>
      </c>
      <c r="CN133" s="229">
        <v>0.2571</v>
      </c>
      <c r="CO133" s="228">
        <v>663</v>
      </c>
      <c r="CP133" s="228">
        <v>587</v>
      </c>
      <c r="CQ133" s="228">
        <v>76</v>
      </c>
      <c r="CR133" s="229">
        <v>0.1303</v>
      </c>
      <c r="CS133" s="228">
        <v>422</v>
      </c>
      <c r="CT133" s="228">
        <v>407</v>
      </c>
      <c r="CU133" s="228">
        <v>15</v>
      </c>
      <c r="CV133" s="229">
        <v>3.73E-2</v>
      </c>
      <c r="CW133" s="230">
        <v>3146</v>
      </c>
      <c r="CX133" s="230">
        <v>3020</v>
      </c>
      <c r="CY133" s="228">
        <v>125</v>
      </c>
      <c r="CZ133" s="229">
        <v>4.1599999999999998E-2</v>
      </c>
      <c r="DA133" s="228">
        <v>30.1</v>
      </c>
      <c r="DB133" s="228">
        <v>29.22</v>
      </c>
      <c r="DC133" s="228">
        <v>0.88</v>
      </c>
      <c r="DD133" s="228">
        <v>0.88</v>
      </c>
      <c r="DE133" s="228">
        <v>38.19</v>
      </c>
      <c r="DF133" s="228">
        <v>38.24</v>
      </c>
      <c r="DG133" s="228">
        <v>-8.09</v>
      </c>
      <c r="DH133" s="228">
        <v>-0.05</v>
      </c>
      <c r="DI133" s="228">
        <v>30.37</v>
      </c>
      <c r="DJ133" s="228">
        <v>29.46</v>
      </c>
      <c r="DK133" s="228">
        <v>0.91</v>
      </c>
      <c r="DL133" s="228">
        <v>0.91</v>
      </c>
      <c r="DM133" s="228">
        <v>29.37</v>
      </c>
      <c r="DN133" s="228">
        <v>28.72</v>
      </c>
      <c r="DO133" s="228">
        <v>0.65</v>
      </c>
      <c r="DP133" s="228">
        <v>0.65</v>
      </c>
      <c r="DQ133" s="228">
        <v>0.64</v>
      </c>
      <c r="DR133" s="228">
        <v>0.69</v>
      </c>
      <c r="DS133" s="228">
        <v>-0.05</v>
      </c>
      <c r="DT133" s="229">
        <v>-7.2499999999999995E-2</v>
      </c>
      <c r="DU133" s="228">
        <v>125</v>
      </c>
      <c r="DV133" s="228">
        <v>120</v>
      </c>
      <c r="DW133" s="228">
        <v>0.36</v>
      </c>
      <c r="DX133" s="228">
        <v>0.49</v>
      </c>
      <c r="DY133" s="228">
        <v>-0.13</v>
      </c>
      <c r="DZ133" s="229">
        <v>-0.26529999999999998</v>
      </c>
      <c r="EA133" s="229">
        <v>2.4400000000000002E-2</v>
      </c>
      <c r="EB133" s="230">
        <v>3849900</v>
      </c>
      <c r="EC133" s="229">
        <v>5.4000000000000003E-3</v>
      </c>
      <c r="ED133" s="229">
        <v>2.4400000000000002E-2</v>
      </c>
      <c r="EE133" s="228">
        <v>0.45</v>
      </c>
      <c r="EF133" s="229">
        <v>3.7000000000000002E-3</v>
      </c>
      <c r="EG133" s="230">
        <v>5270006</v>
      </c>
      <c r="EH133" s="230">
        <v>12945334</v>
      </c>
      <c r="EI133" s="229">
        <v>-0.59289999999999998</v>
      </c>
      <c r="EJ133" s="229">
        <v>0.55730000000000002</v>
      </c>
      <c r="EK133" s="228">
        <v>382.07</v>
      </c>
      <c r="EL133" s="228">
        <v>130.66999999999999</v>
      </c>
      <c r="EM133" s="228">
        <v>197.97</v>
      </c>
      <c r="EN133" s="228">
        <v>36.049999999999997</v>
      </c>
      <c r="EO133" s="228">
        <v>710.71</v>
      </c>
      <c r="EP133" s="228">
        <v>817.19</v>
      </c>
      <c r="EQ133" s="228">
        <v>-106.48</v>
      </c>
      <c r="ER133" s="229">
        <v>-0.1303</v>
      </c>
      <c r="ES133" s="228">
        <v>693.14</v>
      </c>
      <c r="ET133" s="228">
        <v>413.06</v>
      </c>
      <c r="EU133" s="231">
        <v>2060.1</v>
      </c>
      <c r="EV133" s="231">
        <v>606151620</v>
      </c>
      <c r="EW133" s="231">
        <v>3166.3</v>
      </c>
      <c r="EX133" s="231">
        <v>3066.23</v>
      </c>
      <c r="EY133" s="228">
        <v>100.07</v>
      </c>
      <c r="EZ133" s="229">
        <v>3.2599999999999997E-2</v>
      </c>
      <c r="FA133" s="229">
        <v>0.43309999999999998</v>
      </c>
      <c r="FB133" s="227" t="s">
        <v>567</v>
      </c>
      <c r="FC133">
        <f t="shared" si="2"/>
        <v>51</v>
      </c>
    </row>
    <row r="134" spans="1:159" ht="17.25" thickBot="1" x14ac:dyDescent="0.3">
      <c r="A134" s="226">
        <v>46029</v>
      </c>
      <c r="B134" s="227" t="s">
        <v>221</v>
      </c>
      <c r="C134" s="227" t="s">
        <v>487</v>
      </c>
      <c r="D134" s="228">
        <v>275</v>
      </c>
      <c r="E134" s="228">
        <v>20</v>
      </c>
      <c r="F134" s="231">
        <v>2886.6</v>
      </c>
      <c r="G134" s="231">
        <v>2828.8</v>
      </c>
      <c r="H134" s="228">
        <v>57.8</v>
      </c>
      <c r="I134" s="229">
        <v>2.0400000000000001E-2</v>
      </c>
      <c r="J134" s="231">
        <v>2874.8</v>
      </c>
      <c r="K134" s="231">
        <v>2816</v>
      </c>
      <c r="L134" s="228">
        <v>58.8</v>
      </c>
      <c r="M134" s="229">
        <v>2.0899999999999998E-2</v>
      </c>
      <c r="N134" s="231">
        <v>2886.6</v>
      </c>
      <c r="O134" s="231">
        <v>2828.8</v>
      </c>
      <c r="P134" s="228">
        <v>57.8</v>
      </c>
      <c r="Q134" s="229">
        <v>2.0400000000000001E-2</v>
      </c>
      <c r="R134" s="231">
        <v>2902.8</v>
      </c>
      <c r="S134" s="231">
        <v>2847.2</v>
      </c>
      <c r="T134" s="228">
        <v>55.6</v>
      </c>
      <c r="U134" s="229">
        <v>1.95E-2</v>
      </c>
      <c r="V134" s="231">
        <v>2921</v>
      </c>
      <c r="W134" s="231">
        <v>2858.9</v>
      </c>
      <c r="X134" s="228">
        <v>62.1</v>
      </c>
      <c r="Y134" s="229">
        <v>2.1700000000000001E-2</v>
      </c>
      <c r="Z134" s="228">
        <v>11.8</v>
      </c>
      <c r="AA134" s="228">
        <v>12.8</v>
      </c>
      <c r="AB134" s="228">
        <v>-1</v>
      </c>
      <c r="AC134" s="229">
        <v>4.1000000000000003E-3</v>
      </c>
      <c r="AD134" s="228">
        <v>11.8</v>
      </c>
      <c r="AE134" s="228">
        <v>12.8</v>
      </c>
      <c r="AF134" s="228">
        <v>-1</v>
      </c>
      <c r="AG134" s="229">
        <v>4.1000000000000003E-3</v>
      </c>
      <c r="AH134" s="228">
        <v>28</v>
      </c>
      <c r="AI134" s="228">
        <v>31.2</v>
      </c>
      <c r="AJ134" s="228">
        <v>-3.2</v>
      </c>
      <c r="AK134" s="229">
        <v>9.7000000000000003E-3</v>
      </c>
      <c r="AL134" s="228">
        <v>46.2</v>
      </c>
      <c r="AM134" s="228">
        <v>42.9</v>
      </c>
      <c r="AN134" s="228">
        <v>3.3</v>
      </c>
      <c r="AO134" s="229">
        <v>1.61E-2</v>
      </c>
      <c r="AP134" s="231">
        <v>2862.87</v>
      </c>
      <c r="AQ134" s="231">
        <v>2883.15</v>
      </c>
      <c r="AR134" s="228">
        <v>0</v>
      </c>
      <c r="AS134" s="228">
        <v>311</v>
      </c>
      <c r="AT134" s="228">
        <v>194</v>
      </c>
      <c r="AU134" s="228">
        <v>117</v>
      </c>
      <c r="AV134" s="229">
        <v>0.60319999999999996</v>
      </c>
      <c r="AW134" s="228">
        <v>299</v>
      </c>
      <c r="AX134" s="228">
        <v>190</v>
      </c>
      <c r="AY134" s="228">
        <v>109</v>
      </c>
      <c r="AZ134" s="229">
        <v>0.57340000000000002</v>
      </c>
      <c r="BA134" s="228">
        <v>11</v>
      </c>
      <c r="BB134" s="228">
        <v>4</v>
      </c>
      <c r="BC134" s="228">
        <v>7</v>
      </c>
      <c r="BD134" s="229">
        <v>1.7917000000000001</v>
      </c>
      <c r="BE134" s="228">
        <v>2</v>
      </c>
      <c r="BF134" s="228">
        <v>0</v>
      </c>
      <c r="BG134" s="228">
        <v>1</v>
      </c>
      <c r="BH134" s="229">
        <v>5.3333000000000004</v>
      </c>
      <c r="BI134" s="228">
        <v>938</v>
      </c>
      <c r="BJ134" s="228">
        <v>233</v>
      </c>
      <c r="BK134" s="228">
        <v>704</v>
      </c>
      <c r="BL134" s="229">
        <v>3.0169999999999999</v>
      </c>
      <c r="BM134" s="228">
        <v>148</v>
      </c>
      <c r="BN134" s="228">
        <v>91</v>
      </c>
      <c r="BO134" s="228">
        <v>57</v>
      </c>
      <c r="BP134" s="229">
        <v>0.628</v>
      </c>
      <c r="BQ134" s="230">
        <v>1397</v>
      </c>
      <c r="BR134" s="228">
        <v>518</v>
      </c>
      <c r="BS134" s="228">
        <v>879</v>
      </c>
      <c r="BT134" s="229">
        <v>1.6944999999999999</v>
      </c>
      <c r="BU134" s="230">
        <v>383992</v>
      </c>
      <c r="BV134" s="230">
        <v>380438</v>
      </c>
      <c r="BW134" s="230">
        <v>3554</v>
      </c>
      <c r="BX134" s="229">
        <v>9.2999999999999992E-3</v>
      </c>
      <c r="BY134" s="230">
        <v>1480</v>
      </c>
      <c r="BZ134" s="230">
        <v>1500</v>
      </c>
      <c r="CA134" s="228">
        <v>-21</v>
      </c>
      <c r="CB134" s="229">
        <v>-1.37E-2</v>
      </c>
      <c r="CC134" s="230">
        <v>1461</v>
      </c>
      <c r="CD134" s="230">
        <v>1486</v>
      </c>
      <c r="CE134" s="228">
        <v>-24</v>
      </c>
      <c r="CF134" s="229">
        <v>-1.6400000000000001E-2</v>
      </c>
      <c r="CG134" s="228">
        <v>17</v>
      </c>
      <c r="CH134" s="228">
        <v>14</v>
      </c>
      <c r="CI134" s="228">
        <v>4</v>
      </c>
      <c r="CJ134" s="229">
        <v>0.26740000000000003</v>
      </c>
      <c r="CK134" s="228">
        <v>1</v>
      </c>
      <c r="CL134" s="228">
        <v>1</v>
      </c>
      <c r="CM134" s="228">
        <v>0</v>
      </c>
      <c r="CN134" s="229">
        <v>0.22220000000000001</v>
      </c>
      <c r="CO134" s="228">
        <v>273</v>
      </c>
      <c r="CP134" s="228">
        <v>285</v>
      </c>
      <c r="CQ134" s="228">
        <v>-12</v>
      </c>
      <c r="CR134" s="229">
        <v>-4.3099999999999999E-2</v>
      </c>
      <c r="CS134" s="228">
        <v>192</v>
      </c>
      <c r="CT134" s="228">
        <v>184</v>
      </c>
      <c r="CU134" s="228">
        <v>8</v>
      </c>
      <c r="CV134" s="229">
        <v>4.2700000000000002E-2</v>
      </c>
      <c r="CW134" s="230">
        <v>1944</v>
      </c>
      <c r="CX134" s="230">
        <v>1969</v>
      </c>
      <c r="CY134" s="228">
        <v>-25</v>
      </c>
      <c r="CZ134" s="229">
        <v>-1.2699999999999999E-2</v>
      </c>
      <c r="DA134" s="228">
        <v>32.549999999999997</v>
      </c>
      <c r="DB134" s="228">
        <v>32.25</v>
      </c>
      <c r="DC134" s="228">
        <v>0.3</v>
      </c>
      <c r="DD134" s="228">
        <v>0.3</v>
      </c>
      <c r="DE134" s="228">
        <v>35.200000000000003</v>
      </c>
      <c r="DF134" s="228">
        <v>35.17</v>
      </c>
      <c r="DG134" s="228">
        <v>-2.65</v>
      </c>
      <c r="DH134" s="228">
        <v>0.03</v>
      </c>
      <c r="DI134" s="228">
        <v>32.43</v>
      </c>
      <c r="DJ134" s="228">
        <v>32.049999999999997</v>
      </c>
      <c r="DK134" s="228">
        <v>0.38</v>
      </c>
      <c r="DL134" s="228">
        <v>0.38</v>
      </c>
      <c r="DM134" s="228">
        <v>33.26</v>
      </c>
      <c r="DN134" s="228">
        <v>32.78</v>
      </c>
      <c r="DO134" s="228">
        <v>0.48</v>
      </c>
      <c r="DP134" s="228">
        <v>0.48</v>
      </c>
      <c r="DQ134" s="228">
        <v>0.7</v>
      </c>
      <c r="DR134" s="228">
        <v>0.64</v>
      </c>
      <c r="DS134" s="228">
        <v>0.06</v>
      </c>
      <c r="DT134" s="229">
        <v>9.3700000000000006E-2</v>
      </c>
      <c r="DU134" s="231">
        <v>3000</v>
      </c>
      <c r="DV134" s="231">
        <v>2800</v>
      </c>
      <c r="DW134" s="228">
        <v>0.16</v>
      </c>
      <c r="DX134" s="228">
        <v>0.39</v>
      </c>
      <c r="DY134" s="228">
        <v>-0.23</v>
      </c>
      <c r="DZ134" s="229">
        <v>-0.5897</v>
      </c>
      <c r="EA134" s="229">
        <v>1.23E-2</v>
      </c>
      <c r="EB134" s="230">
        <v>49775</v>
      </c>
      <c r="EC134" s="229">
        <v>5.5999999999999999E-3</v>
      </c>
      <c r="ED134" s="229">
        <v>1.23E-2</v>
      </c>
      <c r="EE134" s="228">
        <v>20.28</v>
      </c>
      <c r="EF134" s="229">
        <v>7.1000000000000004E-3</v>
      </c>
      <c r="EG134" s="230">
        <v>198282</v>
      </c>
      <c r="EH134" s="230">
        <v>178818</v>
      </c>
      <c r="EI134" s="229">
        <v>0.10879999999999999</v>
      </c>
      <c r="EJ134" s="229">
        <v>0.51639999999999997</v>
      </c>
      <c r="EK134" s="228">
        <v>984.55</v>
      </c>
      <c r="EL134" s="228">
        <v>141.13</v>
      </c>
      <c r="EM134" s="228">
        <v>308.32</v>
      </c>
      <c r="EN134" s="228">
        <v>17.809999999999999</v>
      </c>
      <c r="EO134" s="231">
        <v>1434</v>
      </c>
      <c r="EP134" s="228">
        <v>517.23</v>
      </c>
      <c r="EQ134" s="228">
        <v>916.77</v>
      </c>
      <c r="ER134" s="229">
        <v>1.7725</v>
      </c>
      <c r="ES134" s="228">
        <v>283.07</v>
      </c>
      <c r="ET134" s="228">
        <v>179.65</v>
      </c>
      <c r="EU134" s="231">
        <v>1479.62</v>
      </c>
      <c r="EV134" s="231">
        <v>17093933</v>
      </c>
      <c r="EW134" s="231">
        <v>1942.34</v>
      </c>
      <c r="EX134" s="231">
        <v>1935.71</v>
      </c>
      <c r="EY134" s="228">
        <v>6.63</v>
      </c>
      <c r="EZ134" s="229">
        <v>3.3999999999999998E-3</v>
      </c>
      <c r="FA134" s="229">
        <v>0.39400000000000002</v>
      </c>
      <c r="FB134" s="227" t="s">
        <v>556</v>
      </c>
      <c r="FC134">
        <f t="shared" si="2"/>
        <v>19</v>
      </c>
    </row>
    <row r="135" spans="1:159" ht="17.25" thickBot="1" x14ac:dyDescent="0.3">
      <c r="A135" s="226">
        <v>46029</v>
      </c>
      <c r="B135" s="227" t="s">
        <v>175</v>
      </c>
      <c r="C135" s="227" t="s">
        <v>262</v>
      </c>
      <c r="D135" s="228">
        <v>275</v>
      </c>
      <c r="E135" s="228">
        <v>20</v>
      </c>
      <c r="F135" s="231">
        <v>3973.1</v>
      </c>
      <c r="G135" s="231">
        <v>3960.4</v>
      </c>
      <c r="H135" s="228">
        <v>12.7</v>
      </c>
      <c r="I135" s="229">
        <v>3.2000000000000002E-3</v>
      </c>
      <c r="J135" s="231">
        <v>3960.1</v>
      </c>
      <c r="K135" s="231">
        <v>3940.7</v>
      </c>
      <c r="L135" s="228">
        <v>19.399999999999999</v>
      </c>
      <c r="M135" s="229">
        <v>4.8999999999999998E-3</v>
      </c>
      <c r="N135" s="231">
        <v>3973.1</v>
      </c>
      <c r="O135" s="231">
        <v>3960.4</v>
      </c>
      <c r="P135" s="228">
        <v>12.7</v>
      </c>
      <c r="Q135" s="229">
        <v>3.2000000000000002E-3</v>
      </c>
      <c r="R135" s="231">
        <v>3989.7</v>
      </c>
      <c r="S135" s="231">
        <v>3976.1</v>
      </c>
      <c r="T135" s="228">
        <v>13.6</v>
      </c>
      <c r="U135" s="229">
        <v>3.3999999999999998E-3</v>
      </c>
      <c r="V135" s="231">
        <v>4003.7</v>
      </c>
      <c r="W135" s="231">
        <v>3971.8</v>
      </c>
      <c r="X135" s="228">
        <v>31.9</v>
      </c>
      <c r="Y135" s="229">
        <v>8.0000000000000002E-3</v>
      </c>
      <c r="Z135" s="228">
        <v>13</v>
      </c>
      <c r="AA135" s="228">
        <v>19.7</v>
      </c>
      <c r="AB135" s="228">
        <v>-6.7</v>
      </c>
      <c r="AC135" s="229">
        <v>3.3E-3</v>
      </c>
      <c r="AD135" s="228">
        <v>13</v>
      </c>
      <c r="AE135" s="228">
        <v>19.7</v>
      </c>
      <c r="AF135" s="228">
        <v>-6.7</v>
      </c>
      <c r="AG135" s="229">
        <v>3.3E-3</v>
      </c>
      <c r="AH135" s="228">
        <v>29.6</v>
      </c>
      <c r="AI135" s="228">
        <v>35.4</v>
      </c>
      <c r="AJ135" s="228">
        <v>-5.8</v>
      </c>
      <c r="AK135" s="229">
        <v>7.4999999999999997E-3</v>
      </c>
      <c r="AL135" s="228">
        <v>43.6</v>
      </c>
      <c r="AM135" s="228">
        <v>31.1</v>
      </c>
      <c r="AN135" s="228">
        <v>12.5</v>
      </c>
      <c r="AO135" s="229">
        <v>1.0999999999999999E-2</v>
      </c>
      <c r="AP135" s="231">
        <v>3973.79</v>
      </c>
      <c r="AQ135" s="231">
        <v>3988.6</v>
      </c>
      <c r="AR135" s="228">
        <v>0</v>
      </c>
      <c r="AS135" s="228">
        <v>369</v>
      </c>
      <c r="AT135" s="228">
        <v>521</v>
      </c>
      <c r="AU135" s="228">
        <v>-152</v>
      </c>
      <c r="AV135" s="229">
        <v>-0.29099999999999998</v>
      </c>
      <c r="AW135" s="228">
        <v>350</v>
      </c>
      <c r="AX135" s="228">
        <v>494</v>
      </c>
      <c r="AY135" s="228">
        <v>-144</v>
      </c>
      <c r="AZ135" s="229">
        <v>-0.29149999999999998</v>
      </c>
      <c r="BA135" s="228">
        <v>17</v>
      </c>
      <c r="BB135" s="228">
        <v>23</v>
      </c>
      <c r="BC135" s="228">
        <v>-6</v>
      </c>
      <c r="BD135" s="229">
        <v>-0.26889999999999997</v>
      </c>
      <c r="BE135" s="228">
        <v>2</v>
      </c>
      <c r="BF135" s="228">
        <v>3</v>
      </c>
      <c r="BG135" s="228">
        <v>-1</v>
      </c>
      <c r="BH135" s="229">
        <v>-0.375</v>
      </c>
      <c r="BI135" s="230">
        <v>1740</v>
      </c>
      <c r="BJ135" s="230">
        <v>2856</v>
      </c>
      <c r="BK135" s="230">
        <v>-1116</v>
      </c>
      <c r="BL135" s="229">
        <v>-0.39069999999999999</v>
      </c>
      <c r="BM135" s="228">
        <v>829</v>
      </c>
      <c r="BN135" s="230">
        <v>1167</v>
      </c>
      <c r="BO135" s="228">
        <v>-338</v>
      </c>
      <c r="BP135" s="229">
        <v>-0.28970000000000001</v>
      </c>
      <c r="BQ135" s="230">
        <v>2938</v>
      </c>
      <c r="BR135" s="230">
        <v>4544</v>
      </c>
      <c r="BS135" s="230">
        <v>-1606</v>
      </c>
      <c r="BT135" s="229">
        <v>-0.35339999999999999</v>
      </c>
      <c r="BU135" s="230">
        <v>500497</v>
      </c>
      <c r="BV135" s="230">
        <v>643445</v>
      </c>
      <c r="BW135" s="230">
        <v>-142948</v>
      </c>
      <c r="BX135" s="229">
        <v>-0.22220000000000001</v>
      </c>
      <c r="BY135" s="230">
        <v>1469</v>
      </c>
      <c r="BZ135" s="230">
        <v>1486</v>
      </c>
      <c r="CA135" s="228">
        <v>-18</v>
      </c>
      <c r="CB135" s="229">
        <v>-1.18E-2</v>
      </c>
      <c r="CC135" s="230">
        <v>1423</v>
      </c>
      <c r="CD135" s="230">
        <v>1442</v>
      </c>
      <c r="CE135" s="228">
        <v>-19</v>
      </c>
      <c r="CF135" s="229">
        <v>-1.32E-2</v>
      </c>
      <c r="CG135" s="228">
        <v>42</v>
      </c>
      <c r="CH135" s="228">
        <v>40</v>
      </c>
      <c r="CI135" s="228">
        <v>1</v>
      </c>
      <c r="CJ135" s="229">
        <v>3.2599999999999997E-2</v>
      </c>
      <c r="CK135" s="228">
        <v>4</v>
      </c>
      <c r="CL135" s="228">
        <v>4</v>
      </c>
      <c r="CM135" s="228">
        <v>0</v>
      </c>
      <c r="CN135" s="229">
        <v>2.5600000000000001E-2</v>
      </c>
      <c r="CO135" s="228">
        <v>815</v>
      </c>
      <c r="CP135" s="228">
        <v>780</v>
      </c>
      <c r="CQ135" s="228">
        <v>36</v>
      </c>
      <c r="CR135" s="229">
        <v>4.5699999999999998E-2</v>
      </c>
      <c r="CS135" s="228">
        <v>606</v>
      </c>
      <c r="CT135" s="228">
        <v>556</v>
      </c>
      <c r="CU135" s="228">
        <v>50</v>
      </c>
      <c r="CV135" s="229">
        <v>9.0200000000000002E-2</v>
      </c>
      <c r="CW135" s="230">
        <v>2890</v>
      </c>
      <c r="CX135" s="230">
        <v>2822</v>
      </c>
      <c r="CY135" s="228">
        <v>68</v>
      </c>
      <c r="CZ135" s="229">
        <v>2.4199999999999999E-2</v>
      </c>
      <c r="DA135" s="228">
        <v>25.68</v>
      </c>
      <c r="DB135" s="228">
        <v>25.59</v>
      </c>
      <c r="DC135" s="228">
        <v>0.09</v>
      </c>
      <c r="DD135" s="228">
        <v>0.09</v>
      </c>
      <c r="DE135" s="228">
        <v>35.42</v>
      </c>
      <c r="DF135" s="228">
        <v>35.5</v>
      </c>
      <c r="DG135" s="228">
        <v>-9.74</v>
      </c>
      <c r="DH135" s="228">
        <v>-0.08</v>
      </c>
      <c r="DI135" s="228">
        <v>25.5</v>
      </c>
      <c r="DJ135" s="228">
        <v>25.42</v>
      </c>
      <c r="DK135" s="228">
        <v>0.08</v>
      </c>
      <c r="DL135" s="228">
        <v>0.08</v>
      </c>
      <c r="DM135" s="228">
        <v>26.06</v>
      </c>
      <c r="DN135" s="228">
        <v>26</v>
      </c>
      <c r="DO135" s="228">
        <v>0.06</v>
      </c>
      <c r="DP135" s="228">
        <v>0.06</v>
      </c>
      <c r="DQ135" s="228">
        <v>0.74</v>
      </c>
      <c r="DR135" s="228">
        <v>0.71</v>
      </c>
      <c r="DS135" s="228">
        <v>0.03</v>
      </c>
      <c r="DT135" s="229">
        <v>4.2299999999999997E-2</v>
      </c>
      <c r="DU135" s="231">
        <v>3900</v>
      </c>
      <c r="DV135" s="231">
        <v>3800</v>
      </c>
      <c r="DW135" s="228">
        <v>0.48</v>
      </c>
      <c r="DX135" s="228">
        <v>0.41</v>
      </c>
      <c r="DY135" s="228">
        <v>7.0000000000000007E-2</v>
      </c>
      <c r="DZ135" s="229">
        <v>0.17069999999999999</v>
      </c>
      <c r="EA135" s="229">
        <v>3.1199999999999999E-2</v>
      </c>
      <c r="EB135" s="230">
        <v>111925</v>
      </c>
      <c r="EC135" s="229">
        <v>4.1999999999999997E-3</v>
      </c>
      <c r="ED135" s="229">
        <v>3.1199999999999999E-2</v>
      </c>
      <c r="EE135" s="228">
        <v>14.81</v>
      </c>
      <c r="EF135" s="229">
        <v>3.7000000000000002E-3</v>
      </c>
      <c r="EG135" s="230">
        <v>278250</v>
      </c>
      <c r="EH135" s="230">
        <v>299992</v>
      </c>
      <c r="EI135" s="229">
        <v>-7.2499999999999995E-2</v>
      </c>
      <c r="EJ135" s="229">
        <v>0.55589999999999995</v>
      </c>
      <c r="EK135" s="231">
        <v>1808.25</v>
      </c>
      <c r="EL135" s="228">
        <v>813.67</v>
      </c>
      <c r="EM135" s="228">
        <v>369.56</v>
      </c>
      <c r="EN135" s="228">
        <v>38.51</v>
      </c>
      <c r="EO135" s="231">
        <v>2991.48</v>
      </c>
      <c r="EP135" s="231">
        <v>4635.28</v>
      </c>
      <c r="EQ135" s="231">
        <v>-1643.8</v>
      </c>
      <c r="ER135" s="229">
        <v>-0.35460000000000003</v>
      </c>
      <c r="ES135" s="228">
        <v>819.25</v>
      </c>
      <c r="ET135" s="228">
        <v>572.4</v>
      </c>
      <c r="EU135" s="231">
        <v>1468.99</v>
      </c>
      <c r="EV135" s="231">
        <v>14790848</v>
      </c>
      <c r="EW135" s="231">
        <v>2860.64</v>
      </c>
      <c r="EX135" s="231">
        <v>2785.3</v>
      </c>
      <c r="EY135" s="228">
        <v>75.34</v>
      </c>
      <c r="EZ135" s="229">
        <v>2.7E-2</v>
      </c>
      <c r="FA135" s="229">
        <v>0.4919</v>
      </c>
      <c r="FB135" s="227" t="s">
        <v>556</v>
      </c>
      <c r="FC135">
        <f t="shared" si="2"/>
        <v>46</v>
      </c>
    </row>
    <row r="136" spans="1:159" ht="17.25" thickBot="1" x14ac:dyDescent="0.3">
      <c r="A136" s="226">
        <v>46029</v>
      </c>
      <c r="B136" s="227" t="s">
        <v>227</v>
      </c>
      <c r="C136" s="227" t="s">
        <v>263</v>
      </c>
      <c r="D136" s="228">
        <v>3750</v>
      </c>
      <c r="E136" s="228">
        <v>20</v>
      </c>
      <c r="F136" s="228">
        <v>351.8</v>
      </c>
      <c r="G136" s="228">
        <v>347.6</v>
      </c>
      <c r="H136" s="228">
        <v>4.2</v>
      </c>
      <c r="I136" s="229">
        <v>1.21E-2</v>
      </c>
      <c r="J136" s="228">
        <v>352.6</v>
      </c>
      <c r="K136" s="228">
        <v>346.7</v>
      </c>
      <c r="L136" s="228">
        <v>5.9</v>
      </c>
      <c r="M136" s="229">
        <v>1.7000000000000001E-2</v>
      </c>
      <c r="N136" s="228">
        <v>351.8</v>
      </c>
      <c r="O136" s="228">
        <v>347.6</v>
      </c>
      <c r="P136" s="228">
        <v>4.2</v>
      </c>
      <c r="Q136" s="229">
        <v>1.21E-2</v>
      </c>
      <c r="R136" s="228">
        <v>350.1</v>
      </c>
      <c r="S136" s="228">
        <v>345.75</v>
      </c>
      <c r="T136" s="228">
        <v>4.3499999999999996</v>
      </c>
      <c r="U136" s="229">
        <v>1.26E-2</v>
      </c>
      <c r="V136" s="228">
        <v>351.3</v>
      </c>
      <c r="W136" s="228">
        <v>346.55</v>
      </c>
      <c r="X136" s="228">
        <v>4.75</v>
      </c>
      <c r="Y136" s="229">
        <v>1.37E-2</v>
      </c>
      <c r="Z136" s="228">
        <v>-0.8</v>
      </c>
      <c r="AA136" s="228">
        <v>0.9</v>
      </c>
      <c r="AB136" s="228">
        <v>-1.7</v>
      </c>
      <c r="AC136" s="229">
        <v>-2.3E-3</v>
      </c>
      <c r="AD136" s="228">
        <v>-0.8</v>
      </c>
      <c r="AE136" s="228">
        <v>0.9</v>
      </c>
      <c r="AF136" s="228">
        <v>-1.7</v>
      </c>
      <c r="AG136" s="229">
        <v>-2.3E-3</v>
      </c>
      <c r="AH136" s="228">
        <v>-2.5</v>
      </c>
      <c r="AI136" s="228">
        <v>-0.95</v>
      </c>
      <c r="AJ136" s="228">
        <v>-1.55</v>
      </c>
      <c r="AK136" s="229">
        <v>-7.1000000000000004E-3</v>
      </c>
      <c r="AL136" s="228">
        <v>-1.3</v>
      </c>
      <c r="AM136" s="228">
        <v>-0.15</v>
      </c>
      <c r="AN136" s="228">
        <v>-1.1499999999999999</v>
      </c>
      <c r="AO136" s="229">
        <v>-3.7000000000000002E-3</v>
      </c>
      <c r="AP136" s="228">
        <v>352.02</v>
      </c>
      <c r="AQ136" s="228">
        <v>350.37</v>
      </c>
      <c r="AR136" s="228">
        <v>0</v>
      </c>
      <c r="AS136" s="230">
        <v>1360</v>
      </c>
      <c r="AT136" s="230">
        <v>1431</v>
      </c>
      <c r="AU136" s="228">
        <v>-71</v>
      </c>
      <c r="AV136" s="229">
        <v>-4.9700000000000001E-2</v>
      </c>
      <c r="AW136" s="230">
        <v>1236</v>
      </c>
      <c r="AX136" s="230">
        <v>1289</v>
      </c>
      <c r="AY136" s="228">
        <v>-53</v>
      </c>
      <c r="AZ136" s="229">
        <v>-4.1200000000000001E-2</v>
      </c>
      <c r="BA136" s="228">
        <v>106</v>
      </c>
      <c r="BB136" s="228">
        <v>119</v>
      </c>
      <c r="BC136" s="228">
        <v>-13</v>
      </c>
      <c r="BD136" s="229">
        <v>-0.111</v>
      </c>
      <c r="BE136" s="228">
        <v>19</v>
      </c>
      <c r="BF136" s="228">
        <v>23</v>
      </c>
      <c r="BG136" s="228">
        <v>-5</v>
      </c>
      <c r="BH136" s="229">
        <v>-0.2079</v>
      </c>
      <c r="BI136" s="230">
        <v>5677</v>
      </c>
      <c r="BJ136" s="230">
        <v>10316</v>
      </c>
      <c r="BK136" s="230">
        <v>-4639</v>
      </c>
      <c r="BL136" s="229">
        <v>-0.44969999999999999</v>
      </c>
      <c r="BM136" s="230">
        <v>2452</v>
      </c>
      <c r="BN136" s="230">
        <v>3456</v>
      </c>
      <c r="BO136" s="230">
        <v>-1004</v>
      </c>
      <c r="BP136" s="229">
        <v>-0.29060000000000002</v>
      </c>
      <c r="BQ136" s="230">
        <v>9489</v>
      </c>
      <c r="BR136" s="230">
        <v>15204</v>
      </c>
      <c r="BS136" s="230">
        <v>-5715</v>
      </c>
      <c r="BT136" s="229">
        <v>-0.37590000000000001</v>
      </c>
      <c r="BU136" s="230">
        <v>33597761</v>
      </c>
      <c r="BV136" s="230">
        <v>44951801</v>
      </c>
      <c r="BW136" s="230">
        <v>-11354040</v>
      </c>
      <c r="BX136" s="229">
        <v>-0.25259999999999999</v>
      </c>
      <c r="BY136" s="230">
        <v>1819</v>
      </c>
      <c r="BZ136" s="230">
        <v>1872</v>
      </c>
      <c r="CA136" s="228">
        <v>-53</v>
      </c>
      <c r="CB136" s="229">
        <v>-2.8199999999999999E-2</v>
      </c>
      <c r="CC136" s="230">
        <v>1685</v>
      </c>
      <c r="CD136" s="230">
        <v>1747</v>
      </c>
      <c r="CE136" s="228">
        <v>-63</v>
      </c>
      <c r="CF136" s="229">
        <v>-3.5999999999999997E-2</v>
      </c>
      <c r="CG136" s="228">
        <v>119</v>
      </c>
      <c r="CH136" s="228">
        <v>112</v>
      </c>
      <c r="CI136" s="228">
        <v>7</v>
      </c>
      <c r="CJ136" s="229">
        <v>6.1199999999999997E-2</v>
      </c>
      <c r="CK136" s="228">
        <v>15</v>
      </c>
      <c r="CL136" s="228">
        <v>12</v>
      </c>
      <c r="CM136" s="228">
        <v>3</v>
      </c>
      <c r="CN136" s="229">
        <v>0.2747</v>
      </c>
      <c r="CO136" s="230">
        <v>1650</v>
      </c>
      <c r="CP136" s="230">
        <v>1834</v>
      </c>
      <c r="CQ136" s="228">
        <v>-184</v>
      </c>
      <c r="CR136" s="229">
        <v>-0.1002</v>
      </c>
      <c r="CS136" s="230">
        <v>1521</v>
      </c>
      <c r="CT136" s="230">
        <v>1423</v>
      </c>
      <c r="CU136" s="228">
        <v>97</v>
      </c>
      <c r="CV136" s="229">
        <v>6.8500000000000005E-2</v>
      </c>
      <c r="CW136" s="230">
        <v>4990</v>
      </c>
      <c r="CX136" s="230">
        <v>5129</v>
      </c>
      <c r="CY136" s="228">
        <v>-139</v>
      </c>
      <c r="CZ136" s="229">
        <v>-2.7099999999999999E-2</v>
      </c>
      <c r="DA136" s="228">
        <v>37.99</v>
      </c>
      <c r="DB136" s="228">
        <v>38.6</v>
      </c>
      <c r="DC136" s="228">
        <v>-0.61</v>
      </c>
      <c r="DD136" s="228">
        <v>-0.61</v>
      </c>
      <c r="DE136" s="228">
        <v>46.8</v>
      </c>
      <c r="DF136" s="228">
        <v>46.86</v>
      </c>
      <c r="DG136" s="228">
        <v>-8.81</v>
      </c>
      <c r="DH136" s="228">
        <v>-0.06</v>
      </c>
      <c r="DI136" s="228">
        <v>37.61</v>
      </c>
      <c r="DJ136" s="228">
        <v>38.5</v>
      </c>
      <c r="DK136" s="228">
        <v>-0.89</v>
      </c>
      <c r="DL136" s="228">
        <v>-0.89</v>
      </c>
      <c r="DM136" s="228">
        <v>38.86</v>
      </c>
      <c r="DN136" s="228">
        <v>38.909999999999997</v>
      </c>
      <c r="DO136" s="228">
        <v>-0.05</v>
      </c>
      <c r="DP136" s="228">
        <v>-0.05</v>
      </c>
      <c r="DQ136" s="228">
        <v>0.92</v>
      </c>
      <c r="DR136" s="228">
        <v>0.78</v>
      </c>
      <c r="DS136" s="228">
        <v>0.14000000000000001</v>
      </c>
      <c r="DT136" s="229">
        <v>0.17949999999999999</v>
      </c>
      <c r="DU136" s="228">
        <v>360</v>
      </c>
      <c r="DV136" s="228">
        <v>300</v>
      </c>
      <c r="DW136" s="228">
        <v>0.43</v>
      </c>
      <c r="DX136" s="228">
        <v>0.34</v>
      </c>
      <c r="DY136" s="228">
        <v>0.09</v>
      </c>
      <c r="DZ136" s="229">
        <v>0.26469999999999999</v>
      </c>
      <c r="EA136" s="229">
        <v>7.3800000000000004E-2</v>
      </c>
      <c r="EB136" s="230">
        <v>3528750</v>
      </c>
      <c r="EC136" s="229">
        <v>-4.7999999999999996E-3</v>
      </c>
      <c r="ED136" s="229">
        <v>7.3800000000000004E-2</v>
      </c>
      <c r="EE136" s="228">
        <v>-1.65</v>
      </c>
      <c r="EF136" s="229">
        <v>-4.7000000000000002E-3</v>
      </c>
      <c r="EG136" s="230">
        <v>10419381</v>
      </c>
      <c r="EH136" s="230">
        <v>10818170</v>
      </c>
      <c r="EI136" s="229">
        <v>-3.6900000000000002E-2</v>
      </c>
      <c r="EJ136" s="229">
        <v>0.31009999999999999</v>
      </c>
      <c r="EK136" s="231">
        <v>6016.24</v>
      </c>
      <c r="EL136" s="231">
        <v>2376.84</v>
      </c>
      <c r="EM136" s="231">
        <v>1360.37</v>
      </c>
      <c r="EN136" s="228">
        <v>63.49</v>
      </c>
      <c r="EO136" s="231">
        <v>9753.4500000000007</v>
      </c>
      <c r="EP136" s="231">
        <v>15482.98</v>
      </c>
      <c r="EQ136" s="231">
        <v>-5729.53</v>
      </c>
      <c r="ER136" s="229">
        <v>-0.37009999999999998</v>
      </c>
      <c r="ES136" s="231">
        <v>1635.82</v>
      </c>
      <c r="ET136" s="231">
        <v>1360.61</v>
      </c>
      <c r="EU136" s="231">
        <v>1818.25</v>
      </c>
      <c r="EV136" s="231">
        <v>134225816</v>
      </c>
      <c r="EW136" s="231">
        <v>4814.68</v>
      </c>
      <c r="EX136" s="231">
        <v>4939.24</v>
      </c>
      <c r="EY136" s="228">
        <v>-124.56</v>
      </c>
      <c r="EZ136" s="229">
        <v>-2.52E-2</v>
      </c>
      <c r="FA136" s="229">
        <v>1.0566</v>
      </c>
      <c r="FB136" s="227" t="s">
        <v>556</v>
      </c>
      <c r="FC136">
        <f t="shared" si="2"/>
        <v>134</v>
      </c>
    </row>
    <row r="137" spans="1:159" ht="17.25" thickBot="1" x14ac:dyDescent="0.3">
      <c r="A137" s="226">
        <v>46029</v>
      </c>
      <c r="B137" s="227" t="s">
        <v>615</v>
      </c>
      <c r="C137" s="227" t="s">
        <v>264</v>
      </c>
      <c r="D137" s="228">
        <v>375</v>
      </c>
      <c r="E137" s="228">
        <v>20</v>
      </c>
      <c r="F137" s="231">
        <v>1360.6</v>
      </c>
      <c r="G137" s="231">
        <v>1342.7</v>
      </c>
      <c r="H137" s="228">
        <v>17.899999999999999</v>
      </c>
      <c r="I137" s="229">
        <v>1.3299999999999999E-2</v>
      </c>
      <c r="J137" s="231">
        <v>1359.4</v>
      </c>
      <c r="K137" s="231">
        <v>1335.8</v>
      </c>
      <c r="L137" s="228">
        <v>23.6</v>
      </c>
      <c r="M137" s="229">
        <v>1.77E-2</v>
      </c>
      <c r="N137" s="231">
        <v>1360.6</v>
      </c>
      <c r="O137" s="231">
        <v>1342.7</v>
      </c>
      <c r="P137" s="228">
        <v>17.899999999999999</v>
      </c>
      <c r="Q137" s="229">
        <v>1.3299999999999999E-2</v>
      </c>
      <c r="R137" s="231">
        <v>1368.7</v>
      </c>
      <c r="S137" s="231">
        <v>1350.8</v>
      </c>
      <c r="T137" s="228">
        <v>17.899999999999999</v>
      </c>
      <c r="U137" s="229">
        <v>1.3299999999999999E-2</v>
      </c>
      <c r="V137" s="231">
        <v>1376.5</v>
      </c>
      <c r="W137" s="231">
        <v>1360</v>
      </c>
      <c r="X137" s="228">
        <v>16.5</v>
      </c>
      <c r="Y137" s="229">
        <v>1.21E-2</v>
      </c>
      <c r="Z137" s="228">
        <v>1.2</v>
      </c>
      <c r="AA137" s="228">
        <v>6.9</v>
      </c>
      <c r="AB137" s="228">
        <v>-5.7</v>
      </c>
      <c r="AC137" s="229">
        <v>8.9999999999999998E-4</v>
      </c>
      <c r="AD137" s="228">
        <v>1.2</v>
      </c>
      <c r="AE137" s="228">
        <v>6.9</v>
      </c>
      <c r="AF137" s="228">
        <v>-5.7</v>
      </c>
      <c r="AG137" s="229">
        <v>8.9999999999999998E-4</v>
      </c>
      <c r="AH137" s="228">
        <v>9.3000000000000007</v>
      </c>
      <c r="AI137" s="228">
        <v>15</v>
      </c>
      <c r="AJ137" s="228">
        <v>-5.7</v>
      </c>
      <c r="AK137" s="229">
        <v>6.7999999999999996E-3</v>
      </c>
      <c r="AL137" s="228">
        <v>17.100000000000001</v>
      </c>
      <c r="AM137" s="228">
        <v>24.2</v>
      </c>
      <c r="AN137" s="228">
        <v>-7.1</v>
      </c>
      <c r="AO137" s="229">
        <v>1.26E-2</v>
      </c>
      <c r="AP137" s="231">
        <v>1370.87</v>
      </c>
      <c r="AQ137" s="231">
        <v>1381.82</v>
      </c>
      <c r="AR137" s="228">
        <v>0</v>
      </c>
      <c r="AS137" s="228">
        <v>345</v>
      </c>
      <c r="AT137" s="228">
        <v>85</v>
      </c>
      <c r="AU137" s="228">
        <v>260</v>
      </c>
      <c r="AV137" s="229">
        <v>3.0527000000000002</v>
      </c>
      <c r="AW137" s="228">
        <v>331</v>
      </c>
      <c r="AX137" s="228">
        <v>81</v>
      </c>
      <c r="AY137" s="228">
        <v>250</v>
      </c>
      <c r="AZ137" s="229">
        <v>3.1004999999999998</v>
      </c>
      <c r="BA137" s="228">
        <v>13</v>
      </c>
      <c r="BB137" s="228">
        <v>4</v>
      </c>
      <c r="BC137" s="228">
        <v>9</v>
      </c>
      <c r="BD137" s="229">
        <v>1.9544999999999999</v>
      </c>
      <c r="BE137" s="228">
        <v>1</v>
      </c>
      <c r="BF137" s="228">
        <v>0</v>
      </c>
      <c r="BG137" s="228">
        <v>1</v>
      </c>
      <c r="BH137" s="229">
        <v>0</v>
      </c>
      <c r="BI137" s="230">
        <v>1704</v>
      </c>
      <c r="BJ137" s="228">
        <v>173</v>
      </c>
      <c r="BK137" s="230">
        <v>1531</v>
      </c>
      <c r="BL137" s="229">
        <v>8.8254999999999999</v>
      </c>
      <c r="BM137" s="228">
        <v>391</v>
      </c>
      <c r="BN137" s="228">
        <v>118</v>
      </c>
      <c r="BO137" s="228">
        <v>274</v>
      </c>
      <c r="BP137" s="229">
        <v>2.3283</v>
      </c>
      <c r="BQ137" s="230">
        <v>2440</v>
      </c>
      <c r="BR137" s="228">
        <v>376</v>
      </c>
      <c r="BS137" s="230">
        <v>2064</v>
      </c>
      <c r="BT137" s="229">
        <v>5.4881000000000002</v>
      </c>
      <c r="BU137" s="230">
        <v>2524351</v>
      </c>
      <c r="BV137" s="230">
        <v>714302</v>
      </c>
      <c r="BW137" s="230">
        <v>1810049</v>
      </c>
      <c r="BX137" s="229">
        <v>2.5339999999999998</v>
      </c>
      <c r="BY137" s="230">
        <v>1095</v>
      </c>
      <c r="BZ137" s="230">
        <v>1085</v>
      </c>
      <c r="CA137" s="228">
        <v>10</v>
      </c>
      <c r="CB137" s="229">
        <v>9.5999999999999992E-3</v>
      </c>
      <c r="CC137" s="230">
        <v>1084</v>
      </c>
      <c r="CD137" s="230">
        <v>1074</v>
      </c>
      <c r="CE137" s="228">
        <v>9</v>
      </c>
      <c r="CF137" s="229">
        <v>8.6E-3</v>
      </c>
      <c r="CG137" s="228">
        <v>11</v>
      </c>
      <c r="CH137" s="228">
        <v>10</v>
      </c>
      <c r="CI137" s="228">
        <v>0</v>
      </c>
      <c r="CJ137" s="229">
        <v>4.5199999999999997E-2</v>
      </c>
      <c r="CK137" s="228">
        <v>1</v>
      </c>
      <c r="CL137" s="228">
        <v>1</v>
      </c>
      <c r="CM137" s="228">
        <v>1</v>
      </c>
      <c r="CN137" s="229">
        <v>1.2726999999999999</v>
      </c>
      <c r="CO137" s="228">
        <v>473</v>
      </c>
      <c r="CP137" s="228">
        <v>294</v>
      </c>
      <c r="CQ137" s="228">
        <v>179</v>
      </c>
      <c r="CR137" s="229">
        <v>0.60970000000000002</v>
      </c>
      <c r="CS137" s="228">
        <v>262</v>
      </c>
      <c r="CT137" s="228">
        <v>222</v>
      </c>
      <c r="CU137" s="228">
        <v>40</v>
      </c>
      <c r="CV137" s="229">
        <v>0.18129999999999999</v>
      </c>
      <c r="CW137" s="230">
        <v>1830</v>
      </c>
      <c r="CX137" s="230">
        <v>1601</v>
      </c>
      <c r="CY137" s="228">
        <v>230</v>
      </c>
      <c r="CZ137" s="229">
        <v>0.14349999999999999</v>
      </c>
      <c r="DA137" s="228">
        <v>29.72</v>
      </c>
      <c r="DB137" s="228">
        <v>29.06</v>
      </c>
      <c r="DC137" s="228">
        <v>0.66</v>
      </c>
      <c r="DD137" s="228">
        <v>0.66</v>
      </c>
      <c r="DE137" s="228">
        <v>35.619999999999997</v>
      </c>
      <c r="DF137" s="228">
        <v>35.630000000000003</v>
      </c>
      <c r="DG137" s="228">
        <v>-5.9</v>
      </c>
      <c r="DH137" s="228">
        <v>-0.01</v>
      </c>
      <c r="DI137" s="228">
        <v>30.08</v>
      </c>
      <c r="DJ137" s="228">
        <v>28.89</v>
      </c>
      <c r="DK137" s="228">
        <v>1.19</v>
      </c>
      <c r="DL137" s="228">
        <v>1.19</v>
      </c>
      <c r="DM137" s="228">
        <v>28.13</v>
      </c>
      <c r="DN137" s="228">
        <v>29.32</v>
      </c>
      <c r="DO137" s="228">
        <v>-1.19</v>
      </c>
      <c r="DP137" s="228">
        <v>-1.19</v>
      </c>
      <c r="DQ137" s="228">
        <v>0.55000000000000004</v>
      </c>
      <c r="DR137" s="228">
        <v>0.76</v>
      </c>
      <c r="DS137" s="228">
        <v>-0.21</v>
      </c>
      <c r="DT137" s="229">
        <v>-0.27629999999999999</v>
      </c>
      <c r="DU137" s="231">
        <v>1500</v>
      </c>
      <c r="DV137" s="231">
        <v>1280</v>
      </c>
      <c r="DW137" s="228">
        <v>0.23</v>
      </c>
      <c r="DX137" s="228">
        <v>0.68</v>
      </c>
      <c r="DY137" s="228">
        <v>-0.45</v>
      </c>
      <c r="DZ137" s="229">
        <v>-0.66180000000000005</v>
      </c>
      <c r="EA137" s="229">
        <v>1.09E-2</v>
      </c>
      <c r="EB137" s="230">
        <v>78750</v>
      </c>
      <c r="EC137" s="229">
        <v>6.0000000000000001E-3</v>
      </c>
      <c r="ED137" s="229">
        <v>1.09E-2</v>
      </c>
      <c r="EE137" s="228">
        <v>10.95</v>
      </c>
      <c r="EF137" s="229">
        <v>8.0000000000000002E-3</v>
      </c>
      <c r="EG137" s="230">
        <v>1362895</v>
      </c>
      <c r="EH137" s="230">
        <v>427453</v>
      </c>
      <c r="EI137" s="229">
        <v>2.1884000000000001</v>
      </c>
      <c r="EJ137" s="229">
        <v>0.53990000000000005</v>
      </c>
      <c r="EK137" s="231">
        <v>1811.84</v>
      </c>
      <c r="EL137" s="228">
        <v>389</v>
      </c>
      <c r="EM137" s="228">
        <v>348.05</v>
      </c>
      <c r="EN137" s="228">
        <v>16.09</v>
      </c>
      <c r="EO137" s="231">
        <v>2548.89</v>
      </c>
      <c r="EP137" s="228">
        <v>378.55</v>
      </c>
      <c r="EQ137" s="231">
        <v>2170.34</v>
      </c>
      <c r="ER137" s="229">
        <v>5.7332000000000001</v>
      </c>
      <c r="ES137" s="228">
        <v>502.08</v>
      </c>
      <c r="ET137" s="228">
        <v>251.41</v>
      </c>
      <c r="EU137" s="231">
        <v>1095.48</v>
      </c>
      <c r="EV137" s="231">
        <v>45110207</v>
      </c>
      <c r="EW137" s="231">
        <v>1848.97</v>
      </c>
      <c r="EX137" s="231">
        <v>1589.49</v>
      </c>
      <c r="EY137" s="228">
        <v>259.48</v>
      </c>
      <c r="EZ137" s="229">
        <v>0.16320000000000001</v>
      </c>
      <c r="FA137" s="229">
        <v>0.29820000000000002</v>
      </c>
      <c r="FB137" s="227" t="s">
        <v>555</v>
      </c>
      <c r="FC137">
        <f t="shared" si="2"/>
        <v>11</v>
      </c>
    </row>
    <row r="138" spans="1:159" ht="17.25" thickBot="1" x14ac:dyDescent="0.3">
      <c r="A138" s="226">
        <v>46029</v>
      </c>
      <c r="B138" s="227" t="s">
        <v>206</v>
      </c>
      <c r="C138" s="227" t="s">
        <v>550</v>
      </c>
      <c r="D138" s="228">
        <v>6500</v>
      </c>
      <c r="E138" s="228">
        <v>20</v>
      </c>
      <c r="F138" s="228">
        <v>116.32</v>
      </c>
      <c r="G138" s="228">
        <v>118.99</v>
      </c>
      <c r="H138" s="228">
        <v>-2.67</v>
      </c>
      <c r="I138" s="229">
        <v>-2.24E-2</v>
      </c>
      <c r="J138" s="228">
        <v>116.05</v>
      </c>
      <c r="K138" s="228">
        <v>118.54</v>
      </c>
      <c r="L138" s="228">
        <v>-2.4900000000000002</v>
      </c>
      <c r="M138" s="229">
        <v>-2.1000000000000001E-2</v>
      </c>
      <c r="N138" s="228">
        <v>116.32</v>
      </c>
      <c r="O138" s="228">
        <v>118.99</v>
      </c>
      <c r="P138" s="228">
        <v>-2.67</v>
      </c>
      <c r="Q138" s="229">
        <v>-2.24E-2</v>
      </c>
      <c r="R138" s="228">
        <v>116.85</v>
      </c>
      <c r="S138" s="228">
        <v>119.44</v>
      </c>
      <c r="T138" s="228">
        <v>-2.59</v>
      </c>
      <c r="U138" s="229">
        <v>-2.1700000000000001E-2</v>
      </c>
      <c r="V138" s="228">
        <v>117.74</v>
      </c>
      <c r="W138" s="228">
        <v>120.36</v>
      </c>
      <c r="X138" s="228">
        <v>-2.62</v>
      </c>
      <c r="Y138" s="229">
        <v>-2.18E-2</v>
      </c>
      <c r="Z138" s="228">
        <v>0.27</v>
      </c>
      <c r="AA138" s="228">
        <v>0.45</v>
      </c>
      <c r="AB138" s="228">
        <v>-0.18</v>
      </c>
      <c r="AC138" s="229">
        <v>2.3E-3</v>
      </c>
      <c r="AD138" s="228">
        <v>0.27</v>
      </c>
      <c r="AE138" s="228">
        <v>0.45</v>
      </c>
      <c r="AF138" s="228">
        <v>-0.18</v>
      </c>
      <c r="AG138" s="229">
        <v>2.3E-3</v>
      </c>
      <c r="AH138" s="228">
        <v>0.8</v>
      </c>
      <c r="AI138" s="228">
        <v>0.9</v>
      </c>
      <c r="AJ138" s="228">
        <v>-0.1</v>
      </c>
      <c r="AK138" s="229">
        <v>6.8999999999999999E-3</v>
      </c>
      <c r="AL138" s="228">
        <v>1.69</v>
      </c>
      <c r="AM138" s="228">
        <v>1.82</v>
      </c>
      <c r="AN138" s="228">
        <v>-0.13</v>
      </c>
      <c r="AO138" s="229">
        <v>1.46E-2</v>
      </c>
      <c r="AP138" s="228">
        <v>117.03</v>
      </c>
      <c r="AQ138" s="228">
        <v>117.48</v>
      </c>
      <c r="AR138" s="228">
        <v>0</v>
      </c>
      <c r="AS138" s="228">
        <v>343</v>
      </c>
      <c r="AT138" s="228">
        <v>150</v>
      </c>
      <c r="AU138" s="228">
        <v>194</v>
      </c>
      <c r="AV138" s="229">
        <v>1.2921</v>
      </c>
      <c r="AW138" s="228">
        <v>287</v>
      </c>
      <c r="AX138" s="228">
        <v>136</v>
      </c>
      <c r="AY138" s="228">
        <v>151</v>
      </c>
      <c r="AZ138" s="229">
        <v>1.1113</v>
      </c>
      <c r="BA138" s="228">
        <v>54</v>
      </c>
      <c r="BB138" s="228">
        <v>13</v>
      </c>
      <c r="BC138" s="228">
        <v>41</v>
      </c>
      <c r="BD138" s="229">
        <v>3.2574999999999998</v>
      </c>
      <c r="BE138" s="228">
        <v>3</v>
      </c>
      <c r="BF138" s="228">
        <v>1</v>
      </c>
      <c r="BG138" s="228">
        <v>2</v>
      </c>
      <c r="BH138" s="229">
        <v>1.1111</v>
      </c>
      <c r="BI138" s="228">
        <v>528</v>
      </c>
      <c r="BJ138" s="228">
        <v>321</v>
      </c>
      <c r="BK138" s="228">
        <v>207</v>
      </c>
      <c r="BL138" s="229">
        <v>0.64459999999999995</v>
      </c>
      <c r="BM138" s="228">
        <v>229</v>
      </c>
      <c r="BN138" s="228">
        <v>96</v>
      </c>
      <c r="BO138" s="228">
        <v>133</v>
      </c>
      <c r="BP138" s="229">
        <v>1.3798999999999999</v>
      </c>
      <c r="BQ138" s="230">
        <v>1100</v>
      </c>
      <c r="BR138" s="228">
        <v>567</v>
      </c>
      <c r="BS138" s="228">
        <v>533</v>
      </c>
      <c r="BT138" s="229">
        <v>0.94069999999999998</v>
      </c>
      <c r="BU138" s="230">
        <v>10035926</v>
      </c>
      <c r="BV138" s="230">
        <v>9683920</v>
      </c>
      <c r="BW138" s="230">
        <v>352006</v>
      </c>
      <c r="BX138" s="229">
        <v>3.6299999999999999E-2</v>
      </c>
      <c r="BY138" s="230">
        <v>1044</v>
      </c>
      <c r="BZ138" s="230">
        <v>1086</v>
      </c>
      <c r="CA138" s="228">
        <v>-42</v>
      </c>
      <c r="CB138" s="229">
        <v>-3.8699999999999998E-2</v>
      </c>
      <c r="CC138" s="228">
        <v>975</v>
      </c>
      <c r="CD138" s="230">
        <v>1056</v>
      </c>
      <c r="CE138" s="228">
        <v>-81</v>
      </c>
      <c r="CF138" s="229">
        <v>-7.6899999999999996E-2</v>
      </c>
      <c r="CG138" s="228">
        <v>65</v>
      </c>
      <c r="CH138" s="228">
        <v>28</v>
      </c>
      <c r="CI138" s="228">
        <v>37</v>
      </c>
      <c r="CJ138" s="229">
        <v>1.3279000000000001</v>
      </c>
      <c r="CK138" s="228">
        <v>4</v>
      </c>
      <c r="CL138" s="228">
        <v>2</v>
      </c>
      <c r="CM138" s="228">
        <v>2</v>
      </c>
      <c r="CN138" s="229">
        <v>0.96550000000000002</v>
      </c>
      <c r="CO138" s="228">
        <v>592</v>
      </c>
      <c r="CP138" s="228">
        <v>501</v>
      </c>
      <c r="CQ138" s="228">
        <v>91</v>
      </c>
      <c r="CR138" s="229">
        <v>0.18140000000000001</v>
      </c>
      <c r="CS138" s="228">
        <v>285</v>
      </c>
      <c r="CT138" s="228">
        <v>256</v>
      </c>
      <c r="CU138" s="228">
        <v>28</v>
      </c>
      <c r="CV138" s="229">
        <v>0.11</v>
      </c>
      <c r="CW138" s="230">
        <v>1921</v>
      </c>
      <c r="CX138" s="230">
        <v>1844</v>
      </c>
      <c r="CY138" s="228">
        <v>77</v>
      </c>
      <c r="CZ138" s="229">
        <v>4.1799999999999997E-2</v>
      </c>
      <c r="DA138" s="228">
        <v>33.840000000000003</v>
      </c>
      <c r="DB138" s="228">
        <v>33.130000000000003</v>
      </c>
      <c r="DC138" s="228">
        <v>0.71</v>
      </c>
      <c r="DD138" s="228">
        <v>0.71</v>
      </c>
      <c r="DE138" s="228">
        <v>50.57</v>
      </c>
      <c r="DF138" s="228">
        <v>50.61</v>
      </c>
      <c r="DG138" s="228">
        <v>-16.73</v>
      </c>
      <c r="DH138" s="228">
        <v>-0.04</v>
      </c>
      <c r="DI138" s="228">
        <v>34.61</v>
      </c>
      <c r="DJ138" s="228">
        <v>33.4</v>
      </c>
      <c r="DK138" s="228">
        <v>1.21</v>
      </c>
      <c r="DL138" s="228">
        <v>1.21</v>
      </c>
      <c r="DM138" s="228">
        <v>32.06</v>
      </c>
      <c r="DN138" s="228">
        <v>32.229999999999997</v>
      </c>
      <c r="DO138" s="228">
        <v>-0.17</v>
      </c>
      <c r="DP138" s="228">
        <v>-0.17</v>
      </c>
      <c r="DQ138" s="228">
        <v>0.48</v>
      </c>
      <c r="DR138" s="228">
        <v>0.51</v>
      </c>
      <c r="DS138" s="228">
        <v>-0.03</v>
      </c>
      <c r="DT138" s="229">
        <v>-5.8799999999999998E-2</v>
      </c>
      <c r="DU138" s="228">
        <v>125</v>
      </c>
      <c r="DV138" s="228">
        <v>115</v>
      </c>
      <c r="DW138" s="228">
        <v>0.43</v>
      </c>
      <c r="DX138" s="228">
        <v>0.3</v>
      </c>
      <c r="DY138" s="228">
        <v>0.13</v>
      </c>
      <c r="DZ138" s="229">
        <v>0.43330000000000002</v>
      </c>
      <c r="EA138" s="229">
        <v>6.6299999999999998E-2</v>
      </c>
      <c r="EB138" s="230">
        <v>2587000</v>
      </c>
      <c r="EC138" s="229">
        <v>4.5999999999999999E-3</v>
      </c>
      <c r="ED138" s="229">
        <v>6.6299999999999998E-2</v>
      </c>
      <c r="EE138" s="228">
        <v>0.45</v>
      </c>
      <c r="EF138" s="229">
        <v>3.8E-3</v>
      </c>
      <c r="EG138" s="230">
        <v>3194698</v>
      </c>
      <c r="EH138" s="230">
        <v>3379600</v>
      </c>
      <c r="EI138" s="229">
        <v>-5.4699999999999999E-2</v>
      </c>
      <c r="EJ138" s="229">
        <v>0.31830000000000003</v>
      </c>
      <c r="EK138" s="228">
        <v>567.98</v>
      </c>
      <c r="EL138" s="228">
        <v>234.69</v>
      </c>
      <c r="EM138" s="228">
        <v>345.81</v>
      </c>
      <c r="EN138" s="228">
        <v>21.15</v>
      </c>
      <c r="EO138" s="231">
        <v>1148.48</v>
      </c>
      <c r="EP138" s="228">
        <v>604.91999999999996</v>
      </c>
      <c r="EQ138" s="228">
        <v>543.55999999999995</v>
      </c>
      <c r="ER138" s="229">
        <v>0.89859999999999995</v>
      </c>
      <c r="ES138" s="228">
        <v>639.96</v>
      </c>
      <c r="ET138" s="228">
        <v>283</v>
      </c>
      <c r="EU138" s="231">
        <v>1044.3399999999999</v>
      </c>
      <c r="EV138" s="231">
        <v>154894704</v>
      </c>
      <c r="EW138" s="231">
        <v>1967.3</v>
      </c>
      <c r="EX138" s="231">
        <v>1911.41</v>
      </c>
      <c r="EY138" s="228">
        <v>55.89</v>
      </c>
      <c r="EZ138" s="229">
        <v>2.92E-2</v>
      </c>
      <c r="FA138" s="229">
        <v>1.0660000000000001</v>
      </c>
      <c r="FB138" s="227" t="s">
        <v>568</v>
      </c>
      <c r="FC138">
        <f t="shared" si="2"/>
        <v>69</v>
      </c>
    </row>
    <row r="139" spans="1:159" ht="17.25" thickBot="1" x14ac:dyDescent="0.3">
      <c r="A139" s="226">
        <v>46029</v>
      </c>
      <c r="B139" s="227" t="s">
        <v>168</v>
      </c>
      <c r="C139" s="227" t="s">
        <v>265</v>
      </c>
      <c r="D139" s="228">
        <v>500</v>
      </c>
      <c r="E139" s="228">
        <v>20</v>
      </c>
      <c r="F139" s="231">
        <v>1319.9</v>
      </c>
      <c r="G139" s="231">
        <v>1323.6</v>
      </c>
      <c r="H139" s="228">
        <v>-3.7</v>
      </c>
      <c r="I139" s="229">
        <v>-2.8E-3</v>
      </c>
      <c r="J139" s="231">
        <v>1314.8</v>
      </c>
      <c r="K139" s="231">
        <v>1319.9</v>
      </c>
      <c r="L139" s="228">
        <v>-5.0999999999999996</v>
      </c>
      <c r="M139" s="229">
        <v>-3.8999999999999998E-3</v>
      </c>
      <c r="N139" s="231">
        <v>1319.9</v>
      </c>
      <c r="O139" s="231">
        <v>1323.6</v>
      </c>
      <c r="P139" s="228">
        <v>-3.7</v>
      </c>
      <c r="Q139" s="229">
        <v>-2.8E-3</v>
      </c>
      <c r="R139" s="231">
        <v>1321.8</v>
      </c>
      <c r="S139" s="231">
        <v>1326</v>
      </c>
      <c r="T139" s="228">
        <v>-4.2</v>
      </c>
      <c r="U139" s="229">
        <v>-3.2000000000000002E-3</v>
      </c>
      <c r="V139" s="231">
        <v>1330.9</v>
      </c>
      <c r="W139" s="231">
        <v>1335.2</v>
      </c>
      <c r="X139" s="228">
        <v>-4.3</v>
      </c>
      <c r="Y139" s="229">
        <v>-3.2000000000000002E-3</v>
      </c>
      <c r="Z139" s="228">
        <v>5.0999999999999996</v>
      </c>
      <c r="AA139" s="228">
        <v>3.7</v>
      </c>
      <c r="AB139" s="228">
        <v>1.4</v>
      </c>
      <c r="AC139" s="229">
        <v>3.8999999999999998E-3</v>
      </c>
      <c r="AD139" s="228">
        <v>5.0999999999999996</v>
      </c>
      <c r="AE139" s="228">
        <v>3.7</v>
      </c>
      <c r="AF139" s="228">
        <v>1.4</v>
      </c>
      <c r="AG139" s="229">
        <v>3.8999999999999998E-3</v>
      </c>
      <c r="AH139" s="228">
        <v>7</v>
      </c>
      <c r="AI139" s="228">
        <v>6.1</v>
      </c>
      <c r="AJ139" s="228">
        <v>0.9</v>
      </c>
      <c r="AK139" s="229">
        <v>5.3E-3</v>
      </c>
      <c r="AL139" s="228">
        <v>16.100000000000001</v>
      </c>
      <c r="AM139" s="228">
        <v>15.3</v>
      </c>
      <c r="AN139" s="228">
        <v>0.8</v>
      </c>
      <c r="AO139" s="229">
        <v>1.2200000000000001E-2</v>
      </c>
      <c r="AP139" s="231">
        <v>1325.68</v>
      </c>
      <c r="AQ139" s="231">
        <v>1328.24</v>
      </c>
      <c r="AR139" s="228">
        <v>0</v>
      </c>
      <c r="AS139" s="228">
        <v>211</v>
      </c>
      <c r="AT139" s="228">
        <v>280</v>
      </c>
      <c r="AU139" s="228">
        <v>-69</v>
      </c>
      <c r="AV139" s="229">
        <v>-0.2455</v>
      </c>
      <c r="AW139" s="228">
        <v>205</v>
      </c>
      <c r="AX139" s="228">
        <v>271</v>
      </c>
      <c r="AY139" s="228">
        <v>-66</v>
      </c>
      <c r="AZ139" s="229">
        <v>-0.24390000000000001</v>
      </c>
      <c r="BA139" s="228">
        <v>6</v>
      </c>
      <c r="BB139" s="228">
        <v>8</v>
      </c>
      <c r="BC139" s="228">
        <v>-2</v>
      </c>
      <c r="BD139" s="229">
        <v>-0.23730000000000001</v>
      </c>
      <c r="BE139" s="228">
        <v>1</v>
      </c>
      <c r="BF139" s="228">
        <v>1</v>
      </c>
      <c r="BG139" s="228">
        <v>-1</v>
      </c>
      <c r="BH139" s="229">
        <v>-0.59089999999999998</v>
      </c>
      <c r="BI139" s="228">
        <v>484</v>
      </c>
      <c r="BJ139" s="228">
        <v>636</v>
      </c>
      <c r="BK139" s="228">
        <v>-152</v>
      </c>
      <c r="BL139" s="229">
        <v>-0.23899999999999999</v>
      </c>
      <c r="BM139" s="228">
        <v>251</v>
      </c>
      <c r="BN139" s="228">
        <v>289</v>
      </c>
      <c r="BO139" s="228">
        <v>-39</v>
      </c>
      <c r="BP139" s="229">
        <v>-0.13320000000000001</v>
      </c>
      <c r="BQ139" s="228">
        <v>946</v>
      </c>
      <c r="BR139" s="230">
        <v>1205</v>
      </c>
      <c r="BS139" s="228">
        <v>-259</v>
      </c>
      <c r="BT139" s="229">
        <v>-0.21510000000000001</v>
      </c>
      <c r="BU139" s="230">
        <v>697072</v>
      </c>
      <c r="BV139" s="230">
        <v>909909</v>
      </c>
      <c r="BW139" s="230">
        <v>-212837</v>
      </c>
      <c r="BX139" s="229">
        <v>-0.2339</v>
      </c>
      <c r="BY139" s="230">
        <v>2415</v>
      </c>
      <c r="BZ139" s="230">
        <v>2372</v>
      </c>
      <c r="CA139" s="228">
        <v>43</v>
      </c>
      <c r="CB139" s="229">
        <v>1.7999999999999999E-2</v>
      </c>
      <c r="CC139" s="230">
        <v>2377</v>
      </c>
      <c r="CD139" s="230">
        <v>2335</v>
      </c>
      <c r="CE139" s="228">
        <v>42</v>
      </c>
      <c r="CF139" s="229">
        <v>1.7899999999999999E-2</v>
      </c>
      <c r="CG139" s="228">
        <v>24</v>
      </c>
      <c r="CH139" s="228">
        <v>24</v>
      </c>
      <c r="CI139" s="228">
        <v>1</v>
      </c>
      <c r="CJ139" s="229">
        <v>2.2200000000000001E-2</v>
      </c>
      <c r="CK139" s="228">
        <v>14</v>
      </c>
      <c r="CL139" s="228">
        <v>14</v>
      </c>
      <c r="CM139" s="228">
        <v>0</v>
      </c>
      <c r="CN139" s="229">
        <v>1.46E-2</v>
      </c>
      <c r="CO139" s="228">
        <v>424</v>
      </c>
      <c r="CP139" s="228">
        <v>426</v>
      </c>
      <c r="CQ139" s="228">
        <v>-2</v>
      </c>
      <c r="CR139" s="229">
        <v>-5.3E-3</v>
      </c>
      <c r="CS139" s="228">
        <v>295</v>
      </c>
      <c r="CT139" s="228">
        <v>292</v>
      </c>
      <c r="CU139" s="228">
        <v>2</v>
      </c>
      <c r="CV139" s="229">
        <v>7.9000000000000008E-3</v>
      </c>
      <c r="CW139" s="230">
        <v>3133</v>
      </c>
      <c r="CX139" s="230">
        <v>3090</v>
      </c>
      <c r="CY139" s="228">
        <v>43</v>
      </c>
      <c r="CZ139" s="229">
        <v>1.38E-2</v>
      </c>
      <c r="DA139" s="228">
        <v>18.75</v>
      </c>
      <c r="DB139" s="228">
        <v>19.05</v>
      </c>
      <c r="DC139" s="228">
        <v>-0.3</v>
      </c>
      <c r="DD139" s="228">
        <v>-0.3</v>
      </c>
      <c r="DE139" s="228">
        <v>22.75</v>
      </c>
      <c r="DF139" s="228">
        <v>22.8</v>
      </c>
      <c r="DG139" s="228">
        <v>-4</v>
      </c>
      <c r="DH139" s="228">
        <v>-0.05</v>
      </c>
      <c r="DI139" s="228">
        <v>18.41</v>
      </c>
      <c r="DJ139" s="228">
        <v>18.71</v>
      </c>
      <c r="DK139" s="228">
        <v>-0.3</v>
      </c>
      <c r="DL139" s="228">
        <v>-0.3</v>
      </c>
      <c r="DM139" s="228">
        <v>19.399999999999999</v>
      </c>
      <c r="DN139" s="228">
        <v>19.78</v>
      </c>
      <c r="DO139" s="228">
        <v>-0.38</v>
      </c>
      <c r="DP139" s="228">
        <v>-0.38</v>
      </c>
      <c r="DQ139" s="228">
        <v>0.7</v>
      </c>
      <c r="DR139" s="228">
        <v>0.69</v>
      </c>
      <c r="DS139" s="228">
        <v>0.01</v>
      </c>
      <c r="DT139" s="229">
        <v>1.4500000000000001E-2</v>
      </c>
      <c r="DU139" s="231">
        <v>1340</v>
      </c>
      <c r="DV139" s="231">
        <v>1300</v>
      </c>
      <c r="DW139" s="228">
        <v>0.52</v>
      </c>
      <c r="DX139" s="228">
        <v>0.45</v>
      </c>
      <c r="DY139" s="228">
        <v>7.0000000000000007E-2</v>
      </c>
      <c r="DZ139" s="229">
        <v>0.15559999999999999</v>
      </c>
      <c r="EA139" s="229">
        <v>1.5699999999999999E-2</v>
      </c>
      <c r="EB139" s="230">
        <v>282500</v>
      </c>
      <c r="EC139" s="229">
        <v>1.4E-3</v>
      </c>
      <c r="ED139" s="229">
        <v>1.5699999999999999E-2</v>
      </c>
      <c r="EE139" s="228">
        <v>2.56</v>
      </c>
      <c r="EF139" s="229">
        <v>1.9E-3</v>
      </c>
      <c r="EG139" s="230">
        <v>338954</v>
      </c>
      <c r="EH139" s="230">
        <v>461884</v>
      </c>
      <c r="EI139" s="229">
        <v>-0.2661</v>
      </c>
      <c r="EJ139" s="229">
        <v>0.48630000000000001</v>
      </c>
      <c r="EK139" s="228">
        <v>499.21</v>
      </c>
      <c r="EL139" s="228">
        <v>247.38</v>
      </c>
      <c r="EM139" s="228">
        <v>212.06</v>
      </c>
      <c r="EN139" s="228">
        <v>39.76</v>
      </c>
      <c r="EO139" s="228">
        <v>958.65</v>
      </c>
      <c r="EP139" s="231">
        <v>1217.94</v>
      </c>
      <c r="EQ139" s="228">
        <v>-259.29000000000002</v>
      </c>
      <c r="ER139" s="229">
        <v>-0.21290000000000001</v>
      </c>
      <c r="ES139" s="228">
        <v>430.24</v>
      </c>
      <c r="ET139" s="228">
        <v>282.42</v>
      </c>
      <c r="EU139" s="231">
        <v>2414.77</v>
      </c>
      <c r="EV139" s="231">
        <v>71801274</v>
      </c>
      <c r="EW139" s="231">
        <v>3127.44</v>
      </c>
      <c r="EX139" s="231">
        <v>3091.06</v>
      </c>
      <c r="EY139" s="228">
        <v>36.380000000000003</v>
      </c>
      <c r="EZ139" s="229">
        <v>1.18E-2</v>
      </c>
      <c r="FA139" s="229">
        <v>0.3306</v>
      </c>
      <c r="FB139" s="227" t="s">
        <v>567</v>
      </c>
      <c r="FC139">
        <f t="shared" si="2"/>
        <v>38</v>
      </c>
    </row>
    <row r="140" spans="1:159" ht="17.25" thickBot="1" x14ac:dyDescent="0.3">
      <c r="A140" s="226">
        <v>46029</v>
      </c>
      <c r="B140" s="227" t="s">
        <v>161</v>
      </c>
      <c r="C140" s="227" t="s">
        <v>585</v>
      </c>
      <c r="D140" s="228">
        <v>6400</v>
      </c>
      <c r="E140" s="228">
        <v>20</v>
      </c>
      <c r="F140" s="228">
        <v>83.77</v>
      </c>
      <c r="G140" s="228">
        <v>83.7</v>
      </c>
      <c r="H140" s="228">
        <v>7.0000000000000007E-2</v>
      </c>
      <c r="I140" s="229">
        <v>8.0000000000000004E-4</v>
      </c>
      <c r="J140" s="228">
        <v>83.66</v>
      </c>
      <c r="K140" s="228">
        <v>83.53</v>
      </c>
      <c r="L140" s="228">
        <v>0.13</v>
      </c>
      <c r="M140" s="229">
        <v>1.6000000000000001E-3</v>
      </c>
      <c r="N140" s="228">
        <v>83.77</v>
      </c>
      <c r="O140" s="228">
        <v>83.7</v>
      </c>
      <c r="P140" s="228">
        <v>7.0000000000000007E-2</v>
      </c>
      <c r="Q140" s="229">
        <v>8.0000000000000004E-4</v>
      </c>
      <c r="R140" s="228">
        <v>83.08</v>
      </c>
      <c r="S140" s="228">
        <v>83.02</v>
      </c>
      <c r="T140" s="228">
        <v>0.06</v>
      </c>
      <c r="U140" s="229">
        <v>6.9999999999999999E-4</v>
      </c>
      <c r="V140" s="228">
        <v>83.51</v>
      </c>
      <c r="W140" s="228">
        <v>83.33</v>
      </c>
      <c r="X140" s="228">
        <v>0.18</v>
      </c>
      <c r="Y140" s="229">
        <v>2.2000000000000001E-3</v>
      </c>
      <c r="Z140" s="228">
        <v>0.11</v>
      </c>
      <c r="AA140" s="228">
        <v>0.17</v>
      </c>
      <c r="AB140" s="228">
        <v>-0.06</v>
      </c>
      <c r="AC140" s="229">
        <v>1.2999999999999999E-3</v>
      </c>
      <c r="AD140" s="228">
        <v>0.11</v>
      </c>
      <c r="AE140" s="228">
        <v>0.17</v>
      </c>
      <c r="AF140" s="228">
        <v>-0.06</v>
      </c>
      <c r="AG140" s="229">
        <v>1.2999999999999999E-3</v>
      </c>
      <c r="AH140" s="228">
        <v>-0.57999999999999996</v>
      </c>
      <c r="AI140" s="228">
        <v>-0.51</v>
      </c>
      <c r="AJ140" s="228">
        <v>-7.0000000000000007E-2</v>
      </c>
      <c r="AK140" s="229">
        <v>-6.8999999999999999E-3</v>
      </c>
      <c r="AL140" s="228">
        <v>-0.15</v>
      </c>
      <c r="AM140" s="228">
        <v>-0.2</v>
      </c>
      <c r="AN140" s="228">
        <v>0.05</v>
      </c>
      <c r="AO140" s="229">
        <v>-1.8E-3</v>
      </c>
      <c r="AP140" s="228">
        <v>83.5</v>
      </c>
      <c r="AQ140" s="228">
        <v>82.77</v>
      </c>
      <c r="AR140" s="228">
        <v>0</v>
      </c>
      <c r="AS140" s="228">
        <v>118</v>
      </c>
      <c r="AT140" s="228">
        <v>75</v>
      </c>
      <c r="AU140" s="228">
        <v>42</v>
      </c>
      <c r="AV140" s="229">
        <v>0.55889999999999995</v>
      </c>
      <c r="AW140" s="228">
        <v>109</v>
      </c>
      <c r="AX140" s="228">
        <v>68</v>
      </c>
      <c r="AY140" s="228">
        <v>41</v>
      </c>
      <c r="AZ140" s="229">
        <v>0.59389999999999998</v>
      </c>
      <c r="BA140" s="228">
        <v>9</v>
      </c>
      <c r="BB140" s="228">
        <v>7</v>
      </c>
      <c r="BC140" s="228">
        <v>2</v>
      </c>
      <c r="BD140" s="229">
        <v>0.25</v>
      </c>
      <c r="BE140" s="228">
        <v>0</v>
      </c>
      <c r="BF140" s="228">
        <v>0</v>
      </c>
      <c r="BG140" s="228">
        <v>0</v>
      </c>
      <c r="BH140" s="229">
        <v>-0.1429</v>
      </c>
      <c r="BI140" s="228">
        <v>210</v>
      </c>
      <c r="BJ140" s="228">
        <v>170</v>
      </c>
      <c r="BK140" s="228">
        <v>39</v>
      </c>
      <c r="BL140" s="229">
        <v>0.23139999999999999</v>
      </c>
      <c r="BM140" s="228">
        <v>83</v>
      </c>
      <c r="BN140" s="228">
        <v>70</v>
      </c>
      <c r="BO140" s="228">
        <v>13</v>
      </c>
      <c r="BP140" s="229">
        <v>0.1867</v>
      </c>
      <c r="BQ140" s="228">
        <v>411</v>
      </c>
      <c r="BR140" s="228">
        <v>316</v>
      </c>
      <c r="BS140" s="228">
        <v>95</v>
      </c>
      <c r="BT140" s="229">
        <v>0.29970000000000002</v>
      </c>
      <c r="BU140" s="230">
        <v>12826387</v>
      </c>
      <c r="BV140" s="230">
        <v>12151427</v>
      </c>
      <c r="BW140" s="230">
        <v>674960</v>
      </c>
      <c r="BX140" s="229">
        <v>5.5500000000000001E-2</v>
      </c>
      <c r="BY140" s="228">
        <v>547</v>
      </c>
      <c r="BZ140" s="228">
        <v>578</v>
      </c>
      <c r="CA140" s="228">
        <v>-31</v>
      </c>
      <c r="CB140" s="229">
        <v>-5.3600000000000002E-2</v>
      </c>
      <c r="CC140" s="228">
        <v>505</v>
      </c>
      <c r="CD140" s="228">
        <v>537</v>
      </c>
      <c r="CE140" s="228">
        <v>-32</v>
      </c>
      <c r="CF140" s="229">
        <v>-5.9499999999999997E-2</v>
      </c>
      <c r="CG140" s="228">
        <v>40</v>
      </c>
      <c r="CH140" s="228">
        <v>39</v>
      </c>
      <c r="CI140" s="228">
        <v>1</v>
      </c>
      <c r="CJ140" s="229">
        <v>2.4799999999999999E-2</v>
      </c>
      <c r="CK140" s="228">
        <v>2</v>
      </c>
      <c r="CL140" s="228">
        <v>2</v>
      </c>
      <c r="CM140" s="228">
        <v>0</v>
      </c>
      <c r="CN140" s="229">
        <v>0</v>
      </c>
      <c r="CO140" s="228">
        <v>291</v>
      </c>
      <c r="CP140" s="228">
        <v>280</v>
      </c>
      <c r="CQ140" s="228">
        <v>11</v>
      </c>
      <c r="CR140" s="229">
        <v>3.95E-2</v>
      </c>
      <c r="CS140" s="228">
        <v>155</v>
      </c>
      <c r="CT140" s="228">
        <v>154</v>
      </c>
      <c r="CU140" s="228">
        <v>1</v>
      </c>
      <c r="CV140" s="229">
        <v>3.8E-3</v>
      </c>
      <c r="CW140" s="228">
        <v>992</v>
      </c>
      <c r="CX140" s="230">
        <v>1012</v>
      </c>
      <c r="CY140" s="228">
        <v>-19</v>
      </c>
      <c r="CZ140" s="229">
        <v>-1.9099999999999999E-2</v>
      </c>
      <c r="DA140" s="228">
        <v>26.83</v>
      </c>
      <c r="DB140" s="228">
        <v>26.92</v>
      </c>
      <c r="DC140" s="228">
        <v>-0.09</v>
      </c>
      <c r="DD140" s="228">
        <v>-0.09</v>
      </c>
      <c r="DE140" s="228">
        <v>36.450000000000003</v>
      </c>
      <c r="DF140" s="228">
        <v>36.54</v>
      </c>
      <c r="DG140" s="228">
        <v>-9.6199999999999992</v>
      </c>
      <c r="DH140" s="228">
        <v>-0.09</v>
      </c>
      <c r="DI140" s="228">
        <v>26.97</v>
      </c>
      <c r="DJ140" s="228">
        <v>27.22</v>
      </c>
      <c r="DK140" s="228">
        <v>-0.25</v>
      </c>
      <c r="DL140" s="228">
        <v>-0.25</v>
      </c>
      <c r="DM140" s="228">
        <v>26.47</v>
      </c>
      <c r="DN140" s="228">
        <v>26.19</v>
      </c>
      <c r="DO140" s="228">
        <v>0.28000000000000003</v>
      </c>
      <c r="DP140" s="228">
        <v>0.28000000000000003</v>
      </c>
      <c r="DQ140" s="228">
        <v>0.53</v>
      </c>
      <c r="DR140" s="228">
        <v>0.55000000000000004</v>
      </c>
      <c r="DS140" s="228">
        <v>-0.02</v>
      </c>
      <c r="DT140" s="229">
        <v>-3.6400000000000002E-2</v>
      </c>
      <c r="DU140" s="228">
        <v>90</v>
      </c>
      <c r="DV140" s="228">
        <v>80</v>
      </c>
      <c r="DW140" s="228">
        <v>0.4</v>
      </c>
      <c r="DX140" s="228">
        <v>0.41</v>
      </c>
      <c r="DY140" s="228">
        <v>-0.01</v>
      </c>
      <c r="DZ140" s="229">
        <v>-2.4400000000000002E-2</v>
      </c>
      <c r="EA140" s="229">
        <v>7.6899999999999996E-2</v>
      </c>
      <c r="EB140" s="230">
        <v>4908800</v>
      </c>
      <c r="EC140" s="229">
        <v>-8.2000000000000007E-3</v>
      </c>
      <c r="ED140" s="229">
        <v>7.6899999999999996E-2</v>
      </c>
      <c r="EE140" s="228">
        <v>-0.73</v>
      </c>
      <c r="EF140" s="229">
        <v>-8.6999999999999994E-3</v>
      </c>
      <c r="EG140" s="230">
        <v>6274431</v>
      </c>
      <c r="EH140" s="230">
        <v>4992607</v>
      </c>
      <c r="EI140" s="229">
        <v>0.25669999999999998</v>
      </c>
      <c r="EJ140" s="229">
        <v>0.48920000000000002</v>
      </c>
      <c r="EK140" s="228">
        <v>219.59</v>
      </c>
      <c r="EL140" s="228">
        <v>81.48</v>
      </c>
      <c r="EM140" s="228">
        <v>117.23</v>
      </c>
      <c r="EN140" s="228">
        <v>21.91</v>
      </c>
      <c r="EO140" s="228">
        <v>418.3</v>
      </c>
      <c r="EP140" s="228">
        <v>324.24</v>
      </c>
      <c r="EQ140" s="228">
        <v>94.06</v>
      </c>
      <c r="ER140" s="229">
        <v>0.29010000000000002</v>
      </c>
      <c r="ES140" s="228">
        <v>298.88</v>
      </c>
      <c r="ET140" s="228">
        <v>145.93</v>
      </c>
      <c r="EU140" s="228">
        <v>546.62</v>
      </c>
      <c r="EV140" s="231">
        <v>491233252</v>
      </c>
      <c r="EW140" s="228">
        <v>991.44</v>
      </c>
      <c r="EX140" s="231">
        <v>1009.46</v>
      </c>
      <c r="EY140" s="228">
        <v>-18.02</v>
      </c>
      <c r="EZ140" s="229">
        <v>-1.7899999999999999E-2</v>
      </c>
      <c r="FA140" s="229">
        <v>0.24110000000000001</v>
      </c>
      <c r="FB140" s="227" t="s">
        <v>556</v>
      </c>
      <c r="FC140">
        <f t="shared" si="2"/>
        <v>42</v>
      </c>
    </row>
    <row r="141" spans="1:159" ht="17.25" thickBot="1" x14ac:dyDescent="0.3">
      <c r="A141" s="226">
        <v>46029</v>
      </c>
      <c r="B141" s="227" t="s">
        <v>181</v>
      </c>
      <c r="C141" s="227" t="s">
        <v>266</v>
      </c>
      <c r="D141" s="228">
        <v>65</v>
      </c>
      <c r="E141" s="228">
        <v>20</v>
      </c>
      <c r="F141" s="231">
        <v>26235.3</v>
      </c>
      <c r="G141" s="231">
        <v>26285.1</v>
      </c>
      <c r="H141" s="228">
        <v>-49.8</v>
      </c>
      <c r="I141" s="229">
        <v>-1.9E-3</v>
      </c>
      <c r="J141" s="231">
        <v>26140.75</v>
      </c>
      <c r="K141" s="231">
        <v>26178.7</v>
      </c>
      <c r="L141" s="228">
        <v>-37.950000000000003</v>
      </c>
      <c r="M141" s="229">
        <v>-1.4E-3</v>
      </c>
      <c r="N141" s="231">
        <v>26235.3</v>
      </c>
      <c r="O141" s="231">
        <v>26285.1</v>
      </c>
      <c r="P141" s="228">
        <v>-49.8</v>
      </c>
      <c r="Q141" s="229">
        <v>-1.9E-3</v>
      </c>
      <c r="R141" s="231">
        <v>26381.7</v>
      </c>
      <c r="S141" s="231">
        <v>26427.7</v>
      </c>
      <c r="T141" s="228">
        <v>-46</v>
      </c>
      <c r="U141" s="229">
        <v>-1.6999999999999999E-3</v>
      </c>
      <c r="V141" s="231">
        <v>26567.7</v>
      </c>
      <c r="W141" s="231">
        <v>26610.5</v>
      </c>
      <c r="X141" s="228">
        <v>-42.8</v>
      </c>
      <c r="Y141" s="229">
        <v>-1.6000000000000001E-3</v>
      </c>
      <c r="Z141" s="228">
        <v>94.55</v>
      </c>
      <c r="AA141" s="228">
        <v>106.4</v>
      </c>
      <c r="AB141" s="228">
        <v>-11.85</v>
      </c>
      <c r="AC141" s="229">
        <v>3.5999999999999999E-3</v>
      </c>
      <c r="AD141" s="228">
        <v>94.55</v>
      </c>
      <c r="AE141" s="228">
        <v>106.4</v>
      </c>
      <c r="AF141" s="228">
        <v>-11.85</v>
      </c>
      <c r="AG141" s="229">
        <v>3.5999999999999999E-3</v>
      </c>
      <c r="AH141" s="228">
        <v>240.95</v>
      </c>
      <c r="AI141" s="228">
        <v>249</v>
      </c>
      <c r="AJ141" s="228">
        <v>-8.0500000000000007</v>
      </c>
      <c r="AK141" s="229">
        <v>9.1999999999999998E-3</v>
      </c>
      <c r="AL141" s="228">
        <v>426.95</v>
      </c>
      <c r="AM141" s="228">
        <v>431.8</v>
      </c>
      <c r="AN141" s="228">
        <v>-4.8499999999999996</v>
      </c>
      <c r="AO141" s="229">
        <v>1.6299999999999999E-2</v>
      </c>
      <c r="AP141" s="231">
        <v>26233.91</v>
      </c>
      <c r="AQ141" s="231">
        <v>26373.200000000001</v>
      </c>
      <c r="AR141" s="228">
        <v>0</v>
      </c>
      <c r="AS141" s="230">
        <v>10428</v>
      </c>
      <c r="AT141" s="230">
        <v>12240</v>
      </c>
      <c r="AU141" s="230">
        <v>-1813</v>
      </c>
      <c r="AV141" s="229">
        <v>-0.14810000000000001</v>
      </c>
      <c r="AW141" s="230">
        <v>9365</v>
      </c>
      <c r="AX141" s="230">
        <v>11361</v>
      </c>
      <c r="AY141" s="230">
        <v>-1996</v>
      </c>
      <c r="AZ141" s="229">
        <v>-0.1757</v>
      </c>
      <c r="BA141" s="228">
        <v>724</v>
      </c>
      <c r="BB141" s="228">
        <v>627</v>
      </c>
      <c r="BC141" s="228">
        <v>97</v>
      </c>
      <c r="BD141" s="229">
        <v>0.15479999999999999</v>
      </c>
      <c r="BE141" s="228">
        <v>338</v>
      </c>
      <c r="BF141" s="228">
        <v>252</v>
      </c>
      <c r="BG141" s="228">
        <v>86</v>
      </c>
      <c r="BH141" s="229">
        <v>0.34079999999999999</v>
      </c>
      <c r="BI141" s="230">
        <v>5793675</v>
      </c>
      <c r="BJ141" s="230">
        <v>27784195</v>
      </c>
      <c r="BK141" s="230">
        <v>-21990521</v>
      </c>
      <c r="BL141" s="229">
        <v>-0.79149999999999998</v>
      </c>
      <c r="BM141" s="230">
        <v>5666426</v>
      </c>
      <c r="BN141" s="230">
        <v>29532799</v>
      </c>
      <c r="BO141" s="230">
        <v>-23866373</v>
      </c>
      <c r="BP141" s="229">
        <v>-0.80810000000000004</v>
      </c>
      <c r="BQ141" s="230">
        <v>11470528</v>
      </c>
      <c r="BR141" s="230">
        <v>57329235</v>
      </c>
      <c r="BS141" s="230">
        <v>-45858707</v>
      </c>
      <c r="BT141" s="229">
        <v>-0.79990000000000006</v>
      </c>
      <c r="BU141" s="228">
        <v>0</v>
      </c>
      <c r="BV141" s="228">
        <v>0</v>
      </c>
      <c r="BW141" s="228">
        <v>0</v>
      </c>
      <c r="BX141" s="229">
        <v>0</v>
      </c>
      <c r="BY141" s="230">
        <v>41209</v>
      </c>
      <c r="BZ141" s="230">
        <v>41007</v>
      </c>
      <c r="CA141" s="228">
        <v>202</v>
      </c>
      <c r="CB141" s="229">
        <v>4.8999999999999998E-3</v>
      </c>
      <c r="CC141" s="230">
        <v>36924</v>
      </c>
      <c r="CD141" s="230">
        <v>36898</v>
      </c>
      <c r="CE141" s="228">
        <v>26</v>
      </c>
      <c r="CF141" s="229">
        <v>6.9999999999999999E-4</v>
      </c>
      <c r="CG141" s="230">
        <v>3491</v>
      </c>
      <c r="CH141" s="230">
        <v>3384</v>
      </c>
      <c r="CI141" s="228">
        <v>107</v>
      </c>
      <c r="CJ141" s="229">
        <v>3.1699999999999999E-2</v>
      </c>
      <c r="CK141" s="228">
        <v>794</v>
      </c>
      <c r="CL141" s="228">
        <v>725</v>
      </c>
      <c r="CM141" s="228">
        <v>69</v>
      </c>
      <c r="CN141" s="229">
        <v>9.4500000000000001E-2</v>
      </c>
      <c r="CO141" s="230">
        <v>557541</v>
      </c>
      <c r="CP141" s="230">
        <v>426208</v>
      </c>
      <c r="CQ141" s="230">
        <v>131333</v>
      </c>
      <c r="CR141" s="229">
        <v>0.30809999999999998</v>
      </c>
      <c r="CS141" s="230">
        <v>494575</v>
      </c>
      <c r="CT141" s="230">
        <v>393877</v>
      </c>
      <c r="CU141" s="230">
        <v>100698</v>
      </c>
      <c r="CV141" s="229">
        <v>0.25569999999999998</v>
      </c>
      <c r="CW141" s="230">
        <v>1093325</v>
      </c>
      <c r="CX141" s="230">
        <v>1665981</v>
      </c>
      <c r="CY141" s="230">
        <v>-572656</v>
      </c>
      <c r="CZ141" s="229">
        <v>-0.34370000000000001</v>
      </c>
      <c r="DA141" s="228">
        <v>8.0399999999999991</v>
      </c>
      <c r="DB141" s="228">
        <v>8.73</v>
      </c>
      <c r="DC141" s="228">
        <v>-0.69</v>
      </c>
      <c r="DD141" s="228">
        <v>-0.69</v>
      </c>
      <c r="DE141" s="228">
        <v>13.81</v>
      </c>
      <c r="DF141" s="228">
        <v>13.84</v>
      </c>
      <c r="DG141" s="228">
        <v>-5.77</v>
      </c>
      <c r="DH141" s="228">
        <v>-0.03</v>
      </c>
      <c r="DI141" s="228">
        <v>7.91</v>
      </c>
      <c r="DJ141" s="228">
        <v>8.5500000000000007</v>
      </c>
      <c r="DK141" s="228">
        <v>-0.64</v>
      </c>
      <c r="DL141" s="228">
        <v>-0.64</v>
      </c>
      <c r="DM141" s="228">
        <v>8.17</v>
      </c>
      <c r="DN141" s="228">
        <v>8.94</v>
      </c>
      <c r="DO141" s="228">
        <v>-0.77</v>
      </c>
      <c r="DP141" s="228">
        <v>-0.77</v>
      </c>
      <c r="DQ141" s="228">
        <v>0.89</v>
      </c>
      <c r="DR141" s="228">
        <v>0.92</v>
      </c>
      <c r="DS141" s="228">
        <v>-0.03</v>
      </c>
      <c r="DT141" s="229">
        <v>-3.2599999999999997E-2</v>
      </c>
      <c r="DU141" s="231">
        <v>26500</v>
      </c>
      <c r="DV141" s="231">
        <v>25500</v>
      </c>
      <c r="DW141" s="228">
        <v>0.98</v>
      </c>
      <c r="DX141" s="228">
        <v>1.06</v>
      </c>
      <c r="DY141" s="228">
        <v>-0.08</v>
      </c>
      <c r="DZ141" s="229">
        <v>-7.5499999999999998E-2</v>
      </c>
      <c r="EA141" s="229">
        <v>0.104</v>
      </c>
      <c r="EB141" s="230">
        <v>1566305</v>
      </c>
      <c r="EC141" s="229">
        <v>5.5999999999999999E-3</v>
      </c>
      <c r="ED141" s="229">
        <v>0.104</v>
      </c>
      <c r="EE141" s="228">
        <v>139.29</v>
      </c>
      <c r="EF141" s="229">
        <v>5.3E-3</v>
      </c>
      <c r="EG141" s="228">
        <v>0</v>
      </c>
      <c r="EH141" s="228">
        <v>0</v>
      </c>
      <c r="EI141" s="229">
        <v>0</v>
      </c>
      <c r="EJ141" s="229">
        <v>0</v>
      </c>
      <c r="EK141" s="231">
        <v>5845323.4699999997</v>
      </c>
      <c r="EL141" s="231">
        <v>5616484.7199999997</v>
      </c>
      <c r="EM141" s="231">
        <v>10434.98</v>
      </c>
      <c r="EN141" s="228">
        <v>686.78</v>
      </c>
      <c r="EO141" s="231">
        <v>11472243.18</v>
      </c>
      <c r="EP141" s="231">
        <v>57286749.770000003</v>
      </c>
      <c r="EQ141" s="231">
        <v>-45814506.590000004</v>
      </c>
      <c r="ER141" s="229">
        <v>-0.79969999999999997</v>
      </c>
      <c r="ES141" s="231">
        <v>566505.21</v>
      </c>
      <c r="ET141" s="231">
        <v>482930.17</v>
      </c>
      <c r="EU141" s="231">
        <v>41238.49</v>
      </c>
      <c r="EV141" s="228">
        <v>0</v>
      </c>
      <c r="EW141" s="231">
        <v>1090673.8700000001</v>
      </c>
      <c r="EX141" s="231">
        <v>859331.22</v>
      </c>
      <c r="EY141" s="231">
        <v>231342.65</v>
      </c>
      <c r="EZ141" s="229">
        <v>0.26919999999999999</v>
      </c>
      <c r="FA141" s="229">
        <v>0</v>
      </c>
      <c r="FB141" s="227" t="s">
        <v>567</v>
      </c>
      <c r="FC141">
        <f t="shared" si="2"/>
        <v>4285</v>
      </c>
    </row>
    <row r="142" spans="1:159" ht="17.25" thickBot="1" x14ac:dyDescent="0.3">
      <c r="A142" s="226">
        <v>46029</v>
      </c>
      <c r="B142" s="227" t="s">
        <v>181</v>
      </c>
      <c r="C142" s="227" t="s">
        <v>566</v>
      </c>
      <c r="D142" s="228">
        <v>25</v>
      </c>
      <c r="E142" s="228">
        <v>20</v>
      </c>
      <c r="F142" s="231">
        <v>70906</v>
      </c>
      <c r="G142" s="231">
        <v>70841.399999999994</v>
      </c>
      <c r="H142" s="228">
        <v>64.599999999999994</v>
      </c>
      <c r="I142" s="229">
        <v>8.9999999999999998E-4</v>
      </c>
      <c r="J142" s="231">
        <v>70690.600000000006</v>
      </c>
      <c r="K142" s="231">
        <v>70602.100000000006</v>
      </c>
      <c r="L142" s="228">
        <v>88.5</v>
      </c>
      <c r="M142" s="229">
        <v>1.2999999999999999E-3</v>
      </c>
      <c r="N142" s="231">
        <v>70906</v>
      </c>
      <c r="O142" s="231">
        <v>70841.399999999994</v>
      </c>
      <c r="P142" s="228">
        <v>64.599999999999994</v>
      </c>
      <c r="Q142" s="229">
        <v>8.9999999999999998E-4</v>
      </c>
      <c r="R142" s="231">
        <v>71209</v>
      </c>
      <c r="S142" s="231">
        <v>71216.800000000003</v>
      </c>
      <c r="T142" s="228">
        <v>-7.8</v>
      </c>
      <c r="U142" s="229">
        <v>-1E-4</v>
      </c>
      <c r="V142" s="228">
        <v>0</v>
      </c>
      <c r="W142" s="228">
        <v>0</v>
      </c>
      <c r="X142" s="228">
        <v>0</v>
      </c>
      <c r="Y142" s="229">
        <v>0</v>
      </c>
      <c r="Z142" s="228">
        <v>215.4</v>
      </c>
      <c r="AA142" s="228">
        <v>239.3</v>
      </c>
      <c r="AB142" s="228">
        <v>-23.9</v>
      </c>
      <c r="AC142" s="229">
        <v>3.0000000000000001E-3</v>
      </c>
      <c r="AD142" s="228">
        <v>215.4</v>
      </c>
      <c r="AE142" s="228">
        <v>239.3</v>
      </c>
      <c r="AF142" s="228">
        <v>-23.9</v>
      </c>
      <c r="AG142" s="229">
        <v>3.0000000000000001E-3</v>
      </c>
      <c r="AH142" s="228">
        <v>518.4</v>
      </c>
      <c r="AI142" s="228">
        <v>614.70000000000005</v>
      </c>
      <c r="AJ142" s="228">
        <v>-96.3</v>
      </c>
      <c r="AK142" s="229">
        <v>7.3000000000000001E-3</v>
      </c>
      <c r="AL142" s="228">
        <v>0</v>
      </c>
      <c r="AM142" s="228">
        <v>0</v>
      </c>
      <c r="AN142" s="228">
        <v>0</v>
      </c>
      <c r="AO142" s="229">
        <v>0</v>
      </c>
      <c r="AP142" s="231">
        <v>70843.98</v>
      </c>
      <c r="AQ142" s="231">
        <v>71218.89</v>
      </c>
      <c r="AR142" s="228">
        <v>0</v>
      </c>
      <c r="AS142" s="228">
        <v>37</v>
      </c>
      <c r="AT142" s="228">
        <v>43</v>
      </c>
      <c r="AU142" s="228">
        <v>-6</v>
      </c>
      <c r="AV142" s="229">
        <v>-0.14460000000000001</v>
      </c>
      <c r="AW142" s="228">
        <v>30</v>
      </c>
      <c r="AX142" s="228">
        <v>42</v>
      </c>
      <c r="AY142" s="228">
        <v>-12</v>
      </c>
      <c r="AZ142" s="229">
        <v>-0.27539999999999998</v>
      </c>
      <c r="BA142" s="228">
        <v>6</v>
      </c>
      <c r="BB142" s="228">
        <v>1</v>
      </c>
      <c r="BC142" s="228">
        <v>5</v>
      </c>
      <c r="BD142" s="229">
        <v>5</v>
      </c>
      <c r="BE142" s="228">
        <v>0</v>
      </c>
      <c r="BF142" s="228">
        <v>0</v>
      </c>
      <c r="BG142" s="228">
        <v>0</v>
      </c>
      <c r="BH142" s="229">
        <v>0</v>
      </c>
      <c r="BI142" s="228">
        <v>35</v>
      </c>
      <c r="BJ142" s="228">
        <v>54</v>
      </c>
      <c r="BK142" s="228">
        <v>-19</v>
      </c>
      <c r="BL142" s="229">
        <v>-0.3498</v>
      </c>
      <c r="BM142" s="228">
        <v>41</v>
      </c>
      <c r="BN142" s="228">
        <v>24</v>
      </c>
      <c r="BO142" s="228">
        <v>16</v>
      </c>
      <c r="BP142" s="229">
        <v>0.68379999999999996</v>
      </c>
      <c r="BQ142" s="228">
        <v>112</v>
      </c>
      <c r="BR142" s="228">
        <v>121</v>
      </c>
      <c r="BS142" s="228">
        <v>-9</v>
      </c>
      <c r="BT142" s="229">
        <v>-7.0499999999999993E-2</v>
      </c>
      <c r="BU142" s="228">
        <v>0</v>
      </c>
      <c r="BV142" s="228">
        <v>0</v>
      </c>
      <c r="BW142" s="228">
        <v>0</v>
      </c>
      <c r="BX142" s="229">
        <v>0</v>
      </c>
      <c r="BY142" s="228">
        <v>153</v>
      </c>
      <c r="BZ142" s="228">
        <v>153</v>
      </c>
      <c r="CA142" s="228">
        <v>0</v>
      </c>
      <c r="CB142" s="229">
        <v>1.1999999999999999E-3</v>
      </c>
      <c r="CC142" s="228">
        <v>141</v>
      </c>
      <c r="CD142" s="228">
        <v>144</v>
      </c>
      <c r="CE142" s="228">
        <v>-4</v>
      </c>
      <c r="CF142" s="229">
        <v>-2.58E-2</v>
      </c>
      <c r="CG142" s="228">
        <v>13</v>
      </c>
      <c r="CH142" s="228">
        <v>9</v>
      </c>
      <c r="CI142" s="228">
        <v>4</v>
      </c>
      <c r="CJ142" s="229">
        <v>0.44</v>
      </c>
      <c r="CK142" s="228">
        <v>0</v>
      </c>
      <c r="CL142" s="228">
        <v>0</v>
      </c>
      <c r="CM142" s="228">
        <v>0</v>
      </c>
      <c r="CN142" s="229">
        <v>0</v>
      </c>
      <c r="CO142" s="228">
        <v>30</v>
      </c>
      <c r="CP142" s="228">
        <v>26</v>
      </c>
      <c r="CQ142" s="228">
        <v>4</v>
      </c>
      <c r="CR142" s="229">
        <v>0.1351</v>
      </c>
      <c r="CS142" s="228">
        <v>33</v>
      </c>
      <c r="CT142" s="228">
        <v>23</v>
      </c>
      <c r="CU142" s="228">
        <v>9</v>
      </c>
      <c r="CV142" s="229">
        <v>0.39389999999999997</v>
      </c>
      <c r="CW142" s="228">
        <v>216</v>
      </c>
      <c r="CX142" s="228">
        <v>203</v>
      </c>
      <c r="CY142" s="228">
        <v>13</v>
      </c>
      <c r="CZ142" s="229">
        <v>6.3799999999999996E-2</v>
      </c>
      <c r="DA142" s="228">
        <v>12.25</v>
      </c>
      <c r="DB142" s="228">
        <v>12.41</v>
      </c>
      <c r="DC142" s="228">
        <v>-0.16</v>
      </c>
      <c r="DD142" s="228">
        <v>-0.16</v>
      </c>
      <c r="DE142" s="228">
        <v>19.440000000000001</v>
      </c>
      <c r="DF142" s="228">
        <v>19.489999999999998</v>
      </c>
      <c r="DG142" s="228">
        <v>-7.19</v>
      </c>
      <c r="DH142" s="228">
        <v>-0.05</v>
      </c>
      <c r="DI142" s="228">
        <v>11.48</v>
      </c>
      <c r="DJ142" s="228">
        <v>12.12</v>
      </c>
      <c r="DK142" s="228">
        <v>-0.64</v>
      </c>
      <c r="DL142" s="228">
        <v>-0.64</v>
      </c>
      <c r="DM142" s="228">
        <v>12.9</v>
      </c>
      <c r="DN142" s="228">
        <v>13.06</v>
      </c>
      <c r="DO142" s="228">
        <v>-0.16</v>
      </c>
      <c r="DP142" s="228">
        <v>-0.16</v>
      </c>
      <c r="DQ142" s="228">
        <v>1.1000000000000001</v>
      </c>
      <c r="DR142" s="228">
        <v>0.89</v>
      </c>
      <c r="DS142" s="228">
        <v>0.21</v>
      </c>
      <c r="DT142" s="229">
        <v>0.23599999999999999</v>
      </c>
      <c r="DU142" s="231">
        <v>70000</v>
      </c>
      <c r="DV142" s="231">
        <v>69000</v>
      </c>
      <c r="DW142" s="228">
        <v>1.1599999999999999</v>
      </c>
      <c r="DX142" s="228">
        <v>0.45</v>
      </c>
      <c r="DY142" s="228">
        <v>0.71</v>
      </c>
      <c r="DZ142" s="229">
        <v>1.5778000000000001</v>
      </c>
      <c r="EA142" s="229">
        <v>8.3199999999999996E-2</v>
      </c>
      <c r="EB142" s="230">
        <v>1250</v>
      </c>
      <c r="EC142" s="229">
        <v>4.3E-3</v>
      </c>
      <c r="ED142" s="229">
        <v>8.3199999999999996E-2</v>
      </c>
      <c r="EE142" s="228">
        <v>374.91</v>
      </c>
      <c r="EF142" s="229">
        <v>5.3E-3</v>
      </c>
      <c r="EG142" s="228">
        <v>0</v>
      </c>
      <c r="EH142" s="228">
        <v>0</v>
      </c>
      <c r="EI142" s="229">
        <v>0</v>
      </c>
      <c r="EJ142" s="229">
        <v>0</v>
      </c>
      <c r="EK142" s="228">
        <v>35.270000000000003</v>
      </c>
      <c r="EL142" s="228">
        <v>40.43</v>
      </c>
      <c r="EM142" s="228">
        <v>36.700000000000003</v>
      </c>
      <c r="EN142" s="228">
        <v>0</v>
      </c>
      <c r="EO142" s="228">
        <v>112.39</v>
      </c>
      <c r="EP142" s="228">
        <v>120.84</v>
      </c>
      <c r="EQ142" s="228">
        <v>-8.4499999999999993</v>
      </c>
      <c r="ER142" s="229">
        <v>-6.9900000000000004E-2</v>
      </c>
      <c r="ES142" s="228">
        <v>29.46</v>
      </c>
      <c r="ET142" s="228">
        <v>31.96</v>
      </c>
      <c r="EU142" s="228">
        <v>153.38999999999999</v>
      </c>
      <c r="EV142" s="228">
        <v>0</v>
      </c>
      <c r="EW142" s="228">
        <v>214.81</v>
      </c>
      <c r="EX142" s="228">
        <v>201.92</v>
      </c>
      <c r="EY142" s="228">
        <v>12.89</v>
      </c>
      <c r="EZ142" s="229">
        <v>6.3799999999999996E-2</v>
      </c>
      <c r="FA142" s="229">
        <v>0</v>
      </c>
      <c r="FB142" s="227" t="s">
        <v>555</v>
      </c>
      <c r="FC142">
        <f t="shared" si="2"/>
        <v>12</v>
      </c>
    </row>
    <row r="143" spans="1:159" ht="17.25" thickBot="1" x14ac:dyDescent="0.3">
      <c r="A143" s="226">
        <v>46029</v>
      </c>
      <c r="B143" s="227" t="s">
        <v>227</v>
      </c>
      <c r="C143" s="227" t="s">
        <v>267</v>
      </c>
      <c r="D143" s="228">
        <v>6750</v>
      </c>
      <c r="E143" s="228">
        <v>20</v>
      </c>
      <c r="F143" s="228">
        <v>86.51</v>
      </c>
      <c r="G143" s="228">
        <v>84.25</v>
      </c>
      <c r="H143" s="228">
        <v>2.2599999999999998</v>
      </c>
      <c r="I143" s="229">
        <v>2.6800000000000001E-2</v>
      </c>
      <c r="J143" s="228">
        <v>86.16</v>
      </c>
      <c r="K143" s="228">
        <v>83.87</v>
      </c>
      <c r="L143" s="228">
        <v>2.29</v>
      </c>
      <c r="M143" s="229">
        <v>2.7300000000000001E-2</v>
      </c>
      <c r="N143" s="228">
        <v>86.51</v>
      </c>
      <c r="O143" s="228">
        <v>84.25</v>
      </c>
      <c r="P143" s="228">
        <v>2.2599999999999998</v>
      </c>
      <c r="Q143" s="229">
        <v>2.6800000000000001E-2</v>
      </c>
      <c r="R143" s="228">
        <v>86.95</v>
      </c>
      <c r="S143" s="228">
        <v>84.73</v>
      </c>
      <c r="T143" s="228">
        <v>2.2200000000000002</v>
      </c>
      <c r="U143" s="229">
        <v>2.6200000000000001E-2</v>
      </c>
      <c r="V143" s="228">
        <v>87.47</v>
      </c>
      <c r="W143" s="228">
        <v>85.23</v>
      </c>
      <c r="X143" s="228">
        <v>2.2400000000000002</v>
      </c>
      <c r="Y143" s="229">
        <v>2.63E-2</v>
      </c>
      <c r="Z143" s="228">
        <v>0.35</v>
      </c>
      <c r="AA143" s="228">
        <v>0.38</v>
      </c>
      <c r="AB143" s="228">
        <v>-0.03</v>
      </c>
      <c r="AC143" s="229">
        <v>4.1000000000000003E-3</v>
      </c>
      <c r="AD143" s="228">
        <v>0.35</v>
      </c>
      <c r="AE143" s="228">
        <v>0.38</v>
      </c>
      <c r="AF143" s="228">
        <v>-0.03</v>
      </c>
      <c r="AG143" s="229">
        <v>4.1000000000000003E-3</v>
      </c>
      <c r="AH143" s="228">
        <v>0.79</v>
      </c>
      <c r="AI143" s="228">
        <v>0.86</v>
      </c>
      <c r="AJ143" s="228">
        <v>-7.0000000000000007E-2</v>
      </c>
      <c r="AK143" s="229">
        <v>9.1999999999999998E-3</v>
      </c>
      <c r="AL143" s="228">
        <v>1.31</v>
      </c>
      <c r="AM143" s="228">
        <v>1.36</v>
      </c>
      <c r="AN143" s="228">
        <v>-0.05</v>
      </c>
      <c r="AO143" s="229">
        <v>1.52E-2</v>
      </c>
      <c r="AP143" s="228">
        <v>85.97</v>
      </c>
      <c r="AQ143" s="228">
        <v>86.39</v>
      </c>
      <c r="AR143" s="228">
        <v>0</v>
      </c>
      <c r="AS143" s="228">
        <v>675</v>
      </c>
      <c r="AT143" s="228">
        <v>264</v>
      </c>
      <c r="AU143" s="228">
        <v>411</v>
      </c>
      <c r="AV143" s="229">
        <v>1.5569999999999999</v>
      </c>
      <c r="AW143" s="228">
        <v>604</v>
      </c>
      <c r="AX143" s="228">
        <v>240</v>
      </c>
      <c r="AY143" s="228">
        <v>363</v>
      </c>
      <c r="AZ143" s="229">
        <v>1.5105999999999999</v>
      </c>
      <c r="BA143" s="228">
        <v>63</v>
      </c>
      <c r="BB143" s="228">
        <v>22</v>
      </c>
      <c r="BC143" s="228">
        <v>41</v>
      </c>
      <c r="BD143" s="229">
        <v>1.8225</v>
      </c>
      <c r="BE143" s="228">
        <v>8</v>
      </c>
      <c r="BF143" s="228">
        <v>1</v>
      </c>
      <c r="BG143" s="228">
        <v>7</v>
      </c>
      <c r="BH143" s="229">
        <v>6.2632000000000003</v>
      </c>
      <c r="BI143" s="230">
        <v>2190</v>
      </c>
      <c r="BJ143" s="228">
        <v>683</v>
      </c>
      <c r="BK143" s="230">
        <v>1507</v>
      </c>
      <c r="BL143" s="229">
        <v>2.2082999999999999</v>
      </c>
      <c r="BM143" s="228">
        <v>639</v>
      </c>
      <c r="BN143" s="228">
        <v>235</v>
      </c>
      <c r="BO143" s="228">
        <v>404</v>
      </c>
      <c r="BP143" s="229">
        <v>1.7165999999999999</v>
      </c>
      <c r="BQ143" s="230">
        <v>3504</v>
      </c>
      <c r="BR143" s="230">
        <v>1182</v>
      </c>
      <c r="BS143" s="230">
        <v>2322</v>
      </c>
      <c r="BT143" s="229">
        <v>1.9650000000000001</v>
      </c>
      <c r="BU143" s="230">
        <v>43404155</v>
      </c>
      <c r="BV143" s="230">
        <v>20958354</v>
      </c>
      <c r="BW143" s="230">
        <v>22445801</v>
      </c>
      <c r="BX143" s="229">
        <v>1.071</v>
      </c>
      <c r="BY143" s="230">
        <v>2921</v>
      </c>
      <c r="BZ143" s="230">
        <v>2925</v>
      </c>
      <c r="CA143" s="228">
        <v>-4</v>
      </c>
      <c r="CB143" s="229">
        <v>-1.4E-3</v>
      </c>
      <c r="CC143" s="230">
        <v>2812</v>
      </c>
      <c r="CD143" s="230">
        <v>2825</v>
      </c>
      <c r="CE143" s="228">
        <v>-13</v>
      </c>
      <c r="CF143" s="229">
        <v>-4.7000000000000002E-3</v>
      </c>
      <c r="CG143" s="228">
        <v>98</v>
      </c>
      <c r="CH143" s="228">
        <v>90</v>
      </c>
      <c r="CI143" s="228">
        <v>8</v>
      </c>
      <c r="CJ143" s="229">
        <v>8.7099999999999997E-2</v>
      </c>
      <c r="CK143" s="228">
        <v>11</v>
      </c>
      <c r="CL143" s="228">
        <v>10</v>
      </c>
      <c r="CM143" s="228">
        <v>1</v>
      </c>
      <c r="CN143" s="229">
        <v>0.14199999999999999</v>
      </c>
      <c r="CO143" s="230">
        <v>1103</v>
      </c>
      <c r="CP143" s="230">
        <v>1105</v>
      </c>
      <c r="CQ143" s="228">
        <v>-2</v>
      </c>
      <c r="CR143" s="229">
        <v>-1.5E-3</v>
      </c>
      <c r="CS143" s="228">
        <v>538</v>
      </c>
      <c r="CT143" s="228">
        <v>501</v>
      </c>
      <c r="CU143" s="228">
        <v>37</v>
      </c>
      <c r="CV143" s="229">
        <v>7.3899999999999993E-2</v>
      </c>
      <c r="CW143" s="230">
        <v>4562</v>
      </c>
      <c r="CX143" s="230">
        <v>4530</v>
      </c>
      <c r="CY143" s="228">
        <v>31</v>
      </c>
      <c r="CZ143" s="229">
        <v>6.8999999999999999E-3</v>
      </c>
      <c r="DA143" s="228">
        <v>28.71</v>
      </c>
      <c r="DB143" s="228">
        <v>28.47</v>
      </c>
      <c r="DC143" s="228">
        <v>0.24</v>
      </c>
      <c r="DD143" s="228">
        <v>0.24</v>
      </c>
      <c r="DE143" s="228">
        <v>37.130000000000003</v>
      </c>
      <c r="DF143" s="228">
        <v>37.049999999999997</v>
      </c>
      <c r="DG143" s="228">
        <v>-8.42</v>
      </c>
      <c r="DH143" s="228">
        <v>0.08</v>
      </c>
      <c r="DI143" s="228">
        <v>28.62</v>
      </c>
      <c r="DJ143" s="228">
        <v>28.34</v>
      </c>
      <c r="DK143" s="228">
        <v>0.28000000000000003</v>
      </c>
      <c r="DL143" s="228">
        <v>0.28000000000000003</v>
      </c>
      <c r="DM143" s="228">
        <v>29.02</v>
      </c>
      <c r="DN143" s="228">
        <v>28.86</v>
      </c>
      <c r="DO143" s="228">
        <v>0.16</v>
      </c>
      <c r="DP143" s="228">
        <v>0.16</v>
      </c>
      <c r="DQ143" s="228">
        <v>0.49</v>
      </c>
      <c r="DR143" s="228">
        <v>0.45</v>
      </c>
      <c r="DS143" s="228">
        <v>0.04</v>
      </c>
      <c r="DT143" s="229">
        <v>8.8900000000000007E-2</v>
      </c>
      <c r="DU143" s="228">
        <v>90</v>
      </c>
      <c r="DV143" s="228">
        <v>80</v>
      </c>
      <c r="DW143" s="228">
        <v>0.28999999999999998</v>
      </c>
      <c r="DX143" s="228">
        <v>0.34</v>
      </c>
      <c r="DY143" s="228">
        <v>-0.05</v>
      </c>
      <c r="DZ143" s="229">
        <v>-0.14710000000000001</v>
      </c>
      <c r="EA143" s="229">
        <v>3.73E-2</v>
      </c>
      <c r="EB143" s="230">
        <v>11529000</v>
      </c>
      <c r="EC143" s="229">
        <v>5.1000000000000004E-3</v>
      </c>
      <c r="ED143" s="229">
        <v>3.73E-2</v>
      </c>
      <c r="EE143" s="228">
        <v>0.42</v>
      </c>
      <c r="EF143" s="229">
        <v>4.8999999999999998E-3</v>
      </c>
      <c r="EG143" s="230">
        <v>16368924</v>
      </c>
      <c r="EH143" s="230">
        <v>9699584</v>
      </c>
      <c r="EI143" s="229">
        <v>0.68759999999999999</v>
      </c>
      <c r="EJ143" s="229">
        <v>0.37709999999999999</v>
      </c>
      <c r="EK143" s="231">
        <v>2260.11</v>
      </c>
      <c r="EL143" s="228">
        <v>625.85</v>
      </c>
      <c r="EM143" s="228">
        <v>670.95</v>
      </c>
      <c r="EN143" s="228">
        <v>59.48</v>
      </c>
      <c r="EO143" s="231">
        <v>3556.9</v>
      </c>
      <c r="EP143" s="231">
        <v>1173.45</v>
      </c>
      <c r="EQ143" s="231">
        <v>2383.4499999999998</v>
      </c>
      <c r="ER143" s="229">
        <v>2.0312000000000001</v>
      </c>
      <c r="ES143" s="231">
        <v>1103.8699999999999</v>
      </c>
      <c r="ET143" s="228">
        <v>496.89</v>
      </c>
      <c r="EU143" s="231">
        <v>2921.15</v>
      </c>
      <c r="EV143" s="231">
        <v>517037525</v>
      </c>
      <c r="EW143" s="231">
        <v>4521.91</v>
      </c>
      <c r="EX143" s="231">
        <v>4405.2700000000004</v>
      </c>
      <c r="EY143" s="228">
        <v>116.64</v>
      </c>
      <c r="EZ143" s="229">
        <v>2.6499999999999999E-2</v>
      </c>
      <c r="FA143" s="229">
        <v>1.0198</v>
      </c>
      <c r="FB143" s="227" t="s">
        <v>556</v>
      </c>
      <c r="FC143">
        <f t="shared" si="2"/>
        <v>109</v>
      </c>
    </row>
    <row r="144" spans="1:159" ht="17.25" thickBot="1" x14ac:dyDescent="0.3">
      <c r="A144" s="226">
        <v>46029</v>
      </c>
      <c r="B144" s="227" t="s">
        <v>161</v>
      </c>
      <c r="C144" s="227" t="s">
        <v>268</v>
      </c>
      <c r="D144" s="228">
        <v>1500</v>
      </c>
      <c r="E144" s="228">
        <v>20</v>
      </c>
      <c r="F144" s="228">
        <v>349.65</v>
      </c>
      <c r="G144" s="228">
        <v>351.45</v>
      </c>
      <c r="H144" s="228">
        <v>-1.8</v>
      </c>
      <c r="I144" s="229">
        <v>-5.1000000000000004E-3</v>
      </c>
      <c r="J144" s="228">
        <v>348.85</v>
      </c>
      <c r="K144" s="228">
        <v>350.8</v>
      </c>
      <c r="L144" s="228">
        <v>-1.95</v>
      </c>
      <c r="M144" s="229">
        <v>-5.5999999999999999E-3</v>
      </c>
      <c r="N144" s="228">
        <v>349.65</v>
      </c>
      <c r="O144" s="228">
        <v>351.45</v>
      </c>
      <c r="P144" s="228">
        <v>-1.8</v>
      </c>
      <c r="Q144" s="229">
        <v>-5.1000000000000004E-3</v>
      </c>
      <c r="R144" s="228">
        <v>349.5</v>
      </c>
      <c r="S144" s="228">
        <v>351.5</v>
      </c>
      <c r="T144" s="228">
        <v>-2</v>
      </c>
      <c r="U144" s="229">
        <v>-5.7000000000000002E-3</v>
      </c>
      <c r="V144" s="228">
        <v>352.1</v>
      </c>
      <c r="W144" s="228">
        <v>353.9</v>
      </c>
      <c r="X144" s="228">
        <v>-1.8</v>
      </c>
      <c r="Y144" s="229">
        <v>-5.1000000000000004E-3</v>
      </c>
      <c r="Z144" s="228">
        <v>0.8</v>
      </c>
      <c r="AA144" s="228">
        <v>0.65</v>
      </c>
      <c r="AB144" s="228">
        <v>0.15</v>
      </c>
      <c r="AC144" s="229">
        <v>2.3E-3</v>
      </c>
      <c r="AD144" s="228">
        <v>0.8</v>
      </c>
      <c r="AE144" s="228">
        <v>0.65</v>
      </c>
      <c r="AF144" s="228">
        <v>0.15</v>
      </c>
      <c r="AG144" s="229">
        <v>2.3E-3</v>
      </c>
      <c r="AH144" s="228">
        <v>0.65</v>
      </c>
      <c r="AI144" s="228">
        <v>0.7</v>
      </c>
      <c r="AJ144" s="228">
        <v>-0.05</v>
      </c>
      <c r="AK144" s="229">
        <v>1.9E-3</v>
      </c>
      <c r="AL144" s="228">
        <v>3.25</v>
      </c>
      <c r="AM144" s="228">
        <v>3.1</v>
      </c>
      <c r="AN144" s="228">
        <v>0.15</v>
      </c>
      <c r="AO144" s="229">
        <v>9.2999999999999992E-3</v>
      </c>
      <c r="AP144" s="228">
        <v>349.01</v>
      </c>
      <c r="AQ144" s="228">
        <v>348.97</v>
      </c>
      <c r="AR144" s="228">
        <v>0</v>
      </c>
      <c r="AS144" s="228">
        <v>211</v>
      </c>
      <c r="AT144" s="228">
        <v>330</v>
      </c>
      <c r="AU144" s="228">
        <v>-119</v>
      </c>
      <c r="AV144" s="229">
        <v>-0.36109999999999998</v>
      </c>
      <c r="AW144" s="228">
        <v>191</v>
      </c>
      <c r="AX144" s="228">
        <v>310</v>
      </c>
      <c r="AY144" s="228">
        <v>-119</v>
      </c>
      <c r="AZ144" s="229">
        <v>-0.38379999999999997</v>
      </c>
      <c r="BA144" s="228">
        <v>18</v>
      </c>
      <c r="BB144" s="228">
        <v>19</v>
      </c>
      <c r="BC144" s="228">
        <v>0</v>
      </c>
      <c r="BD144" s="229">
        <v>-2.5000000000000001E-2</v>
      </c>
      <c r="BE144" s="228">
        <v>2</v>
      </c>
      <c r="BF144" s="228">
        <v>1</v>
      </c>
      <c r="BG144" s="228">
        <v>0</v>
      </c>
      <c r="BH144" s="229">
        <v>0.1111</v>
      </c>
      <c r="BI144" s="228">
        <v>909</v>
      </c>
      <c r="BJ144" s="230">
        <v>1348</v>
      </c>
      <c r="BK144" s="228">
        <v>-439</v>
      </c>
      <c r="BL144" s="229">
        <v>-0.32550000000000001</v>
      </c>
      <c r="BM144" s="228">
        <v>421</v>
      </c>
      <c r="BN144" s="228">
        <v>666</v>
      </c>
      <c r="BO144" s="228">
        <v>-245</v>
      </c>
      <c r="BP144" s="229">
        <v>-0.36749999999999999</v>
      </c>
      <c r="BQ144" s="230">
        <v>1541</v>
      </c>
      <c r="BR144" s="230">
        <v>2344</v>
      </c>
      <c r="BS144" s="228">
        <v>-803</v>
      </c>
      <c r="BT144" s="229">
        <v>-0.34250000000000003</v>
      </c>
      <c r="BU144" s="230">
        <v>7404934</v>
      </c>
      <c r="BV144" s="230">
        <v>10044260</v>
      </c>
      <c r="BW144" s="230">
        <v>-2639326</v>
      </c>
      <c r="BX144" s="229">
        <v>-0.26279999999999998</v>
      </c>
      <c r="BY144" s="230">
        <v>2903</v>
      </c>
      <c r="BZ144" s="230">
        <v>2896</v>
      </c>
      <c r="CA144" s="228">
        <v>7</v>
      </c>
      <c r="CB144" s="229">
        <v>2.5999999999999999E-3</v>
      </c>
      <c r="CC144" s="230">
        <v>2647</v>
      </c>
      <c r="CD144" s="230">
        <v>2644</v>
      </c>
      <c r="CE144" s="228">
        <v>3</v>
      </c>
      <c r="CF144" s="229">
        <v>1.1000000000000001E-3</v>
      </c>
      <c r="CG144" s="228">
        <v>241</v>
      </c>
      <c r="CH144" s="228">
        <v>237</v>
      </c>
      <c r="CI144" s="228">
        <v>4</v>
      </c>
      <c r="CJ144" s="229">
        <v>1.77E-2</v>
      </c>
      <c r="CK144" s="228">
        <v>15</v>
      </c>
      <c r="CL144" s="228">
        <v>15</v>
      </c>
      <c r="CM144" s="228">
        <v>0</v>
      </c>
      <c r="CN144" s="229">
        <v>2.4400000000000002E-2</v>
      </c>
      <c r="CO144" s="230">
        <v>1483</v>
      </c>
      <c r="CP144" s="230">
        <v>1457</v>
      </c>
      <c r="CQ144" s="228">
        <v>26</v>
      </c>
      <c r="CR144" s="229">
        <v>1.7999999999999999E-2</v>
      </c>
      <c r="CS144" s="228">
        <v>917</v>
      </c>
      <c r="CT144" s="228">
        <v>933</v>
      </c>
      <c r="CU144" s="228">
        <v>-17</v>
      </c>
      <c r="CV144" s="229">
        <v>-1.77E-2</v>
      </c>
      <c r="CW144" s="230">
        <v>5303</v>
      </c>
      <c r="CX144" s="230">
        <v>5286</v>
      </c>
      <c r="CY144" s="228">
        <v>17</v>
      </c>
      <c r="CZ144" s="229">
        <v>3.3E-3</v>
      </c>
      <c r="DA144" s="228">
        <v>17.46</v>
      </c>
      <c r="DB144" s="228">
        <v>17.579999999999998</v>
      </c>
      <c r="DC144" s="228">
        <v>-0.12</v>
      </c>
      <c r="DD144" s="228">
        <v>-0.12</v>
      </c>
      <c r="DE144" s="228">
        <v>26.79</v>
      </c>
      <c r="DF144" s="228">
        <v>26.85</v>
      </c>
      <c r="DG144" s="228">
        <v>-9.33</v>
      </c>
      <c r="DH144" s="228">
        <v>-0.06</v>
      </c>
      <c r="DI144" s="228">
        <v>17.260000000000002</v>
      </c>
      <c r="DJ144" s="228">
        <v>17.27</v>
      </c>
      <c r="DK144" s="228">
        <v>-0.01</v>
      </c>
      <c r="DL144" s="228">
        <v>-0.01</v>
      </c>
      <c r="DM144" s="228">
        <v>17.899999999999999</v>
      </c>
      <c r="DN144" s="228">
        <v>18.2</v>
      </c>
      <c r="DO144" s="228">
        <v>-0.3</v>
      </c>
      <c r="DP144" s="228">
        <v>-0.3</v>
      </c>
      <c r="DQ144" s="228">
        <v>0.62</v>
      </c>
      <c r="DR144" s="228">
        <v>0.64</v>
      </c>
      <c r="DS144" s="228">
        <v>-0.02</v>
      </c>
      <c r="DT144" s="229">
        <v>-3.1300000000000001E-2</v>
      </c>
      <c r="DU144" s="228">
        <v>360</v>
      </c>
      <c r="DV144" s="228">
        <v>330</v>
      </c>
      <c r="DW144" s="228">
        <v>0.46</v>
      </c>
      <c r="DX144" s="228">
        <v>0.49</v>
      </c>
      <c r="DY144" s="228">
        <v>-0.03</v>
      </c>
      <c r="DZ144" s="229">
        <v>-6.1199999999999997E-2</v>
      </c>
      <c r="EA144" s="229">
        <v>8.8300000000000003E-2</v>
      </c>
      <c r="EB144" s="230">
        <v>7201500</v>
      </c>
      <c r="EC144" s="229">
        <v>-4.0000000000000002E-4</v>
      </c>
      <c r="ED144" s="229">
        <v>8.8300000000000003E-2</v>
      </c>
      <c r="EE144" s="228">
        <v>-0.04</v>
      </c>
      <c r="EF144" s="229">
        <v>-1E-4</v>
      </c>
      <c r="EG144" s="230">
        <v>4754583</v>
      </c>
      <c r="EH144" s="230">
        <v>7180699</v>
      </c>
      <c r="EI144" s="229">
        <v>-0.33789999999999998</v>
      </c>
      <c r="EJ144" s="229">
        <v>0.6421</v>
      </c>
      <c r="EK144" s="228">
        <v>937.19</v>
      </c>
      <c r="EL144" s="228">
        <v>416.43</v>
      </c>
      <c r="EM144" s="228">
        <v>210.51</v>
      </c>
      <c r="EN144" s="228">
        <v>91.97</v>
      </c>
      <c r="EO144" s="231">
        <v>1564.13</v>
      </c>
      <c r="EP144" s="231">
        <v>2387.84</v>
      </c>
      <c r="EQ144" s="228">
        <v>-823.71</v>
      </c>
      <c r="ER144" s="229">
        <v>-0.34499999999999997</v>
      </c>
      <c r="ES144" s="231">
        <v>1503.45</v>
      </c>
      <c r="ET144" s="228">
        <v>878.78</v>
      </c>
      <c r="EU144" s="231">
        <v>2903.24</v>
      </c>
      <c r="EV144" s="231">
        <v>474131988</v>
      </c>
      <c r="EW144" s="231">
        <v>5285.46</v>
      </c>
      <c r="EX144" s="231">
        <v>5281.02</v>
      </c>
      <c r="EY144" s="228">
        <v>4.4400000000000004</v>
      </c>
      <c r="EZ144" s="229">
        <v>8.0000000000000004E-4</v>
      </c>
      <c r="FA144" s="229">
        <v>0.31990000000000002</v>
      </c>
      <c r="FB144" s="227" t="s">
        <v>567</v>
      </c>
      <c r="FC144">
        <f t="shared" si="2"/>
        <v>256</v>
      </c>
    </row>
    <row r="145" spans="1:159" ht="17.25" thickBot="1" x14ac:dyDescent="0.3">
      <c r="A145" s="226">
        <v>46029</v>
      </c>
      <c r="B145" s="227" t="s">
        <v>175</v>
      </c>
      <c r="C145" s="227" t="s">
        <v>685</v>
      </c>
      <c r="D145" s="228">
        <v>500</v>
      </c>
      <c r="E145" s="228">
        <v>20</v>
      </c>
      <c r="F145" s="231">
        <v>1487</v>
      </c>
      <c r="G145" s="231">
        <v>1486.8</v>
      </c>
      <c r="H145" s="228">
        <v>0.2</v>
      </c>
      <c r="I145" s="229">
        <v>1E-4</v>
      </c>
      <c r="J145" s="231">
        <v>1478.9</v>
      </c>
      <c r="K145" s="231">
        <v>1478.5</v>
      </c>
      <c r="L145" s="228">
        <v>0.4</v>
      </c>
      <c r="M145" s="229">
        <v>2.9999999999999997E-4</v>
      </c>
      <c r="N145" s="231">
        <v>1487</v>
      </c>
      <c r="O145" s="231">
        <v>1486.8</v>
      </c>
      <c r="P145" s="228">
        <v>0.2</v>
      </c>
      <c r="Q145" s="229">
        <v>1E-4</v>
      </c>
      <c r="R145" s="231">
        <v>1494.3</v>
      </c>
      <c r="S145" s="231">
        <v>1492.7</v>
      </c>
      <c r="T145" s="228">
        <v>1.6</v>
      </c>
      <c r="U145" s="229">
        <v>1.1000000000000001E-3</v>
      </c>
      <c r="V145" s="231">
        <v>1491.6</v>
      </c>
      <c r="W145" s="231">
        <v>1491.6</v>
      </c>
      <c r="X145" s="228">
        <v>0</v>
      </c>
      <c r="Y145" s="229">
        <v>0</v>
      </c>
      <c r="Z145" s="228">
        <v>8.1</v>
      </c>
      <c r="AA145" s="228">
        <v>8.3000000000000007</v>
      </c>
      <c r="AB145" s="228">
        <v>-0.2</v>
      </c>
      <c r="AC145" s="229">
        <v>5.4999999999999997E-3</v>
      </c>
      <c r="AD145" s="228">
        <v>8.1</v>
      </c>
      <c r="AE145" s="228">
        <v>8.3000000000000007</v>
      </c>
      <c r="AF145" s="228">
        <v>-0.2</v>
      </c>
      <c r="AG145" s="229">
        <v>5.4999999999999997E-3</v>
      </c>
      <c r="AH145" s="228">
        <v>15.4</v>
      </c>
      <c r="AI145" s="228">
        <v>14.2</v>
      </c>
      <c r="AJ145" s="228">
        <v>1.2</v>
      </c>
      <c r="AK145" s="229">
        <v>1.04E-2</v>
      </c>
      <c r="AL145" s="228">
        <v>12.7</v>
      </c>
      <c r="AM145" s="228">
        <v>13.1</v>
      </c>
      <c r="AN145" s="228">
        <v>-0.4</v>
      </c>
      <c r="AO145" s="229">
        <v>8.6E-3</v>
      </c>
      <c r="AP145" s="231">
        <v>1484.41</v>
      </c>
      <c r="AQ145" s="231">
        <v>1489.05</v>
      </c>
      <c r="AR145" s="228">
        <v>0</v>
      </c>
      <c r="AS145" s="228">
        <v>46</v>
      </c>
      <c r="AT145" s="228">
        <v>50</v>
      </c>
      <c r="AU145" s="228">
        <v>-4</v>
      </c>
      <c r="AV145" s="229">
        <v>-7.8399999999999997E-2</v>
      </c>
      <c r="AW145" s="228">
        <v>45</v>
      </c>
      <c r="AX145" s="228">
        <v>49</v>
      </c>
      <c r="AY145" s="228">
        <v>-4</v>
      </c>
      <c r="AZ145" s="229">
        <v>-8.09E-2</v>
      </c>
      <c r="BA145" s="228">
        <v>2</v>
      </c>
      <c r="BB145" s="228">
        <v>1</v>
      </c>
      <c r="BC145" s="228">
        <v>0</v>
      </c>
      <c r="BD145" s="229">
        <v>0.05</v>
      </c>
      <c r="BE145" s="228">
        <v>0</v>
      </c>
      <c r="BF145" s="228">
        <v>0</v>
      </c>
      <c r="BG145" s="228">
        <v>0</v>
      </c>
      <c r="BH145" s="229">
        <v>-1</v>
      </c>
      <c r="BI145" s="228">
        <v>91</v>
      </c>
      <c r="BJ145" s="228">
        <v>87</v>
      </c>
      <c r="BK145" s="228">
        <v>5</v>
      </c>
      <c r="BL145" s="229">
        <v>5.5800000000000002E-2</v>
      </c>
      <c r="BM145" s="228">
        <v>17</v>
      </c>
      <c r="BN145" s="228">
        <v>28</v>
      </c>
      <c r="BO145" s="228">
        <v>-11</v>
      </c>
      <c r="BP145" s="229">
        <v>-0.39729999999999999</v>
      </c>
      <c r="BQ145" s="228">
        <v>154</v>
      </c>
      <c r="BR145" s="228">
        <v>164</v>
      </c>
      <c r="BS145" s="228">
        <v>-10</v>
      </c>
      <c r="BT145" s="229">
        <v>-6.1100000000000002E-2</v>
      </c>
      <c r="BU145" s="230">
        <v>233871</v>
      </c>
      <c r="BV145" s="230">
        <v>219424</v>
      </c>
      <c r="BW145" s="230">
        <v>14447</v>
      </c>
      <c r="BX145" s="229">
        <v>6.5799999999999997E-2</v>
      </c>
      <c r="BY145" s="228">
        <v>340</v>
      </c>
      <c r="BZ145" s="228">
        <v>345</v>
      </c>
      <c r="CA145" s="228">
        <v>-5</v>
      </c>
      <c r="CB145" s="229">
        <v>-1.44E-2</v>
      </c>
      <c r="CC145" s="228">
        <v>334</v>
      </c>
      <c r="CD145" s="228">
        <v>339</v>
      </c>
      <c r="CE145" s="228">
        <v>-5</v>
      </c>
      <c r="CF145" s="229">
        <v>-1.3599999999999999E-2</v>
      </c>
      <c r="CG145" s="228">
        <v>5</v>
      </c>
      <c r="CH145" s="228">
        <v>6</v>
      </c>
      <c r="CI145" s="228">
        <v>0</v>
      </c>
      <c r="CJ145" s="229">
        <v>-6.5799999999999997E-2</v>
      </c>
      <c r="CK145" s="228">
        <v>0</v>
      </c>
      <c r="CL145" s="228">
        <v>0</v>
      </c>
      <c r="CM145" s="228">
        <v>0</v>
      </c>
      <c r="CN145" s="229">
        <v>0</v>
      </c>
      <c r="CO145" s="228">
        <v>200</v>
      </c>
      <c r="CP145" s="228">
        <v>197</v>
      </c>
      <c r="CQ145" s="228">
        <v>3</v>
      </c>
      <c r="CR145" s="229">
        <v>1.3599999999999999E-2</v>
      </c>
      <c r="CS145" s="228">
        <v>102</v>
      </c>
      <c r="CT145" s="228">
        <v>103</v>
      </c>
      <c r="CU145" s="228">
        <v>-2</v>
      </c>
      <c r="CV145" s="229">
        <v>-1.6500000000000001E-2</v>
      </c>
      <c r="CW145" s="228">
        <v>641</v>
      </c>
      <c r="CX145" s="228">
        <v>645</v>
      </c>
      <c r="CY145" s="228">
        <v>-4</v>
      </c>
      <c r="CZ145" s="229">
        <v>-6.1999999999999998E-3</v>
      </c>
      <c r="DA145" s="228">
        <v>30.39</v>
      </c>
      <c r="DB145" s="228">
        <v>30.53</v>
      </c>
      <c r="DC145" s="228">
        <v>-0.14000000000000001</v>
      </c>
      <c r="DD145" s="228">
        <v>-0.14000000000000001</v>
      </c>
      <c r="DE145" s="228">
        <v>48.1</v>
      </c>
      <c r="DF145" s="228">
        <v>48.22</v>
      </c>
      <c r="DG145" s="228">
        <v>-17.71</v>
      </c>
      <c r="DH145" s="228">
        <v>-0.12</v>
      </c>
      <c r="DI145" s="228">
        <v>30.3</v>
      </c>
      <c r="DJ145" s="228">
        <v>30.16</v>
      </c>
      <c r="DK145" s="228">
        <v>0.14000000000000001</v>
      </c>
      <c r="DL145" s="228">
        <v>0.14000000000000001</v>
      </c>
      <c r="DM145" s="228">
        <v>30.87</v>
      </c>
      <c r="DN145" s="228">
        <v>31.67</v>
      </c>
      <c r="DO145" s="228">
        <v>-0.8</v>
      </c>
      <c r="DP145" s="228">
        <v>-0.8</v>
      </c>
      <c r="DQ145" s="228">
        <v>0.51</v>
      </c>
      <c r="DR145" s="228">
        <v>0.52</v>
      </c>
      <c r="DS145" s="228">
        <v>-0.01</v>
      </c>
      <c r="DT145" s="229">
        <v>-1.9199999999999998E-2</v>
      </c>
      <c r="DU145" s="231">
        <v>1500</v>
      </c>
      <c r="DV145" s="231">
        <v>1400</v>
      </c>
      <c r="DW145" s="228">
        <v>0.18</v>
      </c>
      <c r="DX145" s="228">
        <v>0.32</v>
      </c>
      <c r="DY145" s="228">
        <v>-0.14000000000000001</v>
      </c>
      <c r="DZ145" s="229">
        <v>-0.4375</v>
      </c>
      <c r="EA145" s="229">
        <v>1.6E-2</v>
      </c>
      <c r="EB145" s="230">
        <v>39000</v>
      </c>
      <c r="EC145" s="229">
        <v>4.8999999999999998E-3</v>
      </c>
      <c r="ED145" s="229">
        <v>1.6E-2</v>
      </c>
      <c r="EE145" s="228">
        <v>4.6399999999999997</v>
      </c>
      <c r="EF145" s="229">
        <v>3.0999999999999999E-3</v>
      </c>
      <c r="EG145" s="230">
        <v>107140</v>
      </c>
      <c r="EH145" s="230">
        <v>96773</v>
      </c>
      <c r="EI145" s="229">
        <v>0.1071</v>
      </c>
      <c r="EJ145" s="229">
        <v>0.45810000000000001</v>
      </c>
      <c r="EK145" s="228">
        <v>96.47</v>
      </c>
      <c r="EL145" s="228">
        <v>16.46</v>
      </c>
      <c r="EM145" s="228">
        <v>46.24</v>
      </c>
      <c r="EN145" s="228">
        <v>8.75</v>
      </c>
      <c r="EO145" s="228">
        <v>159.18</v>
      </c>
      <c r="EP145" s="228">
        <v>168.4</v>
      </c>
      <c r="EQ145" s="228">
        <v>-9.23</v>
      </c>
      <c r="ER145" s="229">
        <v>-5.4800000000000001E-2</v>
      </c>
      <c r="ES145" s="228">
        <v>207.04</v>
      </c>
      <c r="ET145" s="228">
        <v>96.96</v>
      </c>
      <c r="EU145" s="228">
        <v>339.81</v>
      </c>
      <c r="EV145" s="231">
        <v>12267678</v>
      </c>
      <c r="EW145" s="228">
        <v>643.79999999999995</v>
      </c>
      <c r="EX145" s="228">
        <v>647.74</v>
      </c>
      <c r="EY145" s="228">
        <v>-3.94</v>
      </c>
      <c r="EZ145" s="229">
        <v>-6.1000000000000004E-3</v>
      </c>
      <c r="FA145" s="229">
        <v>0.35149999999999998</v>
      </c>
      <c r="FB145" s="227" t="s">
        <v>556</v>
      </c>
      <c r="FC145">
        <f t="shared" si="2"/>
        <v>6</v>
      </c>
    </row>
    <row r="146" spans="1:159" ht="17.25" thickBot="1" x14ac:dyDescent="0.3">
      <c r="A146" s="226">
        <v>46029</v>
      </c>
      <c r="B146" s="227" t="s">
        <v>615</v>
      </c>
      <c r="C146" s="227" t="s">
        <v>613</v>
      </c>
      <c r="D146" s="228">
        <v>3125</v>
      </c>
      <c r="E146" s="228">
        <v>20</v>
      </c>
      <c r="F146" s="228">
        <v>267.55</v>
      </c>
      <c r="G146" s="228">
        <v>269.89999999999998</v>
      </c>
      <c r="H146" s="228">
        <v>-2.35</v>
      </c>
      <c r="I146" s="229">
        <v>-8.6999999999999994E-3</v>
      </c>
      <c r="J146" s="228">
        <v>266.35000000000002</v>
      </c>
      <c r="K146" s="228">
        <v>269.05</v>
      </c>
      <c r="L146" s="228">
        <v>-2.7</v>
      </c>
      <c r="M146" s="229">
        <v>-0.01</v>
      </c>
      <c r="N146" s="228">
        <v>267.55</v>
      </c>
      <c r="O146" s="228">
        <v>269.89999999999998</v>
      </c>
      <c r="P146" s="228">
        <v>-2.35</v>
      </c>
      <c r="Q146" s="229">
        <v>-8.6999999999999994E-3</v>
      </c>
      <c r="R146" s="228">
        <v>267.85000000000002</v>
      </c>
      <c r="S146" s="228">
        <v>270.14999999999998</v>
      </c>
      <c r="T146" s="228">
        <v>-2.2999999999999998</v>
      </c>
      <c r="U146" s="229">
        <v>-8.5000000000000006E-3</v>
      </c>
      <c r="V146" s="228">
        <v>267.39999999999998</v>
      </c>
      <c r="W146" s="228">
        <v>268.95</v>
      </c>
      <c r="X146" s="228">
        <v>-1.55</v>
      </c>
      <c r="Y146" s="229">
        <v>-5.7999999999999996E-3</v>
      </c>
      <c r="Z146" s="228">
        <v>1.2</v>
      </c>
      <c r="AA146" s="228">
        <v>0.85</v>
      </c>
      <c r="AB146" s="228">
        <v>0.35</v>
      </c>
      <c r="AC146" s="229">
        <v>4.4999999999999997E-3</v>
      </c>
      <c r="AD146" s="228">
        <v>1.2</v>
      </c>
      <c r="AE146" s="228">
        <v>0.85</v>
      </c>
      <c r="AF146" s="228">
        <v>0.35</v>
      </c>
      <c r="AG146" s="229">
        <v>4.4999999999999997E-3</v>
      </c>
      <c r="AH146" s="228">
        <v>1.5</v>
      </c>
      <c r="AI146" s="228">
        <v>1.1000000000000001</v>
      </c>
      <c r="AJ146" s="228">
        <v>0.4</v>
      </c>
      <c r="AK146" s="229">
        <v>5.5999999999999999E-3</v>
      </c>
      <c r="AL146" s="228">
        <v>1.05</v>
      </c>
      <c r="AM146" s="228">
        <v>-0.1</v>
      </c>
      <c r="AN146" s="228">
        <v>1.1499999999999999</v>
      </c>
      <c r="AO146" s="229">
        <v>3.8999999999999998E-3</v>
      </c>
      <c r="AP146" s="228">
        <v>268.04000000000002</v>
      </c>
      <c r="AQ146" s="228">
        <v>268.39</v>
      </c>
      <c r="AR146" s="228">
        <v>0</v>
      </c>
      <c r="AS146" s="228">
        <v>190</v>
      </c>
      <c r="AT146" s="228">
        <v>108</v>
      </c>
      <c r="AU146" s="228">
        <v>82</v>
      </c>
      <c r="AV146" s="229">
        <v>0.75700000000000001</v>
      </c>
      <c r="AW146" s="228">
        <v>182</v>
      </c>
      <c r="AX146" s="228">
        <v>103</v>
      </c>
      <c r="AY146" s="228">
        <v>79</v>
      </c>
      <c r="AZ146" s="229">
        <v>0.76149999999999995</v>
      </c>
      <c r="BA146" s="228">
        <v>6</v>
      </c>
      <c r="BB146" s="228">
        <v>4</v>
      </c>
      <c r="BC146" s="228">
        <v>2</v>
      </c>
      <c r="BD146" s="229">
        <v>0.60419999999999996</v>
      </c>
      <c r="BE146" s="228">
        <v>1</v>
      </c>
      <c r="BF146" s="228">
        <v>1</v>
      </c>
      <c r="BG146" s="228">
        <v>1</v>
      </c>
      <c r="BH146" s="229">
        <v>1</v>
      </c>
      <c r="BI146" s="228">
        <v>323</v>
      </c>
      <c r="BJ146" s="228">
        <v>166</v>
      </c>
      <c r="BK146" s="228">
        <v>157</v>
      </c>
      <c r="BL146" s="229">
        <v>0.94069999999999998</v>
      </c>
      <c r="BM146" s="228">
        <v>139</v>
      </c>
      <c r="BN146" s="228">
        <v>108</v>
      </c>
      <c r="BO146" s="228">
        <v>31</v>
      </c>
      <c r="BP146" s="229">
        <v>0.28160000000000002</v>
      </c>
      <c r="BQ146" s="228">
        <v>652</v>
      </c>
      <c r="BR146" s="228">
        <v>383</v>
      </c>
      <c r="BS146" s="228">
        <v>269</v>
      </c>
      <c r="BT146" s="229">
        <v>0.70230000000000004</v>
      </c>
      <c r="BU146" s="230">
        <v>5328946</v>
      </c>
      <c r="BV146" s="230">
        <v>2887895</v>
      </c>
      <c r="BW146" s="230">
        <v>2441051</v>
      </c>
      <c r="BX146" s="229">
        <v>0.84530000000000005</v>
      </c>
      <c r="BY146" s="230">
        <v>1194</v>
      </c>
      <c r="BZ146" s="230">
        <v>1194</v>
      </c>
      <c r="CA146" s="228">
        <v>0</v>
      </c>
      <c r="CB146" s="229">
        <v>-1E-4</v>
      </c>
      <c r="CC146" s="230">
        <v>1162</v>
      </c>
      <c r="CD146" s="230">
        <v>1163</v>
      </c>
      <c r="CE146" s="228">
        <v>-2</v>
      </c>
      <c r="CF146" s="229">
        <v>-1.2999999999999999E-3</v>
      </c>
      <c r="CG146" s="228">
        <v>31</v>
      </c>
      <c r="CH146" s="228">
        <v>30</v>
      </c>
      <c r="CI146" s="228">
        <v>1</v>
      </c>
      <c r="CJ146" s="229">
        <v>2.81E-2</v>
      </c>
      <c r="CK146" s="228">
        <v>2</v>
      </c>
      <c r="CL146" s="228">
        <v>1</v>
      </c>
      <c r="CM146" s="228">
        <v>1</v>
      </c>
      <c r="CN146" s="229">
        <v>0.58330000000000004</v>
      </c>
      <c r="CO146" s="228">
        <v>281</v>
      </c>
      <c r="CP146" s="228">
        <v>253</v>
      </c>
      <c r="CQ146" s="228">
        <v>29</v>
      </c>
      <c r="CR146" s="229">
        <v>0.1139</v>
      </c>
      <c r="CS146" s="228">
        <v>237</v>
      </c>
      <c r="CT146" s="228">
        <v>226</v>
      </c>
      <c r="CU146" s="228">
        <v>11</v>
      </c>
      <c r="CV146" s="229">
        <v>4.8000000000000001E-2</v>
      </c>
      <c r="CW146" s="230">
        <v>1712</v>
      </c>
      <c r="CX146" s="230">
        <v>1673</v>
      </c>
      <c r="CY146" s="228">
        <v>40</v>
      </c>
      <c r="CZ146" s="229">
        <v>2.3599999999999999E-2</v>
      </c>
      <c r="DA146" s="228">
        <v>26.11</v>
      </c>
      <c r="DB146" s="228">
        <v>26.18</v>
      </c>
      <c r="DC146" s="228">
        <v>-7.0000000000000007E-2</v>
      </c>
      <c r="DD146" s="228">
        <v>-7.0000000000000007E-2</v>
      </c>
      <c r="DE146" s="228">
        <v>35.270000000000003</v>
      </c>
      <c r="DF146" s="228">
        <v>35.33</v>
      </c>
      <c r="DG146" s="228">
        <v>-9.16</v>
      </c>
      <c r="DH146" s="228">
        <v>-0.06</v>
      </c>
      <c r="DI146" s="228">
        <v>26.36</v>
      </c>
      <c r="DJ146" s="228">
        <v>25.86</v>
      </c>
      <c r="DK146" s="228">
        <v>0.5</v>
      </c>
      <c r="DL146" s="228">
        <v>0.5</v>
      </c>
      <c r="DM146" s="228">
        <v>25.53</v>
      </c>
      <c r="DN146" s="228">
        <v>26.67</v>
      </c>
      <c r="DO146" s="228">
        <v>-1.1399999999999999</v>
      </c>
      <c r="DP146" s="228">
        <v>-1.1399999999999999</v>
      </c>
      <c r="DQ146" s="228">
        <v>0.84</v>
      </c>
      <c r="DR146" s="228">
        <v>0.9</v>
      </c>
      <c r="DS146" s="228">
        <v>-0.06</v>
      </c>
      <c r="DT146" s="229">
        <v>-6.6699999999999995E-2</v>
      </c>
      <c r="DU146" s="228">
        <v>270</v>
      </c>
      <c r="DV146" s="228">
        <v>260</v>
      </c>
      <c r="DW146" s="228">
        <v>0.43</v>
      </c>
      <c r="DX146" s="228">
        <v>0.65</v>
      </c>
      <c r="DY146" s="228">
        <v>-0.22</v>
      </c>
      <c r="DZ146" s="229">
        <v>-0.33850000000000002</v>
      </c>
      <c r="EA146" s="229">
        <v>2.7E-2</v>
      </c>
      <c r="EB146" s="230">
        <v>1150000</v>
      </c>
      <c r="EC146" s="229">
        <v>1.1000000000000001E-3</v>
      </c>
      <c r="ED146" s="229">
        <v>2.7E-2</v>
      </c>
      <c r="EE146" s="228">
        <v>0.35</v>
      </c>
      <c r="EF146" s="229">
        <v>1.2999999999999999E-3</v>
      </c>
      <c r="EG146" s="230">
        <v>2899706</v>
      </c>
      <c r="EH146" s="230">
        <v>1430808</v>
      </c>
      <c r="EI146" s="229">
        <v>1.0266</v>
      </c>
      <c r="EJ146" s="229">
        <v>0.54410000000000003</v>
      </c>
      <c r="EK146" s="228">
        <v>336.98</v>
      </c>
      <c r="EL146" s="228">
        <v>137.96</v>
      </c>
      <c r="EM146" s="228">
        <v>190.15</v>
      </c>
      <c r="EN146" s="228">
        <v>21.36</v>
      </c>
      <c r="EO146" s="228">
        <v>665.09</v>
      </c>
      <c r="EP146" s="228">
        <v>389.76</v>
      </c>
      <c r="EQ146" s="228">
        <v>275.32</v>
      </c>
      <c r="ER146" s="229">
        <v>0.70640000000000003</v>
      </c>
      <c r="ES146" s="228">
        <v>288.92</v>
      </c>
      <c r="ET146" s="228">
        <v>228.01</v>
      </c>
      <c r="EU146" s="231">
        <v>1193.81</v>
      </c>
      <c r="EV146" s="231">
        <v>205483040</v>
      </c>
      <c r="EW146" s="231">
        <v>1710.75</v>
      </c>
      <c r="EX146" s="231">
        <v>1681.04</v>
      </c>
      <c r="EY146" s="228">
        <v>29.71</v>
      </c>
      <c r="EZ146" s="229">
        <v>1.77E-2</v>
      </c>
      <c r="FA146" s="229">
        <v>0.31140000000000001</v>
      </c>
      <c r="FB146" s="227" t="s">
        <v>568</v>
      </c>
      <c r="FC146">
        <f t="shared" si="2"/>
        <v>32</v>
      </c>
    </row>
    <row r="147" spans="1:159" ht="17.25" thickBot="1" x14ac:dyDescent="0.3">
      <c r="A147" s="226">
        <v>46029</v>
      </c>
      <c r="B147" s="227" t="s">
        <v>206</v>
      </c>
      <c r="C147" s="227" t="s">
        <v>528</v>
      </c>
      <c r="D147" s="228">
        <v>350</v>
      </c>
      <c r="E147" s="228">
        <v>20</v>
      </c>
      <c r="F147" s="231">
        <v>1713.6</v>
      </c>
      <c r="G147" s="231">
        <v>1725.6</v>
      </c>
      <c r="H147" s="228">
        <v>-12</v>
      </c>
      <c r="I147" s="229">
        <v>-7.0000000000000001E-3</v>
      </c>
      <c r="J147" s="231">
        <v>1708.7</v>
      </c>
      <c r="K147" s="231">
        <v>1726.3</v>
      </c>
      <c r="L147" s="228">
        <v>-17.600000000000001</v>
      </c>
      <c r="M147" s="229">
        <v>-1.0200000000000001E-2</v>
      </c>
      <c r="N147" s="231">
        <v>1713.6</v>
      </c>
      <c r="O147" s="231">
        <v>1725.6</v>
      </c>
      <c r="P147" s="228">
        <v>-12</v>
      </c>
      <c r="Q147" s="229">
        <v>-7.0000000000000001E-3</v>
      </c>
      <c r="R147" s="231">
        <v>1710.4</v>
      </c>
      <c r="S147" s="231">
        <v>1718.7</v>
      </c>
      <c r="T147" s="228">
        <v>-8.3000000000000007</v>
      </c>
      <c r="U147" s="229">
        <v>-4.7999999999999996E-3</v>
      </c>
      <c r="V147" s="231">
        <v>1705</v>
      </c>
      <c r="W147" s="231">
        <v>1714.5</v>
      </c>
      <c r="X147" s="228">
        <v>-9.5</v>
      </c>
      <c r="Y147" s="229">
        <v>-5.4999999999999997E-3</v>
      </c>
      <c r="Z147" s="228">
        <v>4.9000000000000004</v>
      </c>
      <c r="AA147" s="228">
        <v>-0.7</v>
      </c>
      <c r="AB147" s="228">
        <v>5.6</v>
      </c>
      <c r="AC147" s="229">
        <v>2.8999999999999998E-3</v>
      </c>
      <c r="AD147" s="228">
        <v>4.9000000000000004</v>
      </c>
      <c r="AE147" s="228">
        <v>-0.7</v>
      </c>
      <c r="AF147" s="228">
        <v>5.6</v>
      </c>
      <c r="AG147" s="229">
        <v>2.8999999999999998E-3</v>
      </c>
      <c r="AH147" s="228">
        <v>1.7</v>
      </c>
      <c r="AI147" s="228">
        <v>-7.6</v>
      </c>
      <c r="AJ147" s="228">
        <v>9.3000000000000007</v>
      </c>
      <c r="AK147" s="229">
        <v>1E-3</v>
      </c>
      <c r="AL147" s="228">
        <v>-3.7</v>
      </c>
      <c r="AM147" s="228">
        <v>-11.8</v>
      </c>
      <c r="AN147" s="228">
        <v>8.1</v>
      </c>
      <c r="AO147" s="229">
        <v>-2.2000000000000001E-3</v>
      </c>
      <c r="AP147" s="231">
        <v>1716.08</v>
      </c>
      <c r="AQ147" s="231">
        <v>1711.94</v>
      </c>
      <c r="AR147" s="228">
        <v>0</v>
      </c>
      <c r="AS147" s="228">
        <v>109</v>
      </c>
      <c r="AT147" s="228">
        <v>91</v>
      </c>
      <c r="AU147" s="228">
        <v>18</v>
      </c>
      <c r="AV147" s="229">
        <v>0.19850000000000001</v>
      </c>
      <c r="AW147" s="228">
        <v>102</v>
      </c>
      <c r="AX147" s="228">
        <v>86</v>
      </c>
      <c r="AY147" s="228">
        <v>16</v>
      </c>
      <c r="AZ147" s="229">
        <v>0.18890000000000001</v>
      </c>
      <c r="BA147" s="228">
        <v>7</v>
      </c>
      <c r="BB147" s="228">
        <v>5</v>
      </c>
      <c r="BC147" s="228">
        <v>2</v>
      </c>
      <c r="BD147" s="229">
        <v>0.38750000000000001</v>
      </c>
      <c r="BE147" s="228">
        <v>0</v>
      </c>
      <c r="BF147" s="228">
        <v>0</v>
      </c>
      <c r="BG147" s="228">
        <v>0</v>
      </c>
      <c r="BH147" s="229">
        <v>-0.5</v>
      </c>
      <c r="BI147" s="228">
        <v>129</v>
      </c>
      <c r="BJ147" s="228">
        <v>129</v>
      </c>
      <c r="BK147" s="228">
        <v>0</v>
      </c>
      <c r="BL147" s="229">
        <v>3.7000000000000002E-3</v>
      </c>
      <c r="BM147" s="228">
        <v>50</v>
      </c>
      <c r="BN147" s="228">
        <v>42</v>
      </c>
      <c r="BO147" s="228">
        <v>8</v>
      </c>
      <c r="BP147" s="229">
        <v>0.18509999999999999</v>
      </c>
      <c r="BQ147" s="228">
        <v>288</v>
      </c>
      <c r="BR147" s="228">
        <v>261</v>
      </c>
      <c r="BS147" s="228">
        <v>26</v>
      </c>
      <c r="BT147" s="229">
        <v>0.1003</v>
      </c>
      <c r="BU147" s="230">
        <v>306220</v>
      </c>
      <c r="BV147" s="230">
        <v>169767</v>
      </c>
      <c r="BW147" s="230">
        <v>136453</v>
      </c>
      <c r="BX147" s="229">
        <v>0.80379999999999996</v>
      </c>
      <c r="BY147" s="228">
        <v>714</v>
      </c>
      <c r="BZ147" s="228">
        <v>724</v>
      </c>
      <c r="CA147" s="228">
        <v>-10</v>
      </c>
      <c r="CB147" s="229">
        <v>-1.34E-2</v>
      </c>
      <c r="CC147" s="228">
        <v>699</v>
      </c>
      <c r="CD147" s="228">
        <v>710</v>
      </c>
      <c r="CE147" s="228">
        <v>-11</v>
      </c>
      <c r="CF147" s="229">
        <v>-1.5900000000000001E-2</v>
      </c>
      <c r="CG147" s="228">
        <v>15</v>
      </c>
      <c r="CH147" s="228">
        <v>13</v>
      </c>
      <c r="CI147" s="228">
        <v>1</v>
      </c>
      <c r="CJ147" s="229">
        <v>0.11310000000000001</v>
      </c>
      <c r="CK147" s="228">
        <v>1</v>
      </c>
      <c r="CL147" s="228">
        <v>1</v>
      </c>
      <c r="CM147" s="228">
        <v>0</v>
      </c>
      <c r="CN147" s="229">
        <v>9.0899999999999995E-2</v>
      </c>
      <c r="CO147" s="228">
        <v>174</v>
      </c>
      <c r="CP147" s="228">
        <v>162</v>
      </c>
      <c r="CQ147" s="228">
        <v>12</v>
      </c>
      <c r="CR147" s="229">
        <v>7.5600000000000001E-2</v>
      </c>
      <c r="CS147" s="228">
        <v>135</v>
      </c>
      <c r="CT147" s="228">
        <v>129</v>
      </c>
      <c r="CU147" s="228">
        <v>6</v>
      </c>
      <c r="CV147" s="229">
        <v>4.8800000000000003E-2</v>
      </c>
      <c r="CW147" s="230">
        <v>1024</v>
      </c>
      <c r="CX147" s="230">
        <v>1015</v>
      </c>
      <c r="CY147" s="228">
        <v>9</v>
      </c>
      <c r="CZ147" s="229">
        <v>8.6999999999999994E-3</v>
      </c>
      <c r="DA147" s="228">
        <v>29.96</v>
      </c>
      <c r="DB147" s="228">
        <v>29.32</v>
      </c>
      <c r="DC147" s="228">
        <v>0.64</v>
      </c>
      <c r="DD147" s="228">
        <v>0.64</v>
      </c>
      <c r="DE147" s="228">
        <v>36.1</v>
      </c>
      <c r="DF147" s="228">
        <v>36.17</v>
      </c>
      <c r="DG147" s="228">
        <v>-6.14</v>
      </c>
      <c r="DH147" s="228">
        <v>-7.0000000000000007E-2</v>
      </c>
      <c r="DI147" s="228">
        <v>29.84</v>
      </c>
      <c r="DJ147" s="228">
        <v>29.16</v>
      </c>
      <c r="DK147" s="228">
        <v>0.68</v>
      </c>
      <c r="DL147" s="228">
        <v>0.68</v>
      </c>
      <c r="DM147" s="228">
        <v>30.27</v>
      </c>
      <c r="DN147" s="228">
        <v>29.85</v>
      </c>
      <c r="DO147" s="228">
        <v>0.42</v>
      </c>
      <c r="DP147" s="228">
        <v>0.42</v>
      </c>
      <c r="DQ147" s="228">
        <v>0.78</v>
      </c>
      <c r="DR147" s="228">
        <v>0.8</v>
      </c>
      <c r="DS147" s="228">
        <v>-0.02</v>
      </c>
      <c r="DT147" s="229">
        <v>-2.5000000000000001E-2</v>
      </c>
      <c r="DU147" s="231">
        <v>1740</v>
      </c>
      <c r="DV147" s="231">
        <v>1600</v>
      </c>
      <c r="DW147" s="228">
        <v>0.38</v>
      </c>
      <c r="DX147" s="228">
        <v>0.32</v>
      </c>
      <c r="DY147" s="228">
        <v>0.06</v>
      </c>
      <c r="DZ147" s="229">
        <v>0.1875</v>
      </c>
      <c r="EA147" s="229">
        <v>2.1700000000000001E-2</v>
      </c>
      <c r="EB147" s="230">
        <v>81200</v>
      </c>
      <c r="EC147" s="229">
        <v>-1.9E-3</v>
      </c>
      <c r="ED147" s="229">
        <v>2.1700000000000001E-2</v>
      </c>
      <c r="EE147" s="228">
        <v>-4.1399999999999997</v>
      </c>
      <c r="EF147" s="229">
        <v>-2.3999999999999998E-3</v>
      </c>
      <c r="EG147" s="230">
        <v>152838</v>
      </c>
      <c r="EH147" s="230">
        <v>66600</v>
      </c>
      <c r="EI147" s="229">
        <v>1.2948999999999999</v>
      </c>
      <c r="EJ147" s="229">
        <v>0.49909999999999999</v>
      </c>
      <c r="EK147" s="228">
        <v>136.19</v>
      </c>
      <c r="EL147" s="228">
        <v>48.82</v>
      </c>
      <c r="EM147" s="228">
        <v>108.76</v>
      </c>
      <c r="EN147" s="228">
        <v>16.170000000000002</v>
      </c>
      <c r="EO147" s="228">
        <v>293.77</v>
      </c>
      <c r="EP147" s="228">
        <v>268.85000000000002</v>
      </c>
      <c r="EQ147" s="228">
        <v>24.92</v>
      </c>
      <c r="ER147" s="229">
        <v>9.2700000000000005E-2</v>
      </c>
      <c r="ES147" s="228">
        <v>179.61</v>
      </c>
      <c r="ET147" s="228">
        <v>130.01</v>
      </c>
      <c r="EU147" s="228">
        <v>714.4</v>
      </c>
      <c r="EV147" s="231">
        <v>17614093</v>
      </c>
      <c r="EW147" s="231">
        <v>1024.03</v>
      </c>
      <c r="EX147" s="231">
        <v>1019.77</v>
      </c>
      <c r="EY147" s="228">
        <v>4.26</v>
      </c>
      <c r="EZ147" s="229">
        <v>4.1999999999999997E-3</v>
      </c>
      <c r="FA147" s="229">
        <v>0.3392</v>
      </c>
      <c r="FB147" s="227" t="s">
        <v>568</v>
      </c>
      <c r="FC147">
        <f t="shared" si="2"/>
        <v>15</v>
      </c>
    </row>
    <row r="148" spans="1:159" ht="17.25" thickBot="1" x14ac:dyDescent="0.3">
      <c r="A148" s="226">
        <v>46029</v>
      </c>
      <c r="B148" s="227" t="s">
        <v>221</v>
      </c>
      <c r="C148" s="227" t="s">
        <v>518</v>
      </c>
      <c r="D148" s="228">
        <v>75</v>
      </c>
      <c r="E148" s="228">
        <v>20</v>
      </c>
      <c r="F148" s="231">
        <v>7871</v>
      </c>
      <c r="G148" s="231">
        <v>7607.5</v>
      </c>
      <c r="H148" s="228">
        <v>263.5</v>
      </c>
      <c r="I148" s="229">
        <v>3.4599999999999999E-2</v>
      </c>
      <c r="J148" s="231">
        <v>7832.5</v>
      </c>
      <c r="K148" s="231">
        <v>7593</v>
      </c>
      <c r="L148" s="228">
        <v>239.5</v>
      </c>
      <c r="M148" s="229">
        <v>3.15E-2</v>
      </c>
      <c r="N148" s="231">
        <v>7871</v>
      </c>
      <c r="O148" s="231">
        <v>7607.5</v>
      </c>
      <c r="P148" s="228">
        <v>263.5</v>
      </c>
      <c r="Q148" s="229">
        <v>3.4599999999999999E-2</v>
      </c>
      <c r="R148" s="231">
        <v>7907</v>
      </c>
      <c r="S148" s="231">
        <v>7645</v>
      </c>
      <c r="T148" s="228">
        <v>262</v>
      </c>
      <c r="U148" s="229">
        <v>3.4299999999999997E-2</v>
      </c>
      <c r="V148" s="231">
        <v>7956.5</v>
      </c>
      <c r="W148" s="231">
        <v>7702</v>
      </c>
      <c r="X148" s="228">
        <v>254.5</v>
      </c>
      <c r="Y148" s="229">
        <v>3.3000000000000002E-2</v>
      </c>
      <c r="Z148" s="228">
        <v>38.5</v>
      </c>
      <c r="AA148" s="228">
        <v>14.5</v>
      </c>
      <c r="AB148" s="228">
        <v>24</v>
      </c>
      <c r="AC148" s="229">
        <v>4.8999999999999998E-3</v>
      </c>
      <c r="AD148" s="228">
        <v>38.5</v>
      </c>
      <c r="AE148" s="228">
        <v>14.5</v>
      </c>
      <c r="AF148" s="228">
        <v>24</v>
      </c>
      <c r="AG148" s="229">
        <v>4.8999999999999998E-3</v>
      </c>
      <c r="AH148" s="228">
        <v>74.5</v>
      </c>
      <c r="AI148" s="228">
        <v>52</v>
      </c>
      <c r="AJ148" s="228">
        <v>22.5</v>
      </c>
      <c r="AK148" s="229">
        <v>9.4999999999999998E-3</v>
      </c>
      <c r="AL148" s="228">
        <v>124</v>
      </c>
      <c r="AM148" s="228">
        <v>109</v>
      </c>
      <c r="AN148" s="228">
        <v>15</v>
      </c>
      <c r="AO148" s="229">
        <v>1.5800000000000002E-2</v>
      </c>
      <c r="AP148" s="231">
        <v>7789.63</v>
      </c>
      <c r="AQ148" s="231">
        <v>7836.11</v>
      </c>
      <c r="AR148" s="228">
        <v>0</v>
      </c>
      <c r="AS148" s="228">
        <v>247</v>
      </c>
      <c r="AT148" s="228">
        <v>152</v>
      </c>
      <c r="AU148" s="228">
        <v>95</v>
      </c>
      <c r="AV148" s="229">
        <v>0.624</v>
      </c>
      <c r="AW148" s="228">
        <v>233</v>
      </c>
      <c r="AX148" s="228">
        <v>142</v>
      </c>
      <c r="AY148" s="228">
        <v>91</v>
      </c>
      <c r="AZ148" s="229">
        <v>0.63959999999999995</v>
      </c>
      <c r="BA148" s="228">
        <v>12</v>
      </c>
      <c r="BB148" s="228">
        <v>8</v>
      </c>
      <c r="BC148" s="228">
        <v>4</v>
      </c>
      <c r="BD148" s="229">
        <v>0.42249999999999999</v>
      </c>
      <c r="BE148" s="228">
        <v>2</v>
      </c>
      <c r="BF148" s="228">
        <v>2</v>
      </c>
      <c r="BG148" s="228">
        <v>0</v>
      </c>
      <c r="BH148" s="229">
        <v>0.29630000000000001</v>
      </c>
      <c r="BI148" s="230">
        <v>1486</v>
      </c>
      <c r="BJ148" s="228">
        <v>359</v>
      </c>
      <c r="BK148" s="230">
        <v>1127</v>
      </c>
      <c r="BL148" s="229">
        <v>3.1381999999999999</v>
      </c>
      <c r="BM148" s="228">
        <v>366</v>
      </c>
      <c r="BN148" s="228">
        <v>183</v>
      </c>
      <c r="BO148" s="228">
        <v>182</v>
      </c>
      <c r="BP148" s="229">
        <v>0.99609999999999999</v>
      </c>
      <c r="BQ148" s="230">
        <v>2099</v>
      </c>
      <c r="BR148" s="228">
        <v>695</v>
      </c>
      <c r="BS148" s="230">
        <v>1405</v>
      </c>
      <c r="BT148" s="229">
        <v>2.0222000000000002</v>
      </c>
      <c r="BU148" s="230">
        <v>125316</v>
      </c>
      <c r="BV148" s="230">
        <v>162236</v>
      </c>
      <c r="BW148" s="230">
        <v>-36920</v>
      </c>
      <c r="BX148" s="229">
        <v>-0.2276</v>
      </c>
      <c r="BY148" s="230">
        <v>1068</v>
      </c>
      <c r="BZ148" s="230">
        <v>1088</v>
      </c>
      <c r="CA148" s="228">
        <v>-20</v>
      </c>
      <c r="CB148" s="229">
        <v>-1.8200000000000001E-2</v>
      </c>
      <c r="CC148" s="230">
        <v>1035</v>
      </c>
      <c r="CD148" s="230">
        <v>1057</v>
      </c>
      <c r="CE148" s="228">
        <v>-21</v>
      </c>
      <c r="CF148" s="229">
        <v>-2.0199999999999999E-2</v>
      </c>
      <c r="CG148" s="228">
        <v>27</v>
      </c>
      <c r="CH148" s="228">
        <v>26</v>
      </c>
      <c r="CI148" s="228">
        <v>1</v>
      </c>
      <c r="CJ148" s="229">
        <v>5.0099999999999999E-2</v>
      </c>
      <c r="CK148" s="228">
        <v>6</v>
      </c>
      <c r="CL148" s="228">
        <v>6</v>
      </c>
      <c r="CM148" s="228">
        <v>0</v>
      </c>
      <c r="CN148" s="229">
        <v>4.1200000000000001E-2</v>
      </c>
      <c r="CO148" s="228">
        <v>393</v>
      </c>
      <c r="CP148" s="228">
        <v>319</v>
      </c>
      <c r="CQ148" s="228">
        <v>74</v>
      </c>
      <c r="CR148" s="229">
        <v>0.23200000000000001</v>
      </c>
      <c r="CS148" s="228">
        <v>285</v>
      </c>
      <c r="CT148" s="228">
        <v>241</v>
      </c>
      <c r="CU148" s="228">
        <v>44</v>
      </c>
      <c r="CV148" s="229">
        <v>0.18279999999999999</v>
      </c>
      <c r="CW148" s="230">
        <v>1746</v>
      </c>
      <c r="CX148" s="230">
        <v>1648</v>
      </c>
      <c r="CY148" s="228">
        <v>98</v>
      </c>
      <c r="CZ148" s="229">
        <v>5.96E-2</v>
      </c>
      <c r="DA148" s="228">
        <v>33.6</v>
      </c>
      <c r="DB148" s="228">
        <v>31.76</v>
      </c>
      <c r="DC148" s="228">
        <v>1.84</v>
      </c>
      <c r="DD148" s="228">
        <v>1.84</v>
      </c>
      <c r="DE148" s="228">
        <v>38.14</v>
      </c>
      <c r="DF148" s="228">
        <v>38</v>
      </c>
      <c r="DG148" s="228">
        <v>-4.54</v>
      </c>
      <c r="DH148" s="228">
        <v>0.14000000000000001</v>
      </c>
      <c r="DI148" s="228">
        <v>33.340000000000003</v>
      </c>
      <c r="DJ148" s="228">
        <v>31.36</v>
      </c>
      <c r="DK148" s="228">
        <v>1.98</v>
      </c>
      <c r="DL148" s="228">
        <v>1.98</v>
      </c>
      <c r="DM148" s="228">
        <v>34.659999999999997</v>
      </c>
      <c r="DN148" s="228">
        <v>32.549999999999997</v>
      </c>
      <c r="DO148" s="228">
        <v>2.11</v>
      </c>
      <c r="DP148" s="228">
        <v>2.11</v>
      </c>
      <c r="DQ148" s="228">
        <v>0.73</v>
      </c>
      <c r="DR148" s="228">
        <v>0.76</v>
      </c>
      <c r="DS148" s="228">
        <v>-0.03</v>
      </c>
      <c r="DT148" s="229">
        <v>-3.95E-2</v>
      </c>
      <c r="DU148" s="231">
        <v>8000</v>
      </c>
      <c r="DV148" s="231">
        <v>7700</v>
      </c>
      <c r="DW148" s="228">
        <v>0.25</v>
      </c>
      <c r="DX148" s="228">
        <v>0.51</v>
      </c>
      <c r="DY148" s="228">
        <v>-0.26</v>
      </c>
      <c r="DZ148" s="229">
        <v>-0.50980000000000003</v>
      </c>
      <c r="EA148" s="229">
        <v>3.1E-2</v>
      </c>
      <c r="EB148" s="230">
        <v>40200</v>
      </c>
      <c r="EC148" s="229">
        <v>4.5999999999999999E-3</v>
      </c>
      <c r="ED148" s="229">
        <v>3.1E-2</v>
      </c>
      <c r="EE148" s="228">
        <v>46.48</v>
      </c>
      <c r="EF148" s="229">
        <v>6.0000000000000001E-3</v>
      </c>
      <c r="EG148" s="230">
        <v>52940</v>
      </c>
      <c r="EH148" s="230">
        <v>79010</v>
      </c>
      <c r="EI148" s="229">
        <v>-0.33</v>
      </c>
      <c r="EJ148" s="229">
        <v>0.42249999999999999</v>
      </c>
      <c r="EK148" s="231">
        <v>1552.74</v>
      </c>
      <c r="EL148" s="228">
        <v>345.64</v>
      </c>
      <c r="EM148" s="228">
        <v>244.89</v>
      </c>
      <c r="EN148" s="228">
        <v>18.100000000000001</v>
      </c>
      <c r="EO148" s="231">
        <v>2143.27</v>
      </c>
      <c r="EP148" s="228">
        <v>685.25</v>
      </c>
      <c r="EQ148" s="231">
        <v>1458.01</v>
      </c>
      <c r="ER148" s="229">
        <v>2.1276999999999999</v>
      </c>
      <c r="ES148" s="228">
        <v>405.18</v>
      </c>
      <c r="ET148" s="228">
        <v>274.57</v>
      </c>
      <c r="EU148" s="231">
        <v>1068.68</v>
      </c>
      <c r="EV148" s="231">
        <v>3582756</v>
      </c>
      <c r="EW148" s="231">
        <v>1748.42</v>
      </c>
      <c r="EX148" s="231">
        <v>1610.7</v>
      </c>
      <c r="EY148" s="228">
        <v>137.72</v>
      </c>
      <c r="EZ148" s="229">
        <v>8.5500000000000007E-2</v>
      </c>
      <c r="FA148" s="229">
        <v>0.61929999999999996</v>
      </c>
      <c r="FB148" s="227" t="s">
        <v>556</v>
      </c>
      <c r="FC148">
        <f>BY216-CC216</f>
        <v>0</v>
      </c>
    </row>
    <row r="149" spans="1:159" ht="17.25" thickBot="1" x14ac:dyDescent="0.3">
      <c r="A149" s="226">
        <v>46029</v>
      </c>
      <c r="B149" s="227" t="s">
        <v>193</v>
      </c>
      <c r="C149" s="227" t="s">
        <v>587</v>
      </c>
      <c r="D149" s="228">
        <v>1400</v>
      </c>
      <c r="E149" s="228">
        <v>20</v>
      </c>
      <c r="F149" s="228">
        <v>418.7</v>
      </c>
      <c r="G149" s="228">
        <v>426.8</v>
      </c>
      <c r="H149" s="228">
        <v>-8.1</v>
      </c>
      <c r="I149" s="229">
        <v>-1.9E-2</v>
      </c>
      <c r="J149" s="228">
        <v>418.4</v>
      </c>
      <c r="K149" s="228">
        <v>425.55</v>
      </c>
      <c r="L149" s="228">
        <v>-7.15</v>
      </c>
      <c r="M149" s="229">
        <v>-1.6799999999999999E-2</v>
      </c>
      <c r="N149" s="228">
        <v>418.7</v>
      </c>
      <c r="O149" s="228">
        <v>426.8</v>
      </c>
      <c r="P149" s="228">
        <v>-8.1</v>
      </c>
      <c r="Q149" s="229">
        <v>-1.9E-2</v>
      </c>
      <c r="R149" s="228">
        <v>416.95</v>
      </c>
      <c r="S149" s="228">
        <v>425.3</v>
      </c>
      <c r="T149" s="228">
        <v>-8.35</v>
      </c>
      <c r="U149" s="229">
        <v>-1.9599999999999999E-2</v>
      </c>
      <c r="V149" s="228">
        <v>418.3</v>
      </c>
      <c r="W149" s="228">
        <v>427.55</v>
      </c>
      <c r="X149" s="228">
        <v>-9.25</v>
      </c>
      <c r="Y149" s="229">
        <v>-2.1600000000000001E-2</v>
      </c>
      <c r="Z149" s="228">
        <v>0.3</v>
      </c>
      <c r="AA149" s="228">
        <v>1.25</v>
      </c>
      <c r="AB149" s="228">
        <v>-0.95</v>
      </c>
      <c r="AC149" s="229">
        <v>6.9999999999999999E-4</v>
      </c>
      <c r="AD149" s="228">
        <v>0.3</v>
      </c>
      <c r="AE149" s="228">
        <v>1.25</v>
      </c>
      <c r="AF149" s="228">
        <v>-0.95</v>
      </c>
      <c r="AG149" s="229">
        <v>6.9999999999999999E-4</v>
      </c>
      <c r="AH149" s="228">
        <v>-1.45</v>
      </c>
      <c r="AI149" s="228">
        <v>-0.25</v>
      </c>
      <c r="AJ149" s="228">
        <v>-1.2</v>
      </c>
      <c r="AK149" s="229">
        <v>-3.5000000000000001E-3</v>
      </c>
      <c r="AL149" s="228">
        <v>-0.1</v>
      </c>
      <c r="AM149" s="228">
        <v>2</v>
      </c>
      <c r="AN149" s="228">
        <v>-2.1</v>
      </c>
      <c r="AO149" s="229">
        <v>-2.0000000000000001E-4</v>
      </c>
      <c r="AP149" s="228">
        <v>418.9</v>
      </c>
      <c r="AQ149" s="228">
        <v>417.14</v>
      </c>
      <c r="AR149" s="228">
        <v>0</v>
      </c>
      <c r="AS149" s="228">
        <v>100</v>
      </c>
      <c r="AT149" s="228">
        <v>111</v>
      </c>
      <c r="AU149" s="228">
        <v>-12</v>
      </c>
      <c r="AV149" s="229">
        <v>-0.1038</v>
      </c>
      <c r="AW149" s="228">
        <v>94</v>
      </c>
      <c r="AX149" s="228">
        <v>96</v>
      </c>
      <c r="AY149" s="228">
        <v>-3</v>
      </c>
      <c r="AZ149" s="229">
        <v>-2.7300000000000001E-2</v>
      </c>
      <c r="BA149" s="228">
        <v>5</v>
      </c>
      <c r="BB149" s="228">
        <v>11</v>
      </c>
      <c r="BC149" s="228">
        <v>-6</v>
      </c>
      <c r="BD149" s="229">
        <v>-0.54790000000000005</v>
      </c>
      <c r="BE149" s="228">
        <v>1</v>
      </c>
      <c r="BF149" s="228">
        <v>4</v>
      </c>
      <c r="BG149" s="228">
        <v>-3</v>
      </c>
      <c r="BH149" s="229">
        <v>-0.76559999999999995</v>
      </c>
      <c r="BI149" s="228">
        <v>306</v>
      </c>
      <c r="BJ149" s="228">
        <v>246</v>
      </c>
      <c r="BK149" s="228">
        <v>60</v>
      </c>
      <c r="BL149" s="229">
        <v>0.2429</v>
      </c>
      <c r="BM149" s="228">
        <v>385</v>
      </c>
      <c r="BN149" s="228">
        <v>100</v>
      </c>
      <c r="BO149" s="228">
        <v>286</v>
      </c>
      <c r="BP149" s="229">
        <v>2.8601999999999999</v>
      </c>
      <c r="BQ149" s="228">
        <v>791</v>
      </c>
      <c r="BR149" s="228">
        <v>457</v>
      </c>
      <c r="BS149" s="228">
        <v>334</v>
      </c>
      <c r="BT149" s="229">
        <v>0.7298</v>
      </c>
      <c r="BU149" s="230">
        <v>1654416</v>
      </c>
      <c r="BV149" s="230">
        <v>1387186</v>
      </c>
      <c r="BW149" s="230">
        <v>267230</v>
      </c>
      <c r="BX149" s="229">
        <v>0.19259999999999999</v>
      </c>
      <c r="BY149" s="228">
        <v>515</v>
      </c>
      <c r="BZ149" s="228">
        <v>519</v>
      </c>
      <c r="CA149" s="228">
        <v>-4</v>
      </c>
      <c r="CB149" s="229">
        <v>-7.3000000000000001E-3</v>
      </c>
      <c r="CC149" s="228">
        <v>490</v>
      </c>
      <c r="CD149" s="228">
        <v>495</v>
      </c>
      <c r="CE149" s="228">
        <v>-5</v>
      </c>
      <c r="CF149" s="229">
        <v>-1.01E-2</v>
      </c>
      <c r="CG149" s="228">
        <v>21</v>
      </c>
      <c r="CH149" s="228">
        <v>20</v>
      </c>
      <c r="CI149" s="228">
        <v>1</v>
      </c>
      <c r="CJ149" s="229">
        <v>4.6899999999999997E-2</v>
      </c>
      <c r="CK149" s="228">
        <v>4</v>
      </c>
      <c r="CL149" s="228">
        <v>4</v>
      </c>
      <c r="CM149" s="228">
        <v>0</v>
      </c>
      <c r="CN149" s="229">
        <v>5.9700000000000003E-2</v>
      </c>
      <c r="CO149" s="228">
        <v>230</v>
      </c>
      <c r="CP149" s="228">
        <v>221</v>
      </c>
      <c r="CQ149" s="228">
        <v>8</v>
      </c>
      <c r="CR149" s="229">
        <v>3.8199999999999998E-2</v>
      </c>
      <c r="CS149" s="228">
        <v>163</v>
      </c>
      <c r="CT149" s="228">
        <v>120</v>
      </c>
      <c r="CU149" s="228">
        <v>44</v>
      </c>
      <c r="CV149" s="229">
        <v>0.36649999999999999</v>
      </c>
      <c r="CW149" s="228">
        <v>908</v>
      </c>
      <c r="CX149" s="228">
        <v>860</v>
      </c>
      <c r="CY149" s="228">
        <v>48</v>
      </c>
      <c r="CZ149" s="229">
        <v>5.6399999999999999E-2</v>
      </c>
      <c r="DA149" s="228">
        <v>26.93</v>
      </c>
      <c r="DB149" s="228">
        <v>26.53</v>
      </c>
      <c r="DC149" s="228">
        <v>0.4</v>
      </c>
      <c r="DD149" s="228">
        <v>0.4</v>
      </c>
      <c r="DE149" s="228">
        <v>40.479999999999997</v>
      </c>
      <c r="DF149" s="228">
        <v>40.5</v>
      </c>
      <c r="DG149" s="228">
        <v>-13.55</v>
      </c>
      <c r="DH149" s="228">
        <v>-0.02</v>
      </c>
      <c r="DI149" s="228">
        <v>26.74</v>
      </c>
      <c r="DJ149" s="228">
        <v>26.62</v>
      </c>
      <c r="DK149" s="228">
        <v>0.12</v>
      </c>
      <c r="DL149" s="228">
        <v>0.12</v>
      </c>
      <c r="DM149" s="228">
        <v>27.08</v>
      </c>
      <c r="DN149" s="228">
        <v>26.31</v>
      </c>
      <c r="DO149" s="228">
        <v>0.77</v>
      </c>
      <c r="DP149" s="228">
        <v>0.77</v>
      </c>
      <c r="DQ149" s="228">
        <v>0.71</v>
      </c>
      <c r="DR149" s="228">
        <v>0.54</v>
      </c>
      <c r="DS149" s="228">
        <v>0.17</v>
      </c>
      <c r="DT149" s="229">
        <v>0.31480000000000002</v>
      </c>
      <c r="DU149" s="228">
        <v>480</v>
      </c>
      <c r="DV149" s="228">
        <v>400</v>
      </c>
      <c r="DW149" s="228">
        <v>1.26</v>
      </c>
      <c r="DX149" s="228">
        <v>0.41</v>
      </c>
      <c r="DY149" s="228">
        <v>0.85</v>
      </c>
      <c r="DZ149" s="229">
        <v>2.0731999999999999</v>
      </c>
      <c r="EA149" s="229">
        <v>4.87E-2</v>
      </c>
      <c r="EB149" s="230">
        <v>571200</v>
      </c>
      <c r="EC149" s="229">
        <v>-4.1999999999999997E-3</v>
      </c>
      <c r="ED149" s="229">
        <v>4.87E-2</v>
      </c>
      <c r="EE149" s="228">
        <v>-1.76</v>
      </c>
      <c r="EF149" s="229">
        <v>-4.1999999999999997E-3</v>
      </c>
      <c r="EG149" s="230">
        <v>677247</v>
      </c>
      <c r="EH149" s="230">
        <v>469775</v>
      </c>
      <c r="EI149" s="229">
        <v>0.44159999999999999</v>
      </c>
      <c r="EJ149" s="229">
        <v>0.40939999999999999</v>
      </c>
      <c r="EK149" s="228">
        <v>321.87</v>
      </c>
      <c r="EL149" s="228">
        <v>378.45</v>
      </c>
      <c r="EM149" s="228">
        <v>99.74</v>
      </c>
      <c r="EN149" s="228">
        <v>17.45</v>
      </c>
      <c r="EO149" s="228">
        <v>800.06</v>
      </c>
      <c r="EP149" s="228">
        <v>475.95</v>
      </c>
      <c r="EQ149" s="228">
        <v>324.11</v>
      </c>
      <c r="ER149" s="229">
        <v>0.68100000000000005</v>
      </c>
      <c r="ES149" s="228">
        <v>246.53</v>
      </c>
      <c r="ET149" s="228">
        <v>158.49</v>
      </c>
      <c r="EU149" s="228">
        <v>514.92999999999995</v>
      </c>
      <c r="EV149" s="231">
        <v>102006452</v>
      </c>
      <c r="EW149" s="228">
        <v>919.95</v>
      </c>
      <c r="EX149" s="228">
        <v>883.65</v>
      </c>
      <c r="EY149" s="228">
        <v>36.299999999999997</v>
      </c>
      <c r="EZ149" s="229">
        <v>4.1099999999999998E-2</v>
      </c>
      <c r="FA149" s="229">
        <v>0.21260000000000001</v>
      </c>
      <c r="FB149" s="227" t="s">
        <v>568</v>
      </c>
      <c r="FC149">
        <f t="shared" ref="FC149:FC194" si="3">BY215-CC215</f>
        <v>27</v>
      </c>
    </row>
    <row r="150" spans="1:159" ht="17.25" thickBot="1" x14ac:dyDescent="0.3">
      <c r="A150" s="226">
        <v>46029</v>
      </c>
      <c r="B150" s="227" t="s">
        <v>193</v>
      </c>
      <c r="C150" s="227" t="s">
        <v>269</v>
      </c>
      <c r="D150" s="228">
        <v>2250</v>
      </c>
      <c r="E150" s="228">
        <v>20</v>
      </c>
      <c r="F150" s="228">
        <v>239.56</v>
      </c>
      <c r="G150" s="228">
        <v>242.44</v>
      </c>
      <c r="H150" s="228">
        <v>-2.88</v>
      </c>
      <c r="I150" s="229">
        <v>-1.1900000000000001E-2</v>
      </c>
      <c r="J150" s="228">
        <v>239.06</v>
      </c>
      <c r="K150" s="228">
        <v>241.89</v>
      </c>
      <c r="L150" s="228">
        <v>-2.83</v>
      </c>
      <c r="M150" s="229">
        <v>-1.17E-2</v>
      </c>
      <c r="N150" s="228">
        <v>239.56</v>
      </c>
      <c r="O150" s="228">
        <v>242.44</v>
      </c>
      <c r="P150" s="228">
        <v>-2.88</v>
      </c>
      <c r="Q150" s="229">
        <v>-1.1900000000000001E-2</v>
      </c>
      <c r="R150" s="228">
        <v>240.12</v>
      </c>
      <c r="S150" s="228">
        <v>243.06</v>
      </c>
      <c r="T150" s="228">
        <v>-2.94</v>
      </c>
      <c r="U150" s="229">
        <v>-1.21E-2</v>
      </c>
      <c r="V150" s="228">
        <v>241.73</v>
      </c>
      <c r="W150" s="228">
        <v>244.56</v>
      </c>
      <c r="X150" s="228">
        <v>-2.83</v>
      </c>
      <c r="Y150" s="229">
        <v>-1.1599999999999999E-2</v>
      </c>
      <c r="Z150" s="228">
        <v>0.5</v>
      </c>
      <c r="AA150" s="228">
        <v>0.55000000000000004</v>
      </c>
      <c r="AB150" s="228">
        <v>-0.05</v>
      </c>
      <c r="AC150" s="229">
        <v>2.0999999999999999E-3</v>
      </c>
      <c r="AD150" s="228">
        <v>0.5</v>
      </c>
      <c r="AE150" s="228">
        <v>0.55000000000000004</v>
      </c>
      <c r="AF150" s="228">
        <v>-0.05</v>
      </c>
      <c r="AG150" s="229">
        <v>2.0999999999999999E-3</v>
      </c>
      <c r="AH150" s="228">
        <v>1.06</v>
      </c>
      <c r="AI150" s="228">
        <v>1.17</v>
      </c>
      <c r="AJ150" s="228">
        <v>-0.11</v>
      </c>
      <c r="AK150" s="229">
        <v>4.4000000000000003E-3</v>
      </c>
      <c r="AL150" s="228">
        <v>2.67</v>
      </c>
      <c r="AM150" s="228">
        <v>2.67</v>
      </c>
      <c r="AN150" s="228">
        <v>0</v>
      </c>
      <c r="AO150" s="229">
        <v>1.12E-2</v>
      </c>
      <c r="AP150" s="228">
        <v>240.32</v>
      </c>
      <c r="AQ150" s="228">
        <v>240.99</v>
      </c>
      <c r="AR150" s="228">
        <v>0</v>
      </c>
      <c r="AS150" s="228">
        <v>263</v>
      </c>
      <c r="AT150" s="228">
        <v>428</v>
      </c>
      <c r="AU150" s="228">
        <v>-164</v>
      </c>
      <c r="AV150" s="229">
        <v>-0.38440000000000002</v>
      </c>
      <c r="AW150" s="228">
        <v>241</v>
      </c>
      <c r="AX150" s="228">
        <v>390</v>
      </c>
      <c r="AY150" s="228">
        <v>-150</v>
      </c>
      <c r="AZ150" s="229">
        <v>-0.38319999999999999</v>
      </c>
      <c r="BA150" s="228">
        <v>20</v>
      </c>
      <c r="BB150" s="228">
        <v>34</v>
      </c>
      <c r="BC150" s="228">
        <v>-14</v>
      </c>
      <c r="BD150" s="229">
        <v>-0.40479999999999999</v>
      </c>
      <c r="BE150" s="228">
        <v>2</v>
      </c>
      <c r="BF150" s="228">
        <v>3</v>
      </c>
      <c r="BG150" s="228">
        <v>-1</v>
      </c>
      <c r="BH150" s="229">
        <v>-0.3125</v>
      </c>
      <c r="BI150" s="230">
        <v>1079</v>
      </c>
      <c r="BJ150" s="230">
        <v>2022</v>
      </c>
      <c r="BK150" s="228">
        <v>-944</v>
      </c>
      <c r="BL150" s="229">
        <v>-0.46660000000000001</v>
      </c>
      <c r="BM150" s="228">
        <v>867</v>
      </c>
      <c r="BN150" s="228">
        <v>991</v>
      </c>
      <c r="BO150" s="228">
        <v>-125</v>
      </c>
      <c r="BP150" s="229">
        <v>-0.12559999999999999</v>
      </c>
      <c r="BQ150" s="230">
        <v>2209</v>
      </c>
      <c r="BR150" s="230">
        <v>3441</v>
      </c>
      <c r="BS150" s="230">
        <v>-1233</v>
      </c>
      <c r="BT150" s="229">
        <v>-0.35820000000000002</v>
      </c>
      <c r="BU150" s="230">
        <v>8599740</v>
      </c>
      <c r="BV150" s="230">
        <v>11217716</v>
      </c>
      <c r="BW150" s="230">
        <v>-2617976</v>
      </c>
      <c r="BX150" s="229">
        <v>-0.2334</v>
      </c>
      <c r="BY150" s="230">
        <v>2709</v>
      </c>
      <c r="BZ150" s="230">
        <v>2765</v>
      </c>
      <c r="CA150" s="228">
        <v>-56</v>
      </c>
      <c r="CB150" s="229">
        <v>-2.0400000000000001E-2</v>
      </c>
      <c r="CC150" s="230">
        <v>2612</v>
      </c>
      <c r="CD150" s="230">
        <v>2674</v>
      </c>
      <c r="CE150" s="228">
        <v>-62</v>
      </c>
      <c r="CF150" s="229">
        <v>-2.3E-2</v>
      </c>
      <c r="CG150" s="228">
        <v>89</v>
      </c>
      <c r="CH150" s="228">
        <v>85</v>
      </c>
      <c r="CI150" s="228">
        <v>5</v>
      </c>
      <c r="CJ150" s="229">
        <v>5.4100000000000002E-2</v>
      </c>
      <c r="CK150" s="228">
        <v>7</v>
      </c>
      <c r="CL150" s="228">
        <v>7</v>
      </c>
      <c r="CM150" s="228">
        <v>1</v>
      </c>
      <c r="CN150" s="229">
        <v>9.6000000000000002E-2</v>
      </c>
      <c r="CO150" s="230">
        <v>1707</v>
      </c>
      <c r="CP150" s="230">
        <v>1729</v>
      </c>
      <c r="CQ150" s="228">
        <v>-22</v>
      </c>
      <c r="CR150" s="229">
        <v>-1.2800000000000001E-2</v>
      </c>
      <c r="CS150" s="228">
        <v>655</v>
      </c>
      <c r="CT150" s="228">
        <v>764</v>
      </c>
      <c r="CU150" s="228">
        <v>-108</v>
      </c>
      <c r="CV150" s="229">
        <v>-0.14180000000000001</v>
      </c>
      <c r="CW150" s="230">
        <v>5071</v>
      </c>
      <c r="CX150" s="230">
        <v>5258</v>
      </c>
      <c r="CY150" s="228">
        <v>-187</v>
      </c>
      <c r="CZ150" s="229">
        <v>-3.5499999999999997E-2</v>
      </c>
      <c r="DA150" s="228">
        <v>19.34</v>
      </c>
      <c r="DB150" s="228">
        <v>18.399999999999999</v>
      </c>
      <c r="DC150" s="228">
        <v>0.94</v>
      </c>
      <c r="DD150" s="228">
        <v>0.94</v>
      </c>
      <c r="DE150" s="228">
        <v>29.47</v>
      </c>
      <c r="DF150" s="228">
        <v>29.5</v>
      </c>
      <c r="DG150" s="228">
        <v>-10.130000000000001</v>
      </c>
      <c r="DH150" s="228">
        <v>-0.03</v>
      </c>
      <c r="DI150" s="228">
        <v>19.28</v>
      </c>
      <c r="DJ150" s="228">
        <v>17.93</v>
      </c>
      <c r="DK150" s="228">
        <v>1.35</v>
      </c>
      <c r="DL150" s="228">
        <v>1.35</v>
      </c>
      <c r="DM150" s="228">
        <v>19.420000000000002</v>
      </c>
      <c r="DN150" s="228">
        <v>19.36</v>
      </c>
      <c r="DO150" s="228">
        <v>0.06</v>
      </c>
      <c r="DP150" s="228">
        <v>0.06</v>
      </c>
      <c r="DQ150" s="228">
        <v>0.38</v>
      </c>
      <c r="DR150" s="228">
        <v>0.44</v>
      </c>
      <c r="DS150" s="228">
        <v>-0.06</v>
      </c>
      <c r="DT150" s="229">
        <v>-0.13639999999999999</v>
      </c>
      <c r="DU150" s="228">
        <v>240</v>
      </c>
      <c r="DV150" s="228">
        <v>240</v>
      </c>
      <c r="DW150" s="228">
        <v>0.8</v>
      </c>
      <c r="DX150" s="228">
        <v>0.49</v>
      </c>
      <c r="DY150" s="228">
        <v>0.31</v>
      </c>
      <c r="DZ150" s="229">
        <v>0.63270000000000004</v>
      </c>
      <c r="EA150" s="229">
        <v>3.5700000000000003E-2</v>
      </c>
      <c r="EB150" s="230">
        <v>3818250</v>
      </c>
      <c r="EC150" s="229">
        <v>2.3E-3</v>
      </c>
      <c r="ED150" s="229">
        <v>3.5700000000000003E-2</v>
      </c>
      <c r="EE150" s="228">
        <v>0.67</v>
      </c>
      <c r="EF150" s="229">
        <v>2.8E-3</v>
      </c>
      <c r="EG150" s="230">
        <v>5437880</v>
      </c>
      <c r="EH150" s="230">
        <v>5668795</v>
      </c>
      <c r="EI150" s="229">
        <v>-4.07E-2</v>
      </c>
      <c r="EJ150" s="229">
        <v>0.63229999999999997</v>
      </c>
      <c r="EK150" s="231">
        <v>1121.78</v>
      </c>
      <c r="EL150" s="228">
        <v>860.81</v>
      </c>
      <c r="EM150" s="228">
        <v>264.33</v>
      </c>
      <c r="EN150" s="228">
        <v>82.59</v>
      </c>
      <c r="EO150" s="231">
        <v>2246.92</v>
      </c>
      <c r="EP150" s="231">
        <v>3514.3</v>
      </c>
      <c r="EQ150" s="231">
        <v>-1267.3800000000001</v>
      </c>
      <c r="ER150" s="229">
        <v>-0.36059999999999998</v>
      </c>
      <c r="ES150" s="231">
        <v>1761.88</v>
      </c>
      <c r="ET150" s="228">
        <v>645.07000000000005</v>
      </c>
      <c r="EU150" s="231">
        <v>2709.07</v>
      </c>
      <c r="EV150" s="231">
        <v>517141211</v>
      </c>
      <c r="EW150" s="231">
        <v>5116.03</v>
      </c>
      <c r="EX150" s="231">
        <v>5337.97</v>
      </c>
      <c r="EY150" s="228">
        <v>-221.94</v>
      </c>
      <c r="EZ150" s="229">
        <v>-4.1599999999999998E-2</v>
      </c>
      <c r="FA150" s="229">
        <v>0.4093</v>
      </c>
      <c r="FB150" s="227" t="s">
        <v>568</v>
      </c>
      <c r="FC150">
        <f t="shared" si="3"/>
        <v>0</v>
      </c>
    </row>
    <row r="151" spans="1:159" ht="17.25" thickBot="1" x14ac:dyDescent="0.3">
      <c r="A151" s="226">
        <v>46029</v>
      </c>
      <c r="B151" s="227" t="s">
        <v>197</v>
      </c>
      <c r="C151" s="227" t="s">
        <v>270</v>
      </c>
      <c r="D151" s="228">
        <v>15</v>
      </c>
      <c r="E151" s="228">
        <v>20</v>
      </c>
      <c r="F151" s="231">
        <v>35565</v>
      </c>
      <c r="G151" s="231">
        <v>35485</v>
      </c>
      <c r="H151" s="228">
        <v>80</v>
      </c>
      <c r="I151" s="229">
        <v>2.3E-3</v>
      </c>
      <c r="J151" s="231">
        <v>35380</v>
      </c>
      <c r="K151" s="231">
        <v>35360</v>
      </c>
      <c r="L151" s="228">
        <v>20</v>
      </c>
      <c r="M151" s="229">
        <v>5.9999999999999995E-4</v>
      </c>
      <c r="N151" s="231">
        <v>35565</v>
      </c>
      <c r="O151" s="231">
        <v>35485</v>
      </c>
      <c r="P151" s="228">
        <v>80</v>
      </c>
      <c r="Q151" s="229">
        <v>2.3E-3</v>
      </c>
      <c r="R151" s="231">
        <v>35495</v>
      </c>
      <c r="S151" s="231">
        <v>35450</v>
      </c>
      <c r="T151" s="228">
        <v>45</v>
      </c>
      <c r="U151" s="229">
        <v>1.2999999999999999E-3</v>
      </c>
      <c r="V151" s="231">
        <v>35540</v>
      </c>
      <c r="W151" s="231">
        <v>35480</v>
      </c>
      <c r="X151" s="228">
        <v>60</v>
      </c>
      <c r="Y151" s="229">
        <v>1.6999999999999999E-3</v>
      </c>
      <c r="Z151" s="228">
        <v>185</v>
      </c>
      <c r="AA151" s="228">
        <v>125</v>
      </c>
      <c r="AB151" s="228">
        <v>60</v>
      </c>
      <c r="AC151" s="229">
        <v>5.1999999999999998E-3</v>
      </c>
      <c r="AD151" s="228">
        <v>185</v>
      </c>
      <c r="AE151" s="228">
        <v>125</v>
      </c>
      <c r="AF151" s="228">
        <v>60</v>
      </c>
      <c r="AG151" s="229">
        <v>5.1999999999999998E-3</v>
      </c>
      <c r="AH151" s="228">
        <v>115</v>
      </c>
      <c r="AI151" s="228">
        <v>90</v>
      </c>
      <c r="AJ151" s="228">
        <v>25</v>
      </c>
      <c r="AK151" s="229">
        <v>3.3E-3</v>
      </c>
      <c r="AL151" s="228">
        <v>160</v>
      </c>
      <c r="AM151" s="228">
        <v>120</v>
      </c>
      <c r="AN151" s="228">
        <v>40</v>
      </c>
      <c r="AO151" s="229">
        <v>4.4999999999999997E-3</v>
      </c>
      <c r="AP151" s="231">
        <v>35570.86</v>
      </c>
      <c r="AQ151" s="231">
        <v>35521.160000000003</v>
      </c>
      <c r="AR151" s="228">
        <v>0</v>
      </c>
      <c r="AS151" s="228">
        <v>71</v>
      </c>
      <c r="AT151" s="228">
        <v>141</v>
      </c>
      <c r="AU151" s="228">
        <v>-71</v>
      </c>
      <c r="AV151" s="229">
        <v>-0.49909999999999999</v>
      </c>
      <c r="AW151" s="228">
        <v>64</v>
      </c>
      <c r="AX151" s="228">
        <v>130</v>
      </c>
      <c r="AY151" s="228">
        <v>-66</v>
      </c>
      <c r="AZ151" s="229">
        <v>-0.50580000000000003</v>
      </c>
      <c r="BA151" s="228">
        <v>6</v>
      </c>
      <c r="BB151" s="228">
        <v>11</v>
      </c>
      <c r="BC151" s="228">
        <v>-5</v>
      </c>
      <c r="BD151" s="229">
        <v>-0.42499999999999999</v>
      </c>
      <c r="BE151" s="228">
        <v>1</v>
      </c>
      <c r="BF151" s="228">
        <v>1</v>
      </c>
      <c r="BG151" s="228">
        <v>0</v>
      </c>
      <c r="BH151" s="229">
        <v>-0.42859999999999998</v>
      </c>
      <c r="BI151" s="228">
        <v>376</v>
      </c>
      <c r="BJ151" s="228">
        <v>376</v>
      </c>
      <c r="BK151" s="228">
        <v>1</v>
      </c>
      <c r="BL151" s="229">
        <v>2.3E-3</v>
      </c>
      <c r="BM151" s="228">
        <v>81</v>
      </c>
      <c r="BN151" s="228">
        <v>159</v>
      </c>
      <c r="BO151" s="228">
        <v>-78</v>
      </c>
      <c r="BP151" s="229">
        <v>-0.4899</v>
      </c>
      <c r="BQ151" s="228">
        <v>528</v>
      </c>
      <c r="BR151" s="228">
        <v>676</v>
      </c>
      <c r="BS151" s="228">
        <v>-148</v>
      </c>
      <c r="BT151" s="229">
        <v>-0.21840000000000001</v>
      </c>
      <c r="BU151" s="230">
        <v>8879</v>
      </c>
      <c r="BV151" s="230">
        <v>15919</v>
      </c>
      <c r="BW151" s="230">
        <v>-7040</v>
      </c>
      <c r="BX151" s="229">
        <v>-0.44219999999999998</v>
      </c>
      <c r="BY151" s="228">
        <v>905</v>
      </c>
      <c r="BZ151" s="228">
        <v>897</v>
      </c>
      <c r="CA151" s="228">
        <v>8</v>
      </c>
      <c r="CB151" s="229">
        <v>8.8000000000000005E-3</v>
      </c>
      <c r="CC151" s="228">
        <v>858</v>
      </c>
      <c r="CD151" s="228">
        <v>852</v>
      </c>
      <c r="CE151" s="228">
        <v>6</v>
      </c>
      <c r="CF151" s="229">
        <v>7.3000000000000001E-3</v>
      </c>
      <c r="CG151" s="228">
        <v>43</v>
      </c>
      <c r="CH151" s="228">
        <v>42</v>
      </c>
      <c r="CI151" s="228">
        <v>1</v>
      </c>
      <c r="CJ151" s="229">
        <v>3.0700000000000002E-2</v>
      </c>
      <c r="CK151" s="228">
        <v>4</v>
      </c>
      <c r="CL151" s="228">
        <v>3</v>
      </c>
      <c r="CM151" s="228">
        <v>0</v>
      </c>
      <c r="CN151" s="229">
        <v>0.1186</v>
      </c>
      <c r="CO151" s="228">
        <v>252</v>
      </c>
      <c r="CP151" s="228">
        <v>264</v>
      </c>
      <c r="CQ151" s="228">
        <v>-13</v>
      </c>
      <c r="CR151" s="229">
        <v>-4.7699999999999999E-2</v>
      </c>
      <c r="CS151" s="228">
        <v>134</v>
      </c>
      <c r="CT151" s="228">
        <v>126</v>
      </c>
      <c r="CU151" s="228">
        <v>8</v>
      </c>
      <c r="CV151" s="229">
        <v>6.3700000000000007E-2</v>
      </c>
      <c r="CW151" s="230">
        <v>1290</v>
      </c>
      <c r="CX151" s="230">
        <v>1287</v>
      </c>
      <c r="CY151" s="228">
        <v>3</v>
      </c>
      <c r="CZ151" s="229">
        <v>2.5999999999999999E-3</v>
      </c>
      <c r="DA151" s="228">
        <v>25.36</v>
      </c>
      <c r="DB151" s="228">
        <v>24.07</v>
      </c>
      <c r="DC151" s="228">
        <v>1.29</v>
      </c>
      <c r="DD151" s="228">
        <v>1.29</v>
      </c>
      <c r="DE151" s="228">
        <v>27.42</v>
      </c>
      <c r="DF151" s="228">
        <v>27.49</v>
      </c>
      <c r="DG151" s="228">
        <v>-2.06</v>
      </c>
      <c r="DH151" s="228">
        <v>-7.0000000000000007E-2</v>
      </c>
      <c r="DI151" s="228">
        <v>25.53</v>
      </c>
      <c r="DJ151" s="228">
        <v>24.24</v>
      </c>
      <c r="DK151" s="228">
        <v>1.29</v>
      </c>
      <c r="DL151" s="228">
        <v>1.29</v>
      </c>
      <c r="DM151" s="228">
        <v>24.57</v>
      </c>
      <c r="DN151" s="228">
        <v>23.68</v>
      </c>
      <c r="DO151" s="228">
        <v>0.89</v>
      </c>
      <c r="DP151" s="228">
        <v>0.89</v>
      </c>
      <c r="DQ151" s="228">
        <v>0.53</v>
      </c>
      <c r="DR151" s="228">
        <v>0.48</v>
      </c>
      <c r="DS151" s="228">
        <v>0.05</v>
      </c>
      <c r="DT151" s="229">
        <v>0.1042</v>
      </c>
      <c r="DU151" s="231">
        <v>37000</v>
      </c>
      <c r="DV151" s="231">
        <v>35000</v>
      </c>
      <c r="DW151" s="228">
        <v>0.22</v>
      </c>
      <c r="DX151" s="228">
        <v>0.42</v>
      </c>
      <c r="DY151" s="228">
        <v>-0.2</v>
      </c>
      <c r="DZ151" s="229">
        <v>-0.47620000000000001</v>
      </c>
      <c r="EA151" s="229">
        <v>5.1499999999999997E-2</v>
      </c>
      <c r="EB151" s="230">
        <v>12630</v>
      </c>
      <c r="EC151" s="229">
        <v>-2E-3</v>
      </c>
      <c r="ED151" s="229">
        <v>5.1499999999999997E-2</v>
      </c>
      <c r="EE151" s="228">
        <v>-49.7</v>
      </c>
      <c r="EF151" s="229">
        <v>-1.4E-3</v>
      </c>
      <c r="EG151" s="230">
        <v>4617</v>
      </c>
      <c r="EH151" s="230">
        <v>8373</v>
      </c>
      <c r="EI151" s="229">
        <v>-0.4486</v>
      </c>
      <c r="EJ151" s="229">
        <v>0.52</v>
      </c>
      <c r="EK151" s="228">
        <v>404.13</v>
      </c>
      <c r="EL151" s="228">
        <v>79.17</v>
      </c>
      <c r="EM151" s="228">
        <v>70.849999999999994</v>
      </c>
      <c r="EN151" s="228">
        <v>18</v>
      </c>
      <c r="EO151" s="228">
        <v>554.14</v>
      </c>
      <c r="EP151" s="228">
        <v>691.77</v>
      </c>
      <c r="EQ151" s="228">
        <v>-137.63</v>
      </c>
      <c r="ER151" s="229">
        <v>-0.19900000000000001</v>
      </c>
      <c r="ES151" s="228">
        <v>266.79000000000002</v>
      </c>
      <c r="ET151" s="228">
        <v>131.93</v>
      </c>
      <c r="EU151" s="228">
        <v>904.9</v>
      </c>
      <c r="EV151" s="231">
        <v>955549</v>
      </c>
      <c r="EW151" s="231">
        <v>1303.6300000000001</v>
      </c>
      <c r="EX151" s="231">
        <v>1299</v>
      </c>
      <c r="EY151" s="228">
        <v>4.63</v>
      </c>
      <c r="EZ151" s="229">
        <v>3.5999999999999999E-3</v>
      </c>
      <c r="FA151" s="229">
        <v>0.37959999999999999</v>
      </c>
      <c r="FB151" s="227" t="s">
        <v>555</v>
      </c>
      <c r="FC151">
        <f t="shared" si="3"/>
        <v>0</v>
      </c>
    </row>
    <row r="152" spans="1:159" ht="17.25" thickBot="1" x14ac:dyDescent="0.3">
      <c r="A152" s="226">
        <v>46029</v>
      </c>
      <c r="B152" s="227" t="s">
        <v>168</v>
      </c>
      <c r="C152" s="227" t="s">
        <v>665</v>
      </c>
      <c r="D152" s="228">
        <v>900</v>
      </c>
      <c r="E152" s="228">
        <v>20</v>
      </c>
      <c r="F152" s="228">
        <v>578.75</v>
      </c>
      <c r="G152" s="228">
        <v>575.65</v>
      </c>
      <c r="H152" s="228">
        <v>3.1</v>
      </c>
      <c r="I152" s="229">
        <v>5.4000000000000003E-3</v>
      </c>
      <c r="J152" s="228">
        <v>576.45000000000005</v>
      </c>
      <c r="K152" s="228">
        <v>574.5</v>
      </c>
      <c r="L152" s="228">
        <v>1.95</v>
      </c>
      <c r="M152" s="229">
        <v>3.3999999999999998E-3</v>
      </c>
      <c r="N152" s="228">
        <v>578.75</v>
      </c>
      <c r="O152" s="228">
        <v>575.65</v>
      </c>
      <c r="P152" s="228">
        <v>3.1</v>
      </c>
      <c r="Q152" s="229">
        <v>5.4000000000000003E-3</v>
      </c>
      <c r="R152" s="228">
        <v>581.6</v>
      </c>
      <c r="S152" s="228">
        <v>578.95000000000005</v>
      </c>
      <c r="T152" s="228">
        <v>2.65</v>
      </c>
      <c r="U152" s="229">
        <v>4.5999999999999999E-3</v>
      </c>
      <c r="V152" s="228">
        <v>589.9</v>
      </c>
      <c r="W152" s="228">
        <v>581.95000000000005</v>
      </c>
      <c r="X152" s="228">
        <v>7.95</v>
      </c>
      <c r="Y152" s="229">
        <v>1.37E-2</v>
      </c>
      <c r="Z152" s="228">
        <v>2.2999999999999998</v>
      </c>
      <c r="AA152" s="228">
        <v>1.1499999999999999</v>
      </c>
      <c r="AB152" s="228">
        <v>1.1499999999999999</v>
      </c>
      <c r="AC152" s="229">
        <v>4.0000000000000001E-3</v>
      </c>
      <c r="AD152" s="228">
        <v>2.2999999999999998</v>
      </c>
      <c r="AE152" s="228">
        <v>1.1499999999999999</v>
      </c>
      <c r="AF152" s="228">
        <v>1.1499999999999999</v>
      </c>
      <c r="AG152" s="229">
        <v>4.0000000000000001E-3</v>
      </c>
      <c r="AH152" s="228">
        <v>5.15</v>
      </c>
      <c r="AI152" s="228">
        <v>4.45</v>
      </c>
      <c r="AJ152" s="228">
        <v>0.7</v>
      </c>
      <c r="AK152" s="229">
        <v>8.8999999999999999E-3</v>
      </c>
      <c r="AL152" s="228">
        <v>13.45</v>
      </c>
      <c r="AM152" s="228">
        <v>7.45</v>
      </c>
      <c r="AN152" s="228">
        <v>6</v>
      </c>
      <c r="AO152" s="229">
        <v>2.3300000000000001E-2</v>
      </c>
      <c r="AP152" s="228">
        <v>580.39</v>
      </c>
      <c r="AQ152" s="228">
        <v>583.57000000000005</v>
      </c>
      <c r="AR152" s="228">
        <v>0</v>
      </c>
      <c r="AS152" s="228">
        <v>271</v>
      </c>
      <c r="AT152" s="228">
        <v>437</v>
      </c>
      <c r="AU152" s="228">
        <v>-166</v>
      </c>
      <c r="AV152" s="229">
        <v>-0.37940000000000002</v>
      </c>
      <c r="AW152" s="228">
        <v>269</v>
      </c>
      <c r="AX152" s="228">
        <v>431</v>
      </c>
      <c r="AY152" s="228">
        <v>-162</v>
      </c>
      <c r="AZ152" s="229">
        <v>-0.37569999999999998</v>
      </c>
      <c r="BA152" s="228">
        <v>2</v>
      </c>
      <c r="BB152" s="228">
        <v>6</v>
      </c>
      <c r="BC152" s="228">
        <v>-4</v>
      </c>
      <c r="BD152" s="229">
        <v>-0.623</v>
      </c>
      <c r="BE152" s="228">
        <v>0</v>
      </c>
      <c r="BF152" s="228">
        <v>0</v>
      </c>
      <c r="BG152" s="228">
        <v>0</v>
      </c>
      <c r="BH152" s="229">
        <v>-0.66669999999999996</v>
      </c>
      <c r="BI152" s="228">
        <v>311</v>
      </c>
      <c r="BJ152" s="228">
        <v>320</v>
      </c>
      <c r="BK152" s="228">
        <v>-10</v>
      </c>
      <c r="BL152" s="229">
        <v>-2.98E-2</v>
      </c>
      <c r="BM152" s="228">
        <v>136</v>
      </c>
      <c r="BN152" s="228">
        <v>150</v>
      </c>
      <c r="BO152" s="228">
        <v>-13</v>
      </c>
      <c r="BP152" s="229">
        <v>-0.09</v>
      </c>
      <c r="BQ152" s="228">
        <v>719</v>
      </c>
      <c r="BR152" s="228">
        <v>908</v>
      </c>
      <c r="BS152" s="228">
        <v>-189</v>
      </c>
      <c r="BT152" s="229">
        <v>-0.2082</v>
      </c>
      <c r="BU152" s="230">
        <v>2282661</v>
      </c>
      <c r="BV152" s="230">
        <v>2361422</v>
      </c>
      <c r="BW152" s="230">
        <v>-78761</v>
      </c>
      <c r="BX152" s="229">
        <v>-3.3399999999999999E-2</v>
      </c>
      <c r="BY152" s="230">
        <v>2355</v>
      </c>
      <c r="BZ152" s="230">
        <v>2353</v>
      </c>
      <c r="CA152" s="228">
        <v>2</v>
      </c>
      <c r="CB152" s="229">
        <v>8.0000000000000004E-4</v>
      </c>
      <c r="CC152" s="230">
        <v>2343</v>
      </c>
      <c r="CD152" s="230">
        <v>2342</v>
      </c>
      <c r="CE152" s="228">
        <v>2</v>
      </c>
      <c r="CF152" s="229">
        <v>6.9999999999999999E-4</v>
      </c>
      <c r="CG152" s="228">
        <v>10</v>
      </c>
      <c r="CH152" s="228">
        <v>10</v>
      </c>
      <c r="CI152" s="228">
        <v>0</v>
      </c>
      <c r="CJ152" s="229">
        <v>2.0299999999999999E-2</v>
      </c>
      <c r="CK152" s="228">
        <v>1</v>
      </c>
      <c r="CL152" s="228">
        <v>1</v>
      </c>
      <c r="CM152" s="228">
        <v>0</v>
      </c>
      <c r="CN152" s="229">
        <v>5.8799999999999998E-2</v>
      </c>
      <c r="CO152" s="228">
        <v>284</v>
      </c>
      <c r="CP152" s="228">
        <v>270</v>
      </c>
      <c r="CQ152" s="228">
        <v>13</v>
      </c>
      <c r="CR152" s="229">
        <v>4.9500000000000002E-2</v>
      </c>
      <c r="CS152" s="228">
        <v>174</v>
      </c>
      <c r="CT152" s="228">
        <v>161</v>
      </c>
      <c r="CU152" s="228">
        <v>14</v>
      </c>
      <c r="CV152" s="229">
        <v>8.4900000000000003E-2</v>
      </c>
      <c r="CW152" s="230">
        <v>2813</v>
      </c>
      <c r="CX152" s="230">
        <v>2784</v>
      </c>
      <c r="CY152" s="228">
        <v>29</v>
      </c>
      <c r="CZ152" s="229">
        <v>1.04E-2</v>
      </c>
      <c r="DA152" s="228">
        <v>30.48</v>
      </c>
      <c r="DB152" s="228">
        <v>30.49</v>
      </c>
      <c r="DC152" s="228">
        <v>-0.01</v>
      </c>
      <c r="DD152" s="228">
        <v>-0.01</v>
      </c>
      <c r="DE152" s="228">
        <v>32.83</v>
      </c>
      <c r="DF152" s="228">
        <v>32.909999999999997</v>
      </c>
      <c r="DG152" s="228">
        <v>-2.35</v>
      </c>
      <c r="DH152" s="228">
        <v>-0.08</v>
      </c>
      <c r="DI152" s="228">
        <v>30.55</v>
      </c>
      <c r="DJ152" s="228">
        <v>30.61</v>
      </c>
      <c r="DK152" s="228">
        <v>-0.06</v>
      </c>
      <c r="DL152" s="228">
        <v>-0.06</v>
      </c>
      <c r="DM152" s="228">
        <v>30.33</v>
      </c>
      <c r="DN152" s="228">
        <v>30.24</v>
      </c>
      <c r="DO152" s="228">
        <v>0.09</v>
      </c>
      <c r="DP152" s="228">
        <v>0.09</v>
      </c>
      <c r="DQ152" s="228">
        <v>0.61</v>
      </c>
      <c r="DR152" s="228">
        <v>0.59</v>
      </c>
      <c r="DS152" s="228">
        <v>0.02</v>
      </c>
      <c r="DT152" s="229">
        <v>3.39E-2</v>
      </c>
      <c r="DU152" s="228">
        <v>600</v>
      </c>
      <c r="DV152" s="228">
        <v>520</v>
      </c>
      <c r="DW152" s="228">
        <v>0.44</v>
      </c>
      <c r="DX152" s="228">
        <v>0.47</v>
      </c>
      <c r="DY152" s="228">
        <v>-0.03</v>
      </c>
      <c r="DZ152" s="229">
        <v>-6.3799999999999996E-2</v>
      </c>
      <c r="EA152" s="229">
        <v>4.7999999999999996E-3</v>
      </c>
      <c r="EB152" s="230">
        <v>192600</v>
      </c>
      <c r="EC152" s="229">
        <v>4.8999999999999998E-3</v>
      </c>
      <c r="ED152" s="229">
        <v>4.7999999999999996E-3</v>
      </c>
      <c r="EE152" s="228">
        <v>3.18</v>
      </c>
      <c r="EF152" s="229">
        <v>5.4999999999999997E-3</v>
      </c>
      <c r="EG152" s="230">
        <v>1665546</v>
      </c>
      <c r="EH152" s="230">
        <v>791166</v>
      </c>
      <c r="EI152" s="229">
        <v>1.1052</v>
      </c>
      <c r="EJ152" s="229">
        <v>0.72970000000000002</v>
      </c>
      <c r="EK152" s="228">
        <v>327.17</v>
      </c>
      <c r="EL152" s="228">
        <v>133.6</v>
      </c>
      <c r="EM152" s="228">
        <v>272.11</v>
      </c>
      <c r="EN152" s="228">
        <v>72.760000000000005</v>
      </c>
      <c r="EO152" s="228">
        <v>732.88</v>
      </c>
      <c r="EP152" s="228">
        <v>917.08</v>
      </c>
      <c r="EQ152" s="228">
        <v>-184.21</v>
      </c>
      <c r="ER152" s="229">
        <v>-0.2009</v>
      </c>
      <c r="ES152" s="228">
        <v>287.60000000000002</v>
      </c>
      <c r="ET152" s="228">
        <v>165.86</v>
      </c>
      <c r="EU152" s="231">
        <v>2354.63</v>
      </c>
      <c r="EV152" s="231">
        <v>50886533</v>
      </c>
      <c r="EW152" s="231">
        <v>2808.09</v>
      </c>
      <c r="EX152" s="231">
        <v>2765.24</v>
      </c>
      <c r="EY152" s="228">
        <v>42.85</v>
      </c>
      <c r="EZ152" s="229">
        <v>1.55E-2</v>
      </c>
      <c r="FA152" s="229">
        <v>0.95499999999999996</v>
      </c>
      <c r="FB152" s="227" t="s">
        <v>555</v>
      </c>
      <c r="FC152">
        <f t="shared" si="3"/>
        <v>0</v>
      </c>
    </row>
    <row r="153" spans="1:159" ht="17.25" thickBot="1" x14ac:dyDescent="0.3">
      <c r="A153" s="226">
        <v>46029</v>
      </c>
      <c r="B153" s="227" t="s">
        <v>615</v>
      </c>
      <c r="C153" s="227" t="s">
        <v>575</v>
      </c>
      <c r="D153" s="228">
        <v>725</v>
      </c>
      <c r="E153" s="228">
        <v>20</v>
      </c>
      <c r="F153" s="231">
        <v>1325.4</v>
      </c>
      <c r="G153" s="231">
        <v>1335.1</v>
      </c>
      <c r="H153" s="228">
        <v>-9.6999999999999993</v>
      </c>
      <c r="I153" s="229">
        <v>-7.3000000000000001E-3</v>
      </c>
      <c r="J153" s="231">
        <v>1318.8</v>
      </c>
      <c r="K153" s="231">
        <v>1332.1</v>
      </c>
      <c r="L153" s="228">
        <v>-13.3</v>
      </c>
      <c r="M153" s="229">
        <v>-0.01</v>
      </c>
      <c r="N153" s="231">
        <v>1325.4</v>
      </c>
      <c r="O153" s="231">
        <v>1335.1</v>
      </c>
      <c r="P153" s="228">
        <v>-9.6999999999999993</v>
      </c>
      <c r="Q153" s="229">
        <v>-7.3000000000000001E-3</v>
      </c>
      <c r="R153" s="231">
        <v>1331.6</v>
      </c>
      <c r="S153" s="231">
        <v>1343.4</v>
      </c>
      <c r="T153" s="228">
        <v>-11.8</v>
      </c>
      <c r="U153" s="229">
        <v>-8.8000000000000005E-3</v>
      </c>
      <c r="V153" s="231">
        <v>1338</v>
      </c>
      <c r="W153" s="231">
        <v>1349.7</v>
      </c>
      <c r="X153" s="228">
        <v>-11.7</v>
      </c>
      <c r="Y153" s="229">
        <v>-8.6999999999999994E-3</v>
      </c>
      <c r="Z153" s="228">
        <v>6.6</v>
      </c>
      <c r="AA153" s="228">
        <v>3</v>
      </c>
      <c r="AB153" s="228">
        <v>3.6</v>
      </c>
      <c r="AC153" s="229">
        <v>5.0000000000000001E-3</v>
      </c>
      <c r="AD153" s="228">
        <v>6.6</v>
      </c>
      <c r="AE153" s="228">
        <v>3</v>
      </c>
      <c r="AF153" s="228">
        <v>3.6</v>
      </c>
      <c r="AG153" s="229">
        <v>5.0000000000000001E-3</v>
      </c>
      <c r="AH153" s="228">
        <v>12.8</v>
      </c>
      <c r="AI153" s="228">
        <v>11.3</v>
      </c>
      <c r="AJ153" s="228">
        <v>1.5</v>
      </c>
      <c r="AK153" s="229">
        <v>9.7000000000000003E-3</v>
      </c>
      <c r="AL153" s="228">
        <v>19.2</v>
      </c>
      <c r="AM153" s="228">
        <v>17.600000000000001</v>
      </c>
      <c r="AN153" s="228">
        <v>1.6</v>
      </c>
      <c r="AO153" s="229">
        <v>1.46E-2</v>
      </c>
      <c r="AP153" s="231">
        <v>1330.65</v>
      </c>
      <c r="AQ153" s="231">
        <v>1338.61</v>
      </c>
      <c r="AR153" s="228">
        <v>0</v>
      </c>
      <c r="AS153" s="228">
        <v>252</v>
      </c>
      <c r="AT153" s="228">
        <v>270</v>
      </c>
      <c r="AU153" s="228">
        <v>-18</v>
      </c>
      <c r="AV153" s="229">
        <v>-6.7699999999999996E-2</v>
      </c>
      <c r="AW153" s="228">
        <v>235</v>
      </c>
      <c r="AX153" s="228">
        <v>262</v>
      </c>
      <c r="AY153" s="228">
        <v>-27</v>
      </c>
      <c r="AZ153" s="229">
        <v>-0.1041</v>
      </c>
      <c r="BA153" s="228">
        <v>16</v>
      </c>
      <c r="BB153" s="228">
        <v>6</v>
      </c>
      <c r="BC153" s="228">
        <v>9</v>
      </c>
      <c r="BD153" s="229">
        <v>1.4478</v>
      </c>
      <c r="BE153" s="228">
        <v>1</v>
      </c>
      <c r="BF153" s="228">
        <v>1</v>
      </c>
      <c r="BG153" s="228">
        <v>0</v>
      </c>
      <c r="BH153" s="229">
        <v>-0.23080000000000001</v>
      </c>
      <c r="BI153" s="228">
        <v>623</v>
      </c>
      <c r="BJ153" s="228">
        <v>492</v>
      </c>
      <c r="BK153" s="228">
        <v>131</v>
      </c>
      <c r="BL153" s="229">
        <v>0.26729999999999998</v>
      </c>
      <c r="BM153" s="228">
        <v>310</v>
      </c>
      <c r="BN153" s="228">
        <v>292</v>
      </c>
      <c r="BO153" s="228">
        <v>18</v>
      </c>
      <c r="BP153" s="229">
        <v>6.1100000000000002E-2</v>
      </c>
      <c r="BQ153" s="230">
        <v>1185</v>
      </c>
      <c r="BR153" s="230">
        <v>1054</v>
      </c>
      <c r="BS153" s="228">
        <v>131</v>
      </c>
      <c r="BT153" s="229">
        <v>0.1244</v>
      </c>
      <c r="BU153" s="230">
        <v>1654361</v>
      </c>
      <c r="BV153" s="230">
        <v>1317379</v>
      </c>
      <c r="BW153" s="230">
        <v>336982</v>
      </c>
      <c r="BX153" s="229">
        <v>0.25580000000000003</v>
      </c>
      <c r="BY153" s="230">
        <v>2282</v>
      </c>
      <c r="BZ153" s="230">
        <v>2249</v>
      </c>
      <c r="CA153" s="228">
        <v>34</v>
      </c>
      <c r="CB153" s="229">
        <v>1.4999999999999999E-2</v>
      </c>
      <c r="CC153" s="230">
        <v>2245</v>
      </c>
      <c r="CD153" s="230">
        <v>2215</v>
      </c>
      <c r="CE153" s="228">
        <v>30</v>
      </c>
      <c r="CF153" s="229">
        <v>1.34E-2</v>
      </c>
      <c r="CG153" s="228">
        <v>34</v>
      </c>
      <c r="CH153" s="228">
        <v>30</v>
      </c>
      <c r="CI153" s="228">
        <v>4</v>
      </c>
      <c r="CJ153" s="229">
        <v>0.1206</v>
      </c>
      <c r="CK153" s="228">
        <v>3</v>
      </c>
      <c r="CL153" s="228">
        <v>3</v>
      </c>
      <c r="CM153" s="228">
        <v>0</v>
      </c>
      <c r="CN153" s="229">
        <v>6.6699999999999995E-2</v>
      </c>
      <c r="CO153" s="228">
        <v>610</v>
      </c>
      <c r="CP153" s="228">
        <v>551</v>
      </c>
      <c r="CQ153" s="228">
        <v>59</v>
      </c>
      <c r="CR153" s="229">
        <v>0.1065</v>
      </c>
      <c r="CS153" s="228">
        <v>385</v>
      </c>
      <c r="CT153" s="228">
        <v>382</v>
      </c>
      <c r="CU153" s="228">
        <v>3</v>
      </c>
      <c r="CV153" s="229">
        <v>8.8000000000000005E-3</v>
      </c>
      <c r="CW153" s="230">
        <v>3277</v>
      </c>
      <c r="CX153" s="230">
        <v>3182</v>
      </c>
      <c r="CY153" s="228">
        <v>96</v>
      </c>
      <c r="CZ153" s="229">
        <v>3.0099999999999998E-2</v>
      </c>
      <c r="DA153" s="228">
        <v>31.9</v>
      </c>
      <c r="DB153" s="228">
        <v>30.7</v>
      </c>
      <c r="DC153" s="228">
        <v>1.2</v>
      </c>
      <c r="DD153" s="228">
        <v>1.2</v>
      </c>
      <c r="DE153" s="228">
        <v>51.09</v>
      </c>
      <c r="DF153" s="228">
        <v>51.21</v>
      </c>
      <c r="DG153" s="228">
        <v>-19.190000000000001</v>
      </c>
      <c r="DH153" s="228">
        <v>-0.12</v>
      </c>
      <c r="DI153" s="228">
        <v>31.88</v>
      </c>
      <c r="DJ153" s="228">
        <v>30.51</v>
      </c>
      <c r="DK153" s="228">
        <v>1.37</v>
      </c>
      <c r="DL153" s="228">
        <v>1.37</v>
      </c>
      <c r="DM153" s="228">
        <v>31.95</v>
      </c>
      <c r="DN153" s="228">
        <v>31</v>
      </c>
      <c r="DO153" s="228">
        <v>0.95</v>
      </c>
      <c r="DP153" s="228">
        <v>0.95</v>
      </c>
      <c r="DQ153" s="228">
        <v>0.63</v>
      </c>
      <c r="DR153" s="228">
        <v>0.69</v>
      </c>
      <c r="DS153" s="228">
        <v>-0.06</v>
      </c>
      <c r="DT153" s="229">
        <v>-8.6999999999999994E-2</v>
      </c>
      <c r="DU153" s="231">
        <v>1400</v>
      </c>
      <c r="DV153" s="231">
        <v>1300</v>
      </c>
      <c r="DW153" s="228">
        <v>0.5</v>
      </c>
      <c r="DX153" s="228">
        <v>0.59</v>
      </c>
      <c r="DY153" s="228">
        <v>-0.09</v>
      </c>
      <c r="DZ153" s="229">
        <v>-0.1525</v>
      </c>
      <c r="EA153" s="229">
        <v>1.6199999999999999E-2</v>
      </c>
      <c r="EB153" s="230">
        <v>250125</v>
      </c>
      <c r="EC153" s="229">
        <v>4.7000000000000002E-3</v>
      </c>
      <c r="ED153" s="229">
        <v>1.6199999999999999E-2</v>
      </c>
      <c r="EE153" s="228">
        <v>7.96</v>
      </c>
      <c r="EF153" s="229">
        <v>6.0000000000000001E-3</v>
      </c>
      <c r="EG153" s="230">
        <v>828156</v>
      </c>
      <c r="EH153" s="230">
        <v>602804</v>
      </c>
      <c r="EI153" s="229">
        <v>0.37380000000000002</v>
      </c>
      <c r="EJ153" s="229">
        <v>0.50060000000000004</v>
      </c>
      <c r="EK153" s="228">
        <v>659.21</v>
      </c>
      <c r="EL153" s="228">
        <v>304</v>
      </c>
      <c r="EM153" s="228">
        <v>252.67</v>
      </c>
      <c r="EN153" s="228">
        <v>31.79</v>
      </c>
      <c r="EO153" s="231">
        <v>1215.8699999999999</v>
      </c>
      <c r="EP153" s="231">
        <v>1078.1500000000001</v>
      </c>
      <c r="EQ153" s="228">
        <v>137.72</v>
      </c>
      <c r="ER153" s="229">
        <v>0.12770000000000001</v>
      </c>
      <c r="ES153" s="228">
        <v>633.12</v>
      </c>
      <c r="ET153" s="228">
        <v>370.11</v>
      </c>
      <c r="EU153" s="231">
        <v>2282.46</v>
      </c>
      <c r="EV153" s="231">
        <v>95799519</v>
      </c>
      <c r="EW153" s="231">
        <v>3285.69</v>
      </c>
      <c r="EX153" s="231">
        <v>3204.67</v>
      </c>
      <c r="EY153" s="228">
        <v>81.02</v>
      </c>
      <c r="EZ153" s="229">
        <v>2.53E-2</v>
      </c>
      <c r="FA153" s="229">
        <v>0.2581</v>
      </c>
      <c r="FB153" s="227" t="s">
        <v>567</v>
      </c>
      <c r="FC153">
        <f t="shared" si="3"/>
        <v>0</v>
      </c>
    </row>
    <row r="154" spans="1:159" ht="17.25" thickBot="1" x14ac:dyDescent="0.3">
      <c r="A154" s="226">
        <v>46029</v>
      </c>
      <c r="B154" s="227" t="s">
        <v>221</v>
      </c>
      <c r="C154" s="227" t="s">
        <v>529</v>
      </c>
      <c r="D154" s="228">
        <v>100</v>
      </c>
      <c r="E154" s="228">
        <v>20</v>
      </c>
      <c r="F154" s="231">
        <v>6539</v>
      </c>
      <c r="G154" s="231">
        <v>6253</v>
      </c>
      <c r="H154" s="228">
        <v>286</v>
      </c>
      <c r="I154" s="229">
        <v>4.5699999999999998E-2</v>
      </c>
      <c r="J154" s="231">
        <v>6513.5</v>
      </c>
      <c r="K154" s="231">
        <v>6249</v>
      </c>
      <c r="L154" s="228">
        <v>264.5</v>
      </c>
      <c r="M154" s="229">
        <v>4.2299999999999997E-2</v>
      </c>
      <c r="N154" s="231">
        <v>6539</v>
      </c>
      <c r="O154" s="231">
        <v>6253</v>
      </c>
      <c r="P154" s="228">
        <v>286</v>
      </c>
      <c r="Q154" s="229">
        <v>4.5699999999999998E-2</v>
      </c>
      <c r="R154" s="231">
        <v>6558</v>
      </c>
      <c r="S154" s="231">
        <v>6267.5</v>
      </c>
      <c r="T154" s="228">
        <v>290.5</v>
      </c>
      <c r="U154" s="229">
        <v>4.6399999999999997E-2</v>
      </c>
      <c r="V154" s="231">
        <v>6586.5</v>
      </c>
      <c r="W154" s="231">
        <v>6328.5</v>
      </c>
      <c r="X154" s="228">
        <v>258</v>
      </c>
      <c r="Y154" s="229">
        <v>4.0800000000000003E-2</v>
      </c>
      <c r="Z154" s="228">
        <v>25.5</v>
      </c>
      <c r="AA154" s="228">
        <v>4</v>
      </c>
      <c r="AB154" s="228">
        <v>21.5</v>
      </c>
      <c r="AC154" s="229">
        <v>3.8999999999999998E-3</v>
      </c>
      <c r="AD154" s="228">
        <v>25.5</v>
      </c>
      <c r="AE154" s="228">
        <v>4</v>
      </c>
      <c r="AF154" s="228">
        <v>21.5</v>
      </c>
      <c r="AG154" s="229">
        <v>3.8999999999999998E-3</v>
      </c>
      <c r="AH154" s="228">
        <v>44.5</v>
      </c>
      <c r="AI154" s="228">
        <v>18.5</v>
      </c>
      <c r="AJ154" s="228">
        <v>26</v>
      </c>
      <c r="AK154" s="229">
        <v>6.7999999999999996E-3</v>
      </c>
      <c r="AL154" s="228">
        <v>73</v>
      </c>
      <c r="AM154" s="228">
        <v>79.5</v>
      </c>
      <c r="AN154" s="228">
        <v>-6.5</v>
      </c>
      <c r="AO154" s="229">
        <v>1.12E-2</v>
      </c>
      <c r="AP154" s="231">
        <v>6459.3</v>
      </c>
      <c r="AQ154" s="231">
        <v>6477.8</v>
      </c>
      <c r="AR154" s="228">
        <v>0</v>
      </c>
      <c r="AS154" s="228">
        <v>482</v>
      </c>
      <c r="AT154" s="228">
        <v>191</v>
      </c>
      <c r="AU154" s="228">
        <v>290</v>
      </c>
      <c r="AV154" s="229">
        <v>1.5166999999999999</v>
      </c>
      <c r="AW154" s="228">
        <v>458</v>
      </c>
      <c r="AX154" s="228">
        <v>185</v>
      </c>
      <c r="AY154" s="228">
        <v>273</v>
      </c>
      <c r="AZ154" s="229">
        <v>1.4739</v>
      </c>
      <c r="BA154" s="228">
        <v>20</v>
      </c>
      <c r="BB154" s="228">
        <v>5</v>
      </c>
      <c r="BC154" s="228">
        <v>15</v>
      </c>
      <c r="BD154" s="229">
        <v>2.8148</v>
      </c>
      <c r="BE154" s="228">
        <v>3</v>
      </c>
      <c r="BF154" s="228">
        <v>1</v>
      </c>
      <c r="BG154" s="228">
        <v>2</v>
      </c>
      <c r="BH154" s="229">
        <v>3</v>
      </c>
      <c r="BI154" s="230">
        <v>2943</v>
      </c>
      <c r="BJ154" s="228">
        <v>560</v>
      </c>
      <c r="BK154" s="230">
        <v>2383</v>
      </c>
      <c r="BL154" s="229">
        <v>4.2565999999999997</v>
      </c>
      <c r="BM154" s="230">
        <v>1035</v>
      </c>
      <c r="BN154" s="228">
        <v>188</v>
      </c>
      <c r="BO154" s="228">
        <v>847</v>
      </c>
      <c r="BP154" s="229">
        <v>4.5094000000000003</v>
      </c>
      <c r="BQ154" s="230">
        <v>4460</v>
      </c>
      <c r="BR154" s="228">
        <v>939</v>
      </c>
      <c r="BS154" s="230">
        <v>3521</v>
      </c>
      <c r="BT154" s="229">
        <v>3.7490000000000001</v>
      </c>
      <c r="BU154" s="230">
        <v>651778</v>
      </c>
      <c r="BV154" s="230">
        <v>183662</v>
      </c>
      <c r="BW154" s="230">
        <v>468116</v>
      </c>
      <c r="BX154" s="229">
        <v>2.5488</v>
      </c>
      <c r="BY154" s="230">
        <v>1488</v>
      </c>
      <c r="BZ154" s="230">
        <v>1460</v>
      </c>
      <c r="CA154" s="228">
        <v>27</v>
      </c>
      <c r="CB154" s="229">
        <v>1.8800000000000001E-2</v>
      </c>
      <c r="CC154" s="230">
        <v>1390</v>
      </c>
      <c r="CD154" s="230">
        <v>1364</v>
      </c>
      <c r="CE154" s="228">
        <v>25</v>
      </c>
      <c r="CF154" s="229">
        <v>1.8499999999999999E-2</v>
      </c>
      <c r="CG154" s="228">
        <v>96</v>
      </c>
      <c r="CH154" s="228">
        <v>93</v>
      </c>
      <c r="CI154" s="228">
        <v>2</v>
      </c>
      <c r="CJ154" s="229">
        <v>2.4500000000000001E-2</v>
      </c>
      <c r="CK154" s="228">
        <v>3</v>
      </c>
      <c r="CL154" s="228">
        <v>3</v>
      </c>
      <c r="CM154" s="228">
        <v>0</v>
      </c>
      <c r="CN154" s="229">
        <v>-4.65E-2</v>
      </c>
      <c r="CO154" s="228">
        <v>415</v>
      </c>
      <c r="CP154" s="228">
        <v>396</v>
      </c>
      <c r="CQ154" s="228">
        <v>19</v>
      </c>
      <c r="CR154" s="229">
        <v>4.8899999999999999E-2</v>
      </c>
      <c r="CS154" s="228">
        <v>355</v>
      </c>
      <c r="CT154" s="228">
        <v>261</v>
      </c>
      <c r="CU154" s="228">
        <v>93</v>
      </c>
      <c r="CV154" s="229">
        <v>0.35699999999999998</v>
      </c>
      <c r="CW154" s="230">
        <v>2258</v>
      </c>
      <c r="CX154" s="230">
        <v>2118</v>
      </c>
      <c r="CY154" s="228">
        <v>140</v>
      </c>
      <c r="CZ154" s="229">
        <v>6.6199999999999995E-2</v>
      </c>
      <c r="DA154" s="228">
        <v>35.07</v>
      </c>
      <c r="DB154" s="228">
        <v>33.729999999999997</v>
      </c>
      <c r="DC154" s="228">
        <v>1.34</v>
      </c>
      <c r="DD154" s="228">
        <v>1.34</v>
      </c>
      <c r="DE154" s="228">
        <v>39.729999999999997</v>
      </c>
      <c r="DF154" s="228">
        <v>39.44</v>
      </c>
      <c r="DG154" s="228">
        <v>-4.66</v>
      </c>
      <c r="DH154" s="228">
        <v>0.28999999999999998</v>
      </c>
      <c r="DI154" s="228">
        <v>34.770000000000003</v>
      </c>
      <c r="DJ154" s="228">
        <v>33.69</v>
      </c>
      <c r="DK154" s="228">
        <v>1.08</v>
      </c>
      <c r="DL154" s="228">
        <v>1.08</v>
      </c>
      <c r="DM154" s="228">
        <v>35.94</v>
      </c>
      <c r="DN154" s="228">
        <v>33.86</v>
      </c>
      <c r="DO154" s="228">
        <v>2.08</v>
      </c>
      <c r="DP154" s="228">
        <v>2.08</v>
      </c>
      <c r="DQ154" s="228">
        <v>0.85</v>
      </c>
      <c r="DR154" s="228">
        <v>0.66</v>
      </c>
      <c r="DS154" s="228">
        <v>0.19</v>
      </c>
      <c r="DT154" s="229">
        <v>0.28789999999999999</v>
      </c>
      <c r="DU154" s="231">
        <v>6500</v>
      </c>
      <c r="DV154" s="231">
        <v>6000</v>
      </c>
      <c r="DW154" s="228">
        <v>0.35</v>
      </c>
      <c r="DX154" s="228">
        <v>0.34</v>
      </c>
      <c r="DY154" s="228">
        <v>0.01</v>
      </c>
      <c r="DZ154" s="229">
        <v>2.9399999999999999E-2</v>
      </c>
      <c r="EA154" s="229">
        <v>6.6000000000000003E-2</v>
      </c>
      <c r="EB154" s="230">
        <v>146900</v>
      </c>
      <c r="EC154" s="229">
        <v>2.8999999999999998E-3</v>
      </c>
      <c r="ED154" s="229">
        <v>6.6000000000000003E-2</v>
      </c>
      <c r="EE154" s="228">
        <v>18.5</v>
      </c>
      <c r="EF154" s="229">
        <v>2.8999999999999998E-3</v>
      </c>
      <c r="EG154" s="230">
        <v>286977</v>
      </c>
      <c r="EH154" s="230">
        <v>89075</v>
      </c>
      <c r="EI154" s="229">
        <v>2.2216999999999998</v>
      </c>
      <c r="EJ154" s="229">
        <v>0.44030000000000002</v>
      </c>
      <c r="EK154" s="231">
        <v>3052.53</v>
      </c>
      <c r="EL154" s="228">
        <v>992.12</v>
      </c>
      <c r="EM154" s="228">
        <v>475.74</v>
      </c>
      <c r="EN154" s="228">
        <v>33.909999999999997</v>
      </c>
      <c r="EO154" s="231">
        <v>4520.3900000000003</v>
      </c>
      <c r="EP154" s="228">
        <v>923.77</v>
      </c>
      <c r="EQ154" s="231">
        <v>3596.62</v>
      </c>
      <c r="ER154" s="229">
        <v>3.8934000000000002</v>
      </c>
      <c r="ES154" s="228">
        <v>423.17</v>
      </c>
      <c r="ET154" s="228">
        <v>332.56</v>
      </c>
      <c r="EU154" s="231">
        <v>1488.25</v>
      </c>
      <c r="EV154" s="231">
        <v>15732422</v>
      </c>
      <c r="EW154" s="231">
        <v>2243.9699999999998</v>
      </c>
      <c r="EX154" s="231">
        <v>2032.83</v>
      </c>
      <c r="EY154" s="228">
        <v>211.14</v>
      </c>
      <c r="EZ154" s="229">
        <v>0.10390000000000001</v>
      </c>
      <c r="FA154" s="229">
        <v>0.2195</v>
      </c>
      <c r="FB154" s="227" t="s">
        <v>555</v>
      </c>
      <c r="FC154">
        <f t="shared" si="3"/>
        <v>0</v>
      </c>
    </row>
    <row r="155" spans="1:159" ht="17.25" thickBot="1" x14ac:dyDescent="0.3">
      <c r="A155" s="226">
        <v>46029</v>
      </c>
      <c r="B155" s="227" t="s">
        <v>193</v>
      </c>
      <c r="C155" s="227" t="s">
        <v>272</v>
      </c>
      <c r="D155" s="228">
        <v>1900</v>
      </c>
      <c r="E155" s="228">
        <v>20</v>
      </c>
      <c r="F155" s="228">
        <v>294.75</v>
      </c>
      <c r="G155" s="228">
        <v>296.05</v>
      </c>
      <c r="H155" s="228">
        <v>-1.3</v>
      </c>
      <c r="I155" s="229">
        <v>-4.4000000000000003E-3</v>
      </c>
      <c r="J155" s="228">
        <v>294.35000000000002</v>
      </c>
      <c r="K155" s="228">
        <v>295.3</v>
      </c>
      <c r="L155" s="228">
        <v>-0.95</v>
      </c>
      <c r="M155" s="229">
        <v>-3.2000000000000002E-3</v>
      </c>
      <c r="N155" s="228">
        <v>294.75</v>
      </c>
      <c r="O155" s="228">
        <v>296.05</v>
      </c>
      <c r="P155" s="228">
        <v>-1.3</v>
      </c>
      <c r="Q155" s="229">
        <v>-4.4000000000000003E-3</v>
      </c>
      <c r="R155" s="228">
        <v>296.89999999999998</v>
      </c>
      <c r="S155" s="228">
        <v>297.75</v>
      </c>
      <c r="T155" s="228">
        <v>-0.85</v>
      </c>
      <c r="U155" s="229">
        <v>-2.8999999999999998E-3</v>
      </c>
      <c r="V155" s="228">
        <v>297.64999999999998</v>
      </c>
      <c r="W155" s="228">
        <v>299.85000000000002</v>
      </c>
      <c r="X155" s="228">
        <v>-2.2000000000000002</v>
      </c>
      <c r="Y155" s="229">
        <v>-7.3000000000000001E-3</v>
      </c>
      <c r="Z155" s="228">
        <v>0.4</v>
      </c>
      <c r="AA155" s="228">
        <v>0.75</v>
      </c>
      <c r="AB155" s="228">
        <v>-0.35</v>
      </c>
      <c r="AC155" s="229">
        <v>1.4E-3</v>
      </c>
      <c r="AD155" s="228">
        <v>0.4</v>
      </c>
      <c r="AE155" s="228">
        <v>0.75</v>
      </c>
      <c r="AF155" s="228">
        <v>-0.35</v>
      </c>
      <c r="AG155" s="229">
        <v>1.4E-3</v>
      </c>
      <c r="AH155" s="228">
        <v>2.5499999999999998</v>
      </c>
      <c r="AI155" s="228">
        <v>2.4500000000000002</v>
      </c>
      <c r="AJ155" s="228">
        <v>0.1</v>
      </c>
      <c r="AK155" s="229">
        <v>8.6999999999999994E-3</v>
      </c>
      <c r="AL155" s="228">
        <v>3.3</v>
      </c>
      <c r="AM155" s="228">
        <v>4.55</v>
      </c>
      <c r="AN155" s="228">
        <v>-1.25</v>
      </c>
      <c r="AO155" s="229">
        <v>1.12E-2</v>
      </c>
      <c r="AP155" s="228">
        <v>295.14999999999998</v>
      </c>
      <c r="AQ155" s="228">
        <v>297.14999999999998</v>
      </c>
      <c r="AR155" s="228">
        <v>0</v>
      </c>
      <c r="AS155" s="228">
        <v>202</v>
      </c>
      <c r="AT155" s="228">
        <v>243</v>
      </c>
      <c r="AU155" s="228">
        <v>-42</v>
      </c>
      <c r="AV155" s="229">
        <v>-0.17100000000000001</v>
      </c>
      <c r="AW155" s="228">
        <v>195</v>
      </c>
      <c r="AX155" s="228">
        <v>234</v>
      </c>
      <c r="AY155" s="228">
        <v>-39</v>
      </c>
      <c r="AZ155" s="229">
        <v>-0.16750000000000001</v>
      </c>
      <c r="BA155" s="228">
        <v>7</v>
      </c>
      <c r="BB155" s="228">
        <v>9</v>
      </c>
      <c r="BC155" s="228">
        <v>-2</v>
      </c>
      <c r="BD155" s="229">
        <v>-0.23749999999999999</v>
      </c>
      <c r="BE155" s="228">
        <v>0</v>
      </c>
      <c r="BF155" s="228">
        <v>1</v>
      </c>
      <c r="BG155" s="228">
        <v>0</v>
      </c>
      <c r="BH155" s="229">
        <v>-0.5</v>
      </c>
      <c r="BI155" s="228">
        <v>547</v>
      </c>
      <c r="BJ155" s="228">
        <v>928</v>
      </c>
      <c r="BK155" s="228">
        <v>-381</v>
      </c>
      <c r="BL155" s="229">
        <v>-0.41039999999999999</v>
      </c>
      <c r="BM155" s="228">
        <v>177</v>
      </c>
      <c r="BN155" s="228">
        <v>252</v>
      </c>
      <c r="BO155" s="228">
        <v>-75</v>
      </c>
      <c r="BP155" s="229">
        <v>-0.29820000000000002</v>
      </c>
      <c r="BQ155" s="228">
        <v>926</v>
      </c>
      <c r="BR155" s="230">
        <v>1423</v>
      </c>
      <c r="BS155" s="228">
        <v>-498</v>
      </c>
      <c r="BT155" s="229">
        <v>-0.34960000000000002</v>
      </c>
      <c r="BU155" s="230">
        <v>6602864</v>
      </c>
      <c r="BV155" s="230">
        <v>4251637</v>
      </c>
      <c r="BW155" s="230">
        <v>2351227</v>
      </c>
      <c r="BX155" s="229">
        <v>0.55300000000000005</v>
      </c>
      <c r="BY155" s="230">
        <v>1311</v>
      </c>
      <c r="BZ155" s="230">
        <v>1348</v>
      </c>
      <c r="CA155" s="228">
        <v>-37</v>
      </c>
      <c r="CB155" s="229">
        <v>-2.75E-2</v>
      </c>
      <c r="CC155" s="230">
        <v>1259</v>
      </c>
      <c r="CD155" s="230">
        <v>1297</v>
      </c>
      <c r="CE155" s="228">
        <v>-37</v>
      </c>
      <c r="CF155" s="229">
        <v>-2.8899999999999999E-2</v>
      </c>
      <c r="CG155" s="228">
        <v>51</v>
      </c>
      <c r="CH155" s="228">
        <v>50</v>
      </c>
      <c r="CI155" s="228">
        <v>1</v>
      </c>
      <c r="CJ155" s="229">
        <v>1.11E-2</v>
      </c>
      <c r="CK155" s="228">
        <v>1</v>
      </c>
      <c r="CL155" s="228">
        <v>1</v>
      </c>
      <c r="CM155" s="228">
        <v>0</v>
      </c>
      <c r="CN155" s="229">
        <v>-0.125</v>
      </c>
      <c r="CO155" s="228">
        <v>399</v>
      </c>
      <c r="CP155" s="228">
        <v>410</v>
      </c>
      <c r="CQ155" s="228">
        <v>-11</v>
      </c>
      <c r="CR155" s="229">
        <v>-2.69E-2</v>
      </c>
      <c r="CS155" s="228">
        <v>557</v>
      </c>
      <c r="CT155" s="228">
        <v>572</v>
      </c>
      <c r="CU155" s="228">
        <v>-16</v>
      </c>
      <c r="CV155" s="229">
        <v>-2.7199999999999998E-2</v>
      </c>
      <c r="CW155" s="230">
        <v>2267</v>
      </c>
      <c r="CX155" s="230">
        <v>2330</v>
      </c>
      <c r="CY155" s="228">
        <v>-64</v>
      </c>
      <c r="CZ155" s="229">
        <v>-2.7300000000000001E-2</v>
      </c>
      <c r="DA155" s="228">
        <v>22.19</v>
      </c>
      <c r="DB155" s="228">
        <v>22.05</v>
      </c>
      <c r="DC155" s="228">
        <v>0.14000000000000001</v>
      </c>
      <c r="DD155" s="228">
        <v>0.14000000000000001</v>
      </c>
      <c r="DE155" s="228">
        <v>30.68</v>
      </c>
      <c r="DF155" s="228">
        <v>30.75</v>
      </c>
      <c r="DG155" s="228">
        <v>-8.49</v>
      </c>
      <c r="DH155" s="228">
        <v>-7.0000000000000007E-2</v>
      </c>
      <c r="DI155" s="228">
        <v>21.9</v>
      </c>
      <c r="DJ155" s="228">
        <v>21.67</v>
      </c>
      <c r="DK155" s="228">
        <v>0.23</v>
      </c>
      <c r="DL155" s="228">
        <v>0.23</v>
      </c>
      <c r="DM155" s="228">
        <v>23.11</v>
      </c>
      <c r="DN155" s="228">
        <v>23.42</v>
      </c>
      <c r="DO155" s="228">
        <v>-0.31</v>
      </c>
      <c r="DP155" s="228">
        <v>-0.31</v>
      </c>
      <c r="DQ155" s="228">
        <v>1.4</v>
      </c>
      <c r="DR155" s="228">
        <v>1.4</v>
      </c>
      <c r="DS155" s="228">
        <v>0</v>
      </c>
      <c r="DT155" s="229">
        <v>0</v>
      </c>
      <c r="DU155" s="228">
        <v>300</v>
      </c>
      <c r="DV155" s="228">
        <v>265</v>
      </c>
      <c r="DW155" s="228">
        <v>0.32</v>
      </c>
      <c r="DX155" s="228">
        <v>0.27</v>
      </c>
      <c r="DY155" s="228">
        <v>0.05</v>
      </c>
      <c r="DZ155" s="229">
        <v>0.1852</v>
      </c>
      <c r="EA155" s="229">
        <v>3.9399999999999998E-2</v>
      </c>
      <c r="EB155" s="230">
        <v>1738500</v>
      </c>
      <c r="EC155" s="229">
        <v>7.3000000000000001E-3</v>
      </c>
      <c r="ED155" s="229">
        <v>3.9399999999999998E-2</v>
      </c>
      <c r="EE155" s="228">
        <v>2</v>
      </c>
      <c r="EF155" s="229">
        <v>6.7999999999999996E-3</v>
      </c>
      <c r="EG155" s="230">
        <v>3967943</v>
      </c>
      <c r="EH155" s="230">
        <v>1900815</v>
      </c>
      <c r="EI155" s="229">
        <v>1.0874999999999999</v>
      </c>
      <c r="EJ155" s="229">
        <v>0.60089999999999999</v>
      </c>
      <c r="EK155" s="228">
        <v>565.01</v>
      </c>
      <c r="EL155" s="228">
        <v>173.29</v>
      </c>
      <c r="EM155" s="228">
        <v>202.1</v>
      </c>
      <c r="EN155" s="228">
        <v>29.86</v>
      </c>
      <c r="EO155" s="228">
        <v>940.4</v>
      </c>
      <c r="EP155" s="231">
        <v>1435.6</v>
      </c>
      <c r="EQ155" s="228">
        <v>-495.2</v>
      </c>
      <c r="ER155" s="229">
        <v>-0.34489999999999998</v>
      </c>
      <c r="ES155" s="228">
        <v>399.94</v>
      </c>
      <c r="ET155" s="228">
        <v>522</v>
      </c>
      <c r="EU155" s="231">
        <v>1311.4</v>
      </c>
      <c r="EV155" s="231">
        <v>108255733</v>
      </c>
      <c r="EW155" s="231">
        <v>2233.34</v>
      </c>
      <c r="EX155" s="231">
        <v>2301.1999999999998</v>
      </c>
      <c r="EY155" s="228">
        <v>-67.86</v>
      </c>
      <c r="EZ155" s="229">
        <v>-2.9499999999999998E-2</v>
      </c>
      <c r="FA155" s="229">
        <v>0.71040000000000003</v>
      </c>
      <c r="FB155" s="227" t="s">
        <v>568</v>
      </c>
      <c r="FC155">
        <f t="shared" si="3"/>
        <v>0</v>
      </c>
    </row>
    <row r="156" spans="1:159" ht="17.25" thickBot="1" x14ac:dyDescent="0.3">
      <c r="A156" s="226">
        <v>46029</v>
      </c>
      <c r="B156" s="227" t="s">
        <v>175</v>
      </c>
      <c r="C156" s="227" t="s">
        <v>273</v>
      </c>
      <c r="D156" s="228">
        <v>1300</v>
      </c>
      <c r="E156" s="228">
        <v>20</v>
      </c>
      <c r="F156" s="228">
        <v>378.7</v>
      </c>
      <c r="G156" s="228">
        <v>377.65</v>
      </c>
      <c r="H156" s="228">
        <v>1.05</v>
      </c>
      <c r="I156" s="229">
        <v>2.8E-3</v>
      </c>
      <c r="J156" s="228">
        <v>376.95</v>
      </c>
      <c r="K156" s="228">
        <v>376.25</v>
      </c>
      <c r="L156" s="228">
        <v>0.7</v>
      </c>
      <c r="M156" s="229">
        <v>1.9E-3</v>
      </c>
      <c r="N156" s="228">
        <v>378.7</v>
      </c>
      <c r="O156" s="228">
        <v>377.65</v>
      </c>
      <c r="P156" s="228">
        <v>1.05</v>
      </c>
      <c r="Q156" s="229">
        <v>2.8E-3</v>
      </c>
      <c r="R156" s="228">
        <v>379.55</v>
      </c>
      <c r="S156" s="228">
        <v>378.7</v>
      </c>
      <c r="T156" s="228">
        <v>0.85</v>
      </c>
      <c r="U156" s="229">
        <v>2.2000000000000001E-3</v>
      </c>
      <c r="V156" s="228">
        <v>378.85</v>
      </c>
      <c r="W156" s="228">
        <v>379.1</v>
      </c>
      <c r="X156" s="228">
        <v>-0.25</v>
      </c>
      <c r="Y156" s="229">
        <v>-6.9999999999999999E-4</v>
      </c>
      <c r="Z156" s="228">
        <v>1.75</v>
      </c>
      <c r="AA156" s="228">
        <v>1.4</v>
      </c>
      <c r="AB156" s="228">
        <v>0.35</v>
      </c>
      <c r="AC156" s="229">
        <v>4.5999999999999999E-3</v>
      </c>
      <c r="AD156" s="228">
        <v>1.75</v>
      </c>
      <c r="AE156" s="228">
        <v>1.4</v>
      </c>
      <c r="AF156" s="228">
        <v>0.35</v>
      </c>
      <c r="AG156" s="229">
        <v>4.5999999999999999E-3</v>
      </c>
      <c r="AH156" s="228">
        <v>2.6</v>
      </c>
      <c r="AI156" s="228">
        <v>2.4500000000000002</v>
      </c>
      <c r="AJ156" s="228">
        <v>0.15</v>
      </c>
      <c r="AK156" s="229">
        <v>6.8999999999999999E-3</v>
      </c>
      <c r="AL156" s="228">
        <v>1.9</v>
      </c>
      <c r="AM156" s="228">
        <v>2.85</v>
      </c>
      <c r="AN156" s="228">
        <v>-0.95</v>
      </c>
      <c r="AO156" s="229">
        <v>5.0000000000000001E-3</v>
      </c>
      <c r="AP156" s="228">
        <v>377.43</v>
      </c>
      <c r="AQ156" s="228">
        <v>378.5</v>
      </c>
      <c r="AR156" s="228">
        <v>0</v>
      </c>
      <c r="AS156" s="228">
        <v>272</v>
      </c>
      <c r="AT156" s="228">
        <v>436</v>
      </c>
      <c r="AU156" s="228">
        <v>-164</v>
      </c>
      <c r="AV156" s="229">
        <v>-0.37659999999999999</v>
      </c>
      <c r="AW156" s="228">
        <v>240</v>
      </c>
      <c r="AX156" s="228">
        <v>392</v>
      </c>
      <c r="AY156" s="228">
        <v>-152</v>
      </c>
      <c r="AZ156" s="229">
        <v>-0.38729999999999998</v>
      </c>
      <c r="BA156" s="228">
        <v>20</v>
      </c>
      <c r="BB156" s="228">
        <v>34</v>
      </c>
      <c r="BC156" s="228">
        <v>-14</v>
      </c>
      <c r="BD156" s="229">
        <v>-0.40350000000000003</v>
      </c>
      <c r="BE156" s="228">
        <v>12</v>
      </c>
      <c r="BF156" s="228">
        <v>11</v>
      </c>
      <c r="BG156" s="228">
        <v>1</v>
      </c>
      <c r="BH156" s="229">
        <v>0.1019</v>
      </c>
      <c r="BI156" s="230">
        <v>1050</v>
      </c>
      <c r="BJ156" s="230">
        <v>1853</v>
      </c>
      <c r="BK156" s="228">
        <v>-804</v>
      </c>
      <c r="BL156" s="229">
        <v>-0.43359999999999999</v>
      </c>
      <c r="BM156" s="228">
        <v>445</v>
      </c>
      <c r="BN156" s="228">
        <v>593</v>
      </c>
      <c r="BO156" s="228">
        <v>-148</v>
      </c>
      <c r="BP156" s="229">
        <v>-0.24979999999999999</v>
      </c>
      <c r="BQ156" s="230">
        <v>1767</v>
      </c>
      <c r="BR156" s="230">
        <v>2883</v>
      </c>
      <c r="BS156" s="230">
        <v>-1116</v>
      </c>
      <c r="BT156" s="229">
        <v>-0.3871</v>
      </c>
      <c r="BU156" s="230">
        <v>6088662</v>
      </c>
      <c r="BV156" s="230">
        <v>7060873</v>
      </c>
      <c r="BW156" s="230">
        <v>-972211</v>
      </c>
      <c r="BX156" s="229">
        <v>-0.13769999999999999</v>
      </c>
      <c r="BY156" s="230">
        <v>3082</v>
      </c>
      <c r="BZ156" s="230">
        <v>3042</v>
      </c>
      <c r="CA156" s="228">
        <v>40</v>
      </c>
      <c r="CB156" s="229">
        <v>1.3100000000000001E-2</v>
      </c>
      <c r="CC156" s="230">
        <v>2905</v>
      </c>
      <c r="CD156" s="230">
        <v>2873</v>
      </c>
      <c r="CE156" s="228">
        <v>32</v>
      </c>
      <c r="CF156" s="229">
        <v>1.11E-2</v>
      </c>
      <c r="CG156" s="228">
        <v>146</v>
      </c>
      <c r="CH156" s="228">
        <v>143</v>
      </c>
      <c r="CI156" s="228">
        <v>4</v>
      </c>
      <c r="CJ156" s="229">
        <v>2.5499999999999998E-2</v>
      </c>
      <c r="CK156" s="228">
        <v>31</v>
      </c>
      <c r="CL156" s="228">
        <v>27</v>
      </c>
      <c r="CM156" s="228">
        <v>4</v>
      </c>
      <c r="CN156" s="229">
        <v>0.159</v>
      </c>
      <c r="CO156" s="230">
        <v>1409</v>
      </c>
      <c r="CP156" s="230">
        <v>1398</v>
      </c>
      <c r="CQ156" s="228">
        <v>11</v>
      </c>
      <c r="CR156" s="229">
        <v>7.7000000000000002E-3</v>
      </c>
      <c r="CS156" s="230">
        <v>1063</v>
      </c>
      <c r="CT156" s="230">
        <v>1042</v>
      </c>
      <c r="CU156" s="228">
        <v>21</v>
      </c>
      <c r="CV156" s="229">
        <v>1.9800000000000002E-2</v>
      </c>
      <c r="CW156" s="230">
        <v>5553</v>
      </c>
      <c r="CX156" s="230">
        <v>5482</v>
      </c>
      <c r="CY156" s="228">
        <v>71</v>
      </c>
      <c r="CZ156" s="229">
        <v>1.2999999999999999E-2</v>
      </c>
      <c r="DA156" s="228">
        <v>25.17</v>
      </c>
      <c r="DB156" s="228">
        <v>25.96</v>
      </c>
      <c r="DC156" s="228">
        <v>-0.79</v>
      </c>
      <c r="DD156" s="228">
        <v>-0.79</v>
      </c>
      <c r="DE156" s="228">
        <v>40.75</v>
      </c>
      <c r="DF156" s="228">
        <v>40.85</v>
      </c>
      <c r="DG156" s="228">
        <v>-15.58</v>
      </c>
      <c r="DH156" s="228">
        <v>-0.1</v>
      </c>
      <c r="DI156" s="228">
        <v>25.46</v>
      </c>
      <c r="DJ156" s="228">
        <v>26.06</v>
      </c>
      <c r="DK156" s="228">
        <v>-0.6</v>
      </c>
      <c r="DL156" s="228">
        <v>-0.6</v>
      </c>
      <c r="DM156" s="228">
        <v>24.48</v>
      </c>
      <c r="DN156" s="228">
        <v>25.64</v>
      </c>
      <c r="DO156" s="228">
        <v>-1.1599999999999999</v>
      </c>
      <c r="DP156" s="228">
        <v>-1.1599999999999999</v>
      </c>
      <c r="DQ156" s="228">
        <v>0.75</v>
      </c>
      <c r="DR156" s="228">
        <v>0.75</v>
      </c>
      <c r="DS156" s="228">
        <v>0</v>
      </c>
      <c r="DT156" s="229">
        <v>0</v>
      </c>
      <c r="DU156" s="228">
        <v>400</v>
      </c>
      <c r="DV156" s="228">
        <v>350</v>
      </c>
      <c r="DW156" s="228">
        <v>0.42</v>
      </c>
      <c r="DX156" s="228">
        <v>0.32</v>
      </c>
      <c r="DY156" s="228">
        <v>0.1</v>
      </c>
      <c r="DZ156" s="229">
        <v>0.3125</v>
      </c>
      <c r="EA156" s="229">
        <v>5.7599999999999998E-2</v>
      </c>
      <c r="EB156" s="230">
        <v>4477200</v>
      </c>
      <c r="EC156" s="229">
        <v>2.2000000000000001E-3</v>
      </c>
      <c r="ED156" s="229">
        <v>5.7599999999999998E-2</v>
      </c>
      <c r="EE156" s="228">
        <v>1.07</v>
      </c>
      <c r="EF156" s="229">
        <v>2.8E-3</v>
      </c>
      <c r="EG156" s="230">
        <v>3487336</v>
      </c>
      <c r="EH156" s="230">
        <v>2738685</v>
      </c>
      <c r="EI156" s="229">
        <v>0.27339999999999998</v>
      </c>
      <c r="EJ156" s="229">
        <v>0.57279999999999998</v>
      </c>
      <c r="EK156" s="231">
        <v>1088.06</v>
      </c>
      <c r="EL156" s="228">
        <v>444.33</v>
      </c>
      <c r="EM156" s="228">
        <v>271.27</v>
      </c>
      <c r="EN156" s="228">
        <v>116.47</v>
      </c>
      <c r="EO156" s="231">
        <v>1803.67</v>
      </c>
      <c r="EP156" s="231">
        <v>2950.87</v>
      </c>
      <c r="EQ156" s="231">
        <v>-1147.2</v>
      </c>
      <c r="ER156" s="229">
        <v>-0.38879999999999998</v>
      </c>
      <c r="ES156" s="231">
        <v>1416.81</v>
      </c>
      <c r="ET156" s="231">
        <v>1019.21</v>
      </c>
      <c r="EU156" s="231">
        <v>3082.45</v>
      </c>
      <c r="EV156" s="231">
        <v>217835555</v>
      </c>
      <c r="EW156" s="231">
        <v>5518.47</v>
      </c>
      <c r="EX156" s="231">
        <v>5437.95</v>
      </c>
      <c r="EY156" s="228">
        <v>80.52</v>
      </c>
      <c r="EZ156" s="229">
        <v>1.4800000000000001E-2</v>
      </c>
      <c r="FA156" s="229">
        <v>0.67320000000000002</v>
      </c>
      <c r="FB156" s="227" t="s">
        <v>555</v>
      </c>
      <c r="FC156">
        <f t="shared" si="3"/>
        <v>0</v>
      </c>
    </row>
    <row r="157" spans="1:159" ht="17.25" thickBot="1" x14ac:dyDescent="0.3">
      <c r="A157" s="226">
        <v>46029</v>
      </c>
      <c r="B157" s="227" t="s">
        <v>184</v>
      </c>
      <c r="C157" s="227" t="s">
        <v>680</v>
      </c>
      <c r="D157" s="228">
        <v>950</v>
      </c>
      <c r="E157" s="228">
        <v>20</v>
      </c>
      <c r="F157" s="228">
        <v>623.9</v>
      </c>
      <c r="G157" s="228">
        <v>629.25</v>
      </c>
      <c r="H157" s="228">
        <v>-5.35</v>
      </c>
      <c r="I157" s="229">
        <v>-8.5000000000000006E-3</v>
      </c>
      <c r="J157" s="228">
        <v>622.4</v>
      </c>
      <c r="K157" s="228">
        <v>626.6</v>
      </c>
      <c r="L157" s="228">
        <v>-4.2</v>
      </c>
      <c r="M157" s="229">
        <v>-6.7000000000000002E-3</v>
      </c>
      <c r="N157" s="228">
        <v>623.9</v>
      </c>
      <c r="O157" s="228">
        <v>629.25</v>
      </c>
      <c r="P157" s="228">
        <v>-5.35</v>
      </c>
      <c r="Q157" s="229">
        <v>-8.5000000000000006E-3</v>
      </c>
      <c r="R157" s="228">
        <v>626</v>
      </c>
      <c r="S157" s="228">
        <v>630.5</v>
      </c>
      <c r="T157" s="228">
        <v>-4.5</v>
      </c>
      <c r="U157" s="229">
        <v>-7.1000000000000004E-3</v>
      </c>
      <c r="V157" s="228">
        <v>629</v>
      </c>
      <c r="W157" s="228">
        <v>633.4</v>
      </c>
      <c r="X157" s="228">
        <v>-4.4000000000000004</v>
      </c>
      <c r="Y157" s="229">
        <v>-6.8999999999999999E-3</v>
      </c>
      <c r="Z157" s="228">
        <v>1.5</v>
      </c>
      <c r="AA157" s="228">
        <v>2.65</v>
      </c>
      <c r="AB157" s="228">
        <v>-1.1499999999999999</v>
      </c>
      <c r="AC157" s="229">
        <v>2.3999999999999998E-3</v>
      </c>
      <c r="AD157" s="228">
        <v>1.5</v>
      </c>
      <c r="AE157" s="228">
        <v>2.65</v>
      </c>
      <c r="AF157" s="228">
        <v>-1.1499999999999999</v>
      </c>
      <c r="AG157" s="229">
        <v>2.3999999999999998E-3</v>
      </c>
      <c r="AH157" s="228">
        <v>3.6</v>
      </c>
      <c r="AI157" s="228">
        <v>3.9</v>
      </c>
      <c r="AJ157" s="228">
        <v>-0.3</v>
      </c>
      <c r="AK157" s="229">
        <v>5.7999999999999996E-3</v>
      </c>
      <c r="AL157" s="228">
        <v>6.6</v>
      </c>
      <c r="AM157" s="228">
        <v>6.8</v>
      </c>
      <c r="AN157" s="228">
        <v>-0.2</v>
      </c>
      <c r="AO157" s="229">
        <v>1.06E-2</v>
      </c>
      <c r="AP157" s="228">
        <v>626.91</v>
      </c>
      <c r="AQ157" s="228">
        <v>628.99</v>
      </c>
      <c r="AR157" s="228">
        <v>0</v>
      </c>
      <c r="AS157" s="228">
        <v>192</v>
      </c>
      <c r="AT157" s="228">
        <v>210</v>
      </c>
      <c r="AU157" s="228">
        <v>-19</v>
      </c>
      <c r="AV157" s="229">
        <v>-8.8700000000000001E-2</v>
      </c>
      <c r="AW157" s="228">
        <v>185</v>
      </c>
      <c r="AX157" s="228">
        <v>196</v>
      </c>
      <c r="AY157" s="228">
        <v>-12</v>
      </c>
      <c r="AZ157" s="229">
        <v>-5.8799999999999998E-2</v>
      </c>
      <c r="BA157" s="228">
        <v>7</v>
      </c>
      <c r="BB157" s="228">
        <v>13</v>
      </c>
      <c r="BC157" s="228">
        <v>-7</v>
      </c>
      <c r="BD157" s="229">
        <v>-0.5111</v>
      </c>
      <c r="BE157" s="228">
        <v>0</v>
      </c>
      <c r="BF157" s="228">
        <v>1</v>
      </c>
      <c r="BG157" s="228">
        <v>0</v>
      </c>
      <c r="BH157" s="229">
        <v>-0.45450000000000002</v>
      </c>
      <c r="BI157" s="228">
        <v>439</v>
      </c>
      <c r="BJ157" s="228">
        <v>681</v>
      </c>
      <c r="BK157" s="228">
        <v>-242</v>
      </c>
      <c r="BL157" s="229">
        <v>-0.35570000000000002</v>
      </c>
      <c r="BM157" s="228">
        <v>146</v>
      </c>
      <c r="BN157" s="228">
        <v>320</v>
      </c>
      <c r="BO157" s="228">
        <v>-174</v>
      </c>
      <c r="BP157" s="229">
        <v>-0.5444</v>
      </c>
      <c r="BQ157" s="228">
        <v>777</v>
      </c>
      <c r="BR157" s="230">
        <v>1212</v>
      </c>
      <c r="BS157" s="228">
        <v>-435</v>
      </c>
      <c r="BT157" s="229">
        <v>-0.35920000000000002</v>
      </c>
      <c r="BU157" s="230">
        <v>1221899</v>
      </c>
      <c r="BV157" s="230">
        <v>2125670</v>
      </c>
      <c r="BW157" s="230">
        <v>-903771</v>
      </c>
      <c r="BX157" s="229">
        <v>-0.42520000000000002</v>
      </c>
      <c r="BY157" s="228">
        <v>742</v>
      </c>
      <c r="BZ157" s="228">
        <v>765</v>
      </c>
      <c r="CA157" s="228">
        <v>-23</v>
      </c>
      <c r="CB157" s="229">
        <v>-3.0200000000000001E-2</v>
      </c>
      <c r="CC157" s="228">
        <v>719</v>
      </c>
      <c r="CD157" s="228">
        <v>741</v>
      </c>
      <c r="CE157" s="228">
        <v>-23</v>
      </c>
      <c r="CF157" s="229">
        <v>-3.0499999999999999E-2</v>
      </c>
      <c r="CG157" s="228">
        <v>22</v>
      </c>
      <c r="CH157" s="228">
        <v>22</v>
      </c>
      <c r="CI157" s="228">
        <v>0</v>
      </c>
      <c r="CJ157" s="229">
        <v>-1.89E-2</v>
      </c>
      <c r="CK157" s="228">
        <v>1</v>
      </c>
      <c r="CL157" s="228">
        <v>1</v>
      </c>
      <c r="CM157" s="228">
        <v>0</v>
      </c>
      <c r="CN157" s="229">
        <v>-0.04</v>
      </c>
      <c r="CO157" s="228">
        <v>413</v>
      </c>
      <c r="CP157" s="228">
        <v>397</v>
      </c>
      <c r="CQ157" s="228">
        <v>15</v>
      </c>
      <c r="CR157" s="229">
        <v>3.8899999999999997E-2</v>
      </c>
      <c r="CS157" s="228">
        <v>277</v>
      </c>
      <c r="CT157" s="228">
        <v>288</v>
      </c>
      <c r="CU157" s="228">
        <v>-10</v>
      </c>
      <c r="CV157" s="229">
        <v>-3.56E-2</v>
      </c>
      <c r="CW157" s="230">
        <v>1432</v>
      </c>
      <c r="CX157" s="230">
        <v>1450</v>
      </c>
      <c r="CY157" s="228">
        <v>-18</v>
      </c>
      <c r="CZ157" s="229">
        <v>-1.23E-2</v>
      </c>
      <c r="DA157" s="228">
        <v>38.64</v>
      </c>
      <c r="DB157" s="228">
        <v>37.979999999999997</v>
      </c>
      <c r="DC157" s="228">
        <v>0.66</v>
      </c>
      <c r="DD157" s="228">
        <v>0.66</v>
      </c>
      <c r="DE157" s="228">
        <v>64.77</v>
      </c>
      <c r="DF157" s="228">
        <v>64.930000000000007</v>
      </c>
      <c r="DG157" s="228">
        <v>-26.13</v>
      </c>
      <c r="DH157" s="228">
        <v>-0.16</v>
      </c>
      <c r="DI157" s="228">
        <v>38.75</v>
      </c>
      <c r="DJ157" s="228">
        <v>38.08</v>
      </c>
      <c r="DK157" s="228">
        <v>0.67</v>
      </c>
      <c r="DL157" s="228">
        <v>0.67</v>
      </c>
      <c r="DM157" s="228">
        <v>38.32</v>
      </c>
      <c r="DN157" s="228">
        <v>37.76</v>
      </c>
      <c r="DO157" s="228">
        <v>0.56000000000000005</v>
      </c>
      <c r="DP157" s="228">
        <v>0.56000000000000005</v>
      </c>
      <c r="DQ157" s="228">
        <v>0.67</v>
      </c>
      <c r="DR157" s="228">
        <v>0.72</v>
      </c>
      <c r="DS157" s="228">
        <v>-0.05</v>
      </c>
      <c r="DT157" s="229">
        <v>-6.9400000000000003E-2</v>
      </c>
      <c r="DU157" s="228">
        <v>650</v>
      </c>
      <c r="DV157" s="228">
        <v>580</v>
      </c>
      <c r="DW157" s="228">
        <v>0.33</v>
      </c>
      <c r="DX157" s="228">
        <v>0.47</v>
      </c>
      <c r="DY157" s="228">
        <v>-0.14000000000000001</v>
      </c>
      <c r="DZ157" s="229">
        <v>-0.2979</v>
      </c>
      <c r="EA157" s="229">
        <v>3.09E-2</v>
      </c>
      <c r="EB157" s="230">
        <v>375250</v>
      </c>
      <c r="EC157" s="229">
        <v>3.3999999999999998E-3</v>
      </c>
      <c r="ED157" s="229">
        <v>3.09E-2</v>
      </c>
      <c r="EE157" s="228">
        <v>2.08</v>
      </c>
      <c r="EF157" s="229">
        <v>3.3E-3</v>
      </c>
      <c r="EG157" s="230">
        <v>248167</v>
      </c>
      <c r="EH157" s="230">
        <v>368669</v>
      </c>
      <c r="EI157" s="229">
        <v>-0.32690000000000002</v>
      </c>
      <c r="EJ157" s="229">
        <v>0.2031</v>
      </c>
      <c r="EK157" s="228">
        <v>470.02</v>
      </c>
      <c r="EL157" s="228">
        <v>141.81</v>
      </c>
      <c r="EM157" s="228">
        <v>192.69</v>
      </c>
      <c r="EN157" s="228">
        <v>50.52</v>
      </c>
      <c r="EO157" s="228">
        <v>804.53</v>
      </c>
      <c r="EP157" s="231">
        <v>1252.72</v>
      </c>
      <c r="EQ157" s="228">
        <v>-448.2</v>
      </c>
      <c r="ER157" s="229">
        <v>-0.35780000000000001</v>
      </c>
      <c r="ES157" s="228">
        <v>427.49</v>
      </c>
      <c r="ET157" s="228">
        <v>257.91000000000003</v>
      </c>
      <c r="EU157" s="228">
        <v>741.85</v>
      </c>
      <c r="EV157" s="231">
        <v>24030912</v>
      </c>
      <c r="EW157" s="231">
        <v>1427.26</v>
      </c>
      <c r="EX157" s="231">
        <v>1449.11</v>
      </c>
      <c r="EY157" s="228">
        <v>-21.85</v>
      </c>
      <c r="EZ157" s="229">
        <v>-1.5100000000000001E-2</v>
      </c>
      <c r="FA157" s="229">
        <v>0.95509999999999995</v>
      </c>
      <c r="FB157" s="227" t="s">
        <v>568</v>
      </c>
      <c r="FC157">
        <f t="shared" si="3"/>
        <v>0</v>
      </c>
    </row>
    <row r="158" spans="1:159" ht="17.25" thickBot="1" x14ac:dyDescent="0.3">
      <c r="A158" s="226">
        <v>46029</v>
      </c>
      <c r="B158" s="227" t="s">
        <v>206</v>
      </c>
      <c r="C158" s="227" t="s">
        <v>645</v>
      </c>
      <c r="D158" s="228">
        <v>350</v>
      </c>
      <c r="E158" s="228">
        <v>20</v>
      </c>
      <c r="F158" s="231">
        <v>1946.3</v>
      </c>
      <c r="G158" s="231">
        <v>1958.2</v>
      </c>
      <c r="H158" s="228">
        <v>-11.9</v>
      </c>
      <c r="I158" s="229">
        <v>-6.1000000000000004E-3</v>
      </c>
      <c r="J158" s="231">
        <v>1942.6</v>
      </c>
      <c r="K158" s="231">
        <v>1950.8</v>
      </c>
      <c r="L158" s="228">
        <v>-8.1999999999999993</v>
      </c>
      <c r="M158" s="229">
        <v>-4.1999999999999997E-3</v>
      </c>
      <c r="N158" s="231">
        <v>1946.3</v>
      </c>
      <c r="O158" s="231">
        <v>1958.2</v>
      </c>
      <c r="P158" s="228">
        <v>-11.9</v>
      </c>
      <c r="Q158" s="229">
        <v>-6.1000000000000004E-3</v>
      </c>
      <c r="R158" s="231">
        <v>1957.5</v>
      </c>
      <c r="S158" s="231">
        <v>1968.7</v>
      </c>
      <c r="T158" s="228">
        <v>-11.2</v>
      </c>
      <c r="U158" s="229">
        <v>-5.7000000000000002E-3</v>
      </c>
      <c r="V158" s="231">
        <v>1989.8</v>
      </c>
      <c r="W158" s="231">
        <v>1988.8</v>
      </c>
      <c r="X158" s="228">
        <v>1</v>
      </c>
      <c r="Y158" s="229">
        <v>5.0000000000000001E-4</v>
      </c>
      <c r="Z158" s="228">
        <v>3.7</v>
      </c>
      <c r="AA158" s="228">
        <v>7.4</v>
      </c>
      <c r="AB158" s="228">
        <v>-3.7</v>
      </c>
      <c r="AC158" s="229">
        <v>1.9E-3</v>
      </c>
      <c r="AD158" s="228">
        <v>3.7</v>
      </c>
      <c r="AE158" s="228">
        <v>7.4</v>
      </c>
      <c r="AF158" s="228">
        <v>-3.7</v>
      </c>
      <c r="AG158" s="229">
        <v>1.9E-3</v>
      </c>
      <c r="AH158" s="228">
        <v>14.9</v>
      </c>
      <c r="AI158" s="228">
        <v>17.899999999999999</v>
      </c>
      <c r="AJ158" s="228">
        <v>-3</v>
      </c>
      <c r="AK158" s="229">
        <v>7.7000000000000002E-3</v>
      </c>
      <c r="AL158" s="228">
        <v>47.2</v>
      </c>
      <c r="AM158" s="228">
        <v>38</v>
      </c>
      <c r="AN158" s="228">
        <v>9.1999999999999993</v>
      </c>
      <c r="AO158" s="229">
        <v>2.4299999999999999E-2</v>
      </c>
      <c r="AP158" s="231">
        <v>1948.07</v>
      </c>
      <c r="AQ158" s="231">
        <v>1958.33</v>
      </c>
      <c r="AR158" s="228">
        <v>0</v>
      </c>
      <c r="AS158" s="228">
        <v>122</v>
      </c>
      <c r="AT158" s="228">
        <v>199</v>
      </c>
      <c r="AU158" s="228">
        <v>-78</v>
      </c>
      <c r="AV158" s="229">
        <v>-0.38929999999999998</v>
      </c>
      <c r="AW158" s="228">
        <v>108</v>
      </c>
      <c r="AX158" s="228">
        <v>161</v>
      </c>
      <c r="AY158" s="228">
        <v>-52</v>
      </c>
      <c r="AZ158" s="229">
        <v>-0.32529999999999998</v>
      </c>
      <c r="BA158" s="228">
        <v>13</v>
      </c>
      <c r="BB158" s="228">
        <v>39</v>
      </c>
      <c r="BC158" s="228">
        <v>-25</v>
      </c>
      <c r="BD158" s="229">
        <v>-0.65900000000000003</v>
      </c>
      <c r="BE158" s="228">
        <v>0</v>
      </c>
      <c r="BF158" s="228">
        <v>0</v>
      </c>
      <c r="BG158" s="228">
        <v>0</v>
      </c>
      <c r="BH158" s="229">
        <v>0</v>
      </c>
      <c r="BI158" s="228">
        <v>98</v>
      </c>
      <c r="BJ158" s="228">
        <v>211</v>
      </c>
      <c r="BK158" s="228">
        <v>-113</v>
      </c>
      <c r="BL158" s="229">
        <v>-0.53439999999999999</v>
      </c>
      <c r="BM158" s="228">
        <v>62</v>
      </c>
      <c r="BN158" s="228">
        <v>171</v>
      </c>
      <c r="BO158" s="228">
        <v>-108</v>
      </c>
      <c r="BP158" s="229">
        <v>-0.63400000000000001</v>
      </c>
      <c r="BQ158" s="228">
        <v>282</v>
      </c>
      <c r="BR158" s="228">
        <v>581</v>
      </c>
      <c r="BS158" s="228">
        <v>-298</v>
      </c>
      <c r="BT158" s="229">
        <v>-0.51380000000000003</v>
      </c>
      <c r="BU158" s="230">
        <v>578281</v>
      </c>
      <c r="BV158" s="230">
        <v>618413</v>
      </c>
      <c r="BW158" s="230">
        <v>-40132</v>
      </c>
      <c r="BX158" s="229">
        <v>-6.4899999999999999E-2</v>
      </c>
      <c r="BY158" s="228">
        <v>706</v>
      </c>
      <c r="BZ158" s="228">
        <v>683</v>
      </c>
      <c r="CA158" s="228">
        <v>23</v>
      </c>
      <c r="CB158" s="229">
        <v>3.4200000000000001E-2</v>
      </c>
      <c r="CC158" s="228">
        <v>672</v>
      </c>
      <c r="CD158" s="228">
        <v>657</v>
      </c>
      <c r="CE158" s="228">
        <v>15</v>
      </c>
      <c r="CF158" s="229">
        <v>2.2800000000000001E-2</v>
      </c>
      <c r="CG158" s="228">
        <v>34</v>
      </c>
      <c r="CH158" s="228">
        <v>26</v>
      </c>
      <c r="CI158" s="228">
        <v>8</v>
      </c>
      <c r="CJ158" s="229">
        <v>0.30909999999999999</v>
      </c>
      <c r="CK158" s="228">
        <v>1</v>
      </c>
      <c r="CL158" s="228">
        <v>0</v>
      </c>
      <c r="CM158" s="228">
        <v>0</v>
      </c>
      <c r="CN158" s="229">
        <v>1</v>
      </c>
      <c r="CO158" s="228">
        <v>144</v>
      </c>
      <c r="CP158" s="228">
        <v>121</v>
      </c>
      <c r="CQ158" s="228">
        <v>23</v>
      </c>
      <c r="CR158" s="229">
        <v>0.18920000000000001</v>
      </c>
      <c r="CS158" s="228">
        <v>112</v>
      </c>
      <c r="CT158" s="228">
        <v>98</v>
      </c>
      <c r="CU158" s="228">
        <v>14</v>
      </c>
      <c r="CV158" s="229">
        <v>0.1439</v>
      </c>
      <c r="CW158" s="228">
        <v>962</v>
      </c>
      <c r="CX158" s="228">
        <v>902</v>
      </c>
      <c r="CY158" s="228">
        <v>60</v>
      </c>
      <c r="CZ158" s="229">
        <v>6.6900000000000001E-2</v>
      </c>
      <c r="DA158" s="228">
        <v>25.68</v>
      </c>
      <c r="DB158" s="228">
        <v>24.33</v>
      </c>
      <c r="DC158" s="228">
        <v>1.35</v>
      </c>
      <c r="DD158" s="228">
        <v>1.35</v>
      </c>
      <c r="DE158" s="228">
        <v>40.07</v>
      </c>
      <c r="DF158" s="228">
        <v>40.17</v>
      </c>
      <c r="DG158" s="228">
        <v>-14.39</v>
      </c>
      <c r="DH158" s="228">
        <v>-0.1</v>
      </c>
      <c r="DI158" s="228">
        <v>25.76</v>
      </c>
      <c r="DJ158" s="228">
        <v>23.88</v>
      </c>
      <c r="DK158" s="228">
        <v>1.88</v>
      </c>
      <c r="DL158" s="228">
        <v>1.88</v>
      </c>
      <c r="DM158" s="228">
        <v>25.54</v>
      </c>
      <c r="DN158" s="228">
        <v>24.9</v>
      </c>
      <c r="DO158" s="228">
        <v>0.64</v>
      </c>
      <c r="DP158" s="228">
        <v>0.64</v>
      </c>
      <c r="DQ158" s="228">
        <v>0.77</v>
      </c>
      <c r="DR158" s="228">
        <v>0.8</v>
      </c>
      <c r="DS158" s="228">
        <v>-0.03</v>
      </c>
      <c r="DT158" s="229">
        <v>-3.7499999999999999E-2</v>
      </c>
      <c r="DU158" s="231">
        <v>2000</v>
      </c>
      <c r="DV158" s="231">
        <v>1900</v>
      </c>
      <c r="DW158" s="228">
        <v>0.64</v>
      </c>
      <c r="DX158" s="228">
        <v>0.81</v>
      </c>
      <c r="DY158" s="228">
        <v>-0.17</v>
      </c>
      <c r="DZ158" s="229">
        <v>-0.2099</v>
      </c>
      <c r="EA158" s="229">
        <v>4.9399999999999999E-2</v>
      </c>
      <c r="EB158" s="230">
        <v>136150</v>
      </c>
      <c r="EC158" s="229">
        <v>5.7999999999999996E-3</v>
      </c>
      <c r="ED158" s="229">
        <v>4.9399999999999999E-2</v>
      </c>
      <c r="EE158" s="228">
        <v>10.26</v>
      </c>
      <c r="EF158" s="229">
        <v>5.3E-3</v>
      </c>
      <c r="EG158" s="230">
        <v>393329</v>
      </c>
      <c r="EH158" s="230">
        <v>319601</v>
      </c>
      <c r="EI158" s="229">
        <v>0.23069999999999999</v>
      </c>
      <c r="EJ158" s="229">
        <v>0.68020000000000003</v>
      </c>
      <c r="EK158" s="228">
        <v>102.51</v>
      </c>
      <c r="EL158" s="228">
        <v>61.06</v>
      </c>
      <c r="EM158" s="228">
        <v>121.99</v>
      </c>
      <c r="EN158" s="228">
        <v>15.19</v>
      </c>
      <c r="EO158" s="228">
        <v>285.55</v>
      </c>
      <c r="EP158" s="228">
        <v>586.02</v>
      </c>
      <c r="EQ158" s="228">
        <v>-300.45999999999998</v>
      </c>
      <c r="ER158" s="229">
        <v>-0.51270000000000004</v>
      </c>
      <c r="ES158" s="228">
        <v>144.16999999999999</v>
      </c>
      <c r="ET158" s="228">
        <v>107.33</v>
      </c>
      <c r="EU158" s="228">
        <v>706.69</v>
      </c>
      <c r="EV158" s="231">
        <v>19533471</v>
      </c>
      <c r="EW158" s="228">
        <v>958.18</v>
      </c>
      <c r="EX158" s="228">
        <v>900.93</v>
      </c>
      <c r="EY158" s="228">
        <v>57.25</v>
      </c>
      <c r="EZ158" s="229">
        <v>6.3500000000000001E-2</v>
      </c>
      <c r="FA158" s="229">
        <v>0.25309999999999999</v>
      </c>
      <c r="FB158" s="227" t="s">
        <v>567</v>
      </c>
      <c r="FC158">
        <f t="shared" si="3"/>
        <v>0</v>
      </c>
    </row>
    <row r="159" spans="1:159" ht="17.25" thickBot="1" x14ac:dyDescent="0.3">
      <c r="A159" s="226">
        <v>46029</v>
      </c>
      <c r="B159" s="227" t="s">
        <v>168</v>
      </c>
      <c r="C159" s="227" t="s">
        <v>274</v>
      </c>
      <c r="D159" s="228">
        <v>500</v>
      </c>
      <c r="E159" s="228">
        <v>20</v>
      </c>
      <c r="F159" s="231">
        <v>1518.1</v>
      </c>
      <c r="G159" s="231">
        <v>1508.9</v>
      </c>
      <c r="H159" s="228">
        <v>9.1999999999999993</v>
      </c>
      <c r="I159" s="229">
        <v>6.1000000000000004E-3</v>
      </c>
      <c r="J159" s="231">
        <v>1514.8</v>
      </c>
      <c r="K159" s="231">
        <v>1505</v>
      </c>
      <c r="L159" s="228">
        <v>9.8000000000000007</v>
      </c>
      <c r="M159" s="229">
        <v>6.4999999999999997E-3</v>
      </c>
      <c r="N159" s="231">
        <v>1518.1</v>
      </c>
      <c r="O159" s="231">
        <v>1508.9</v>
      </c>
      <c r="P159" s="228">
        <v>9.1999999999999993</v>
      </c>
      <c r="Q159" s="229">
        <v>6.1000000000000004E-3</v>
      </c>
      <c r="R159" s="231">
        <v>1527.2</v>
      </c>
      <c r="S159" s="231">
        <v>1517.7</v>
      </c>
      <c r="T159" s="228">
        <v>9.5</v>
      </c>
      <c r="U159" s="229">
        <v>6.3E-3</v>
      </c>
      <c r="V159" s="231">
        <v>1531.9</v>
      </c>
      <c r="W159" s="231">
        <v>1531.9</v>
      </c>
      <c r="X159" s="228">
        <v>0</v>
      </c>
      <c r="Y159" s="229">
        <v>0</v>
      </c>
      <c r="Z159" s="228">
        <v>3.3</v>
      </c>
      <c r="AA159" s="228">
        <v>3.9</v>
      </c>
      <c r="AB159" s="228">
        <v>-0.6</v>
      </c>
      <c r="AC159" s="229">
        <v>2.2000000000000001E-3</v>
      </c>
      <c r="AD159" s="228">
        <v>3.3</v>
      </c>
      <c r="AE159" s="228">
        <v>3.9</v>
      </c>
      <c r="AF159" s="228">
        <v>-0.6</v>
      </c>
      <c r="AG159" s="229">
        <v>2.2000000000000001E-3</v>
      </c>
      <c r="AH159" s="228">
        <v>12.4</v>
      </c>
      <c r="AI159" s="228">
        <v>12.7</v>
      </c>
      <c r="AJ159" s="228">
        <v>-0.3</v>
      </c>
      <c r="AK159" s="229">
        <v>8.2000000000000007E-3</v>
      </c>
      <c r="AL159" s="228">
        <v>17.100000000000001</v>
      </c>
      <c r="AM159" s="228">
        <v>26.9</v>
      </c>
      <c r="AN159" s="228">
        <v>-9.8000000000000007</v>
      </c>
      <c r="AO159" s="229">
        <v>1.1299999999999999E-2</v>
      </c>
      <c r="AP159" s="231">
        <v>1513.08</v>
      </c>
      <c r="AQ159" s="231">
        <v>1524.23</v>
      </c>
      <c r="AR159" s="228">
        <v>0</v>
      </c>
      <c r="AS159" s="228">
        <v>136</v>
      </c>
      <c r="AT159" s="228">
        <v>97</v>
      </c>
      <c r="AU159" s="228">
        <v>39</v>
      </c>
      <c r="AV159" s="229">
        <v>0.39979999999999999</v>
      </c>
      <c r="AW159" s="228">
        <v>134</v>
      </c>
      <c r="AX159" s="228">
        <v>95</v>
      </c>
      <c r="AY159" s="228">
        <v>39</v>
      </c>
      <c r="AZ159" s="229">
        <v>0.4088</v>
      </c>
      <c r="BA159" s="228">
        <v>3</v>
      </c>
      <c r="BB159" s="228">
        <v>3</v>
      </c>
      <c r="BC159" s="228">
        <v>0</v>
      </c>
      <c r="BD159" s="229">
        <v>6.0600000000000001E-2</v>
      </c>
      <c r="BE159" s="228">
        <v>0</v>
      </c>
      <c r="BF159" s="228">
        <v>0</v>
      </c>
      <c r="BG159" s="228">
        <v>0</v>
      </c>
      <c r="BH159" s="229">
        <v>0</v>
      </c>
      <c r="BI159" s="228">
        <v>294</v>
      </c>
      <c r="BJ159" s="228">
        <v>201</v>
      </c>
      <c r="BK159" s="228">
        <v>93</v>
      </c>
      <c r="BL159" s="229">
        <v>0.46510000000000001</v>
      </c>
      <c r="BM159" s="228">
        <v>66</v>
      </c>
      <c r="BN159" s="228">
        <v>83</v>
      </c>
      <c r="BO159" s="228">
        <v>-16</v>
      </c>
      <c r="BP159" s="229">
        <v>-0.19719999999999999</v>
      </c>
      <c r="BQ159" s="228">
        <v>497</v>
      </c>
      <c r="BR159" s="228">
        <v>381</v>
      </c>
      <c r="BS159" s="228">
        <v>116</v>
      </c>
      <c r="BT159" s="229">
        <v>0.30459999999999998</v>
      </c>
      <c r="BU159" s="230">
        <v>631690</v>
      </c>
      <c r="BV159" s="230">
        <v>400989</v>
      </c>
      <c r="BW159" s="230">
        <v>230701</v>
      </c>
      <c r="BX159" s="229">
        <v>0.57530000000000003</v>
      </c>
      <c r="BY159" s="230">
        <v>1175</v>
      </c>
      <c r="BZ159" s="230">
        <v>1178</v>
      </c>
      <c r="CA159" s="228">
        <v>-3</v>
      </c>
      <c r="CB159" s="229">
        <v>-2.3999999999999998E-3</v>
      </c>
      <c r="CC159" s="230">
        <v>1163</v>
      </c>
      <c r="CD159" s="230">
        <v>1166</v>
      </c>
      <c r="CE159" s="228">
        <v>-3</v>
      </c>
      <c r="CF159" s="229">
        <v>-2.7000000000000001E-3</v>
      </c>
      <c r="CG159" s="228">
        <v>12</v>
      </c>
      <c r="CH159" s="228">
        <v>12</v>
      </c>
      <c r="CI159" s="228">
        <v>0</v>
      </c>
      <c r="CJ159" s="229">
        <v>3.2099999999999997E-2</v>
      </c>
      <c r="CK159" s="228">
        <v>0</v>
      </c>
      <c r="CL159" s="228">
        <v>0</v>
      </c>
      <c r="CM159" s="228">
        <v>0</v>
      </c>
      <c r="CN159" s="229">
        <v>0</v>
      </c>
      <c r="CO159" s="228">
        <v>154</v>
      </c>
      <c r="CP159" s="228">
        <v>150</v>
      </c>
      <c r="CQ159" s="228">
        <v>4</v>
      </c>
      <c r="CR159" s="229">
        <v>2.4799999999999999E-2</v>
      </c>
      <c r="CS159" s="228">
        <v>151</v>
      </c>
      <c r="CT159" s="228">
        <v>146</v>
      </c>
      <c r="CU159" s="228">
        <v>5</v>
      </c>
      <c r="CV159" s="229">
        <v>3.44E-2</v>
      </c>
      <c r="CW159" s="230">
        <v>1480</v>
      </c>
      <c r="CX159" s="230">
        <v>1474</v>
      </c>
      <c r="CY159" s="228">
        <v>6</v>
      </c>
      <c r="CZ159" s="229">
        <v>4.0000000000000001E-3</v>
      </c>
      <c r="DA159" s="228">
        <v>19.41</v>
      </c>
      <c r="DB159" s="228">
        <v>19.579999999999998</v>
      </c>
      <c r="DC159" s="228">
        <v>-0.17</v>
      </c>
      <c r="DD159" s="228">
        <v>-0.17</v>
      </c>
      <c r="DE159" s="228">
        <v>21.13</v>
      </c>
      <c r="DF159" s="228">
        <v>21.17</v>
      </c>
      <c r="DG159" s="228">
        <v>-1.72</v>
      </c>
      <c r="DH159" s="228">
        <v>-0.04</v>
      </c>
      <c r="DI159" s="228">
        <v>19.25</v>
      </c>
      <c r="DJ159" s="228">
        <v>19.46</v>
      </c>
      <c r="DK159" s="228">
        <v>-0.21</v>
      </c>
      <c r="DL159" s="228">
        <v>-0.21</v>
      </c>
      <c r="DM159" s="228">
        <v>20.09</v>
      </c>
      <c r="DN159" s="228">
        <v>19.86</v>
      </c>
      <c r="DO159" s="228">
        <v>0.23</v>
      </c>
      <c r="DP159" s="228">
        <v>0.23</v>
      </c>
      <c r="DQ159" s="228">
        <v>0.98</v>
      </c>
      <c r="DR159" s="228">
        <v>0.97</v>
      </c>
      <c r="DS159" s="228">
        <v>0.01</v>
      </c>
      <c r="DT159" s="229">
        <v>1.03E-2</v>
      </c>
      <c r="DU159" s="231">
        <v>1500</v>
      </c>
      <c r="DV159" s="231">
        <v>1400</v>
      </c>
      <c r="DW159" s="228">
        <v>0.23</v>
      </c>
      <c r="DX159" s="228">
        <v>0.41</v>
      </c>
      <c r="DY159" s="228">
        <v>-0.18</v>
      </c>
      <c r="DZ159" s="229">
        <v>-0.439</v>
      </c>
      <c r="EA159" s="229">
        <v>1.0500000000000001E-2</v>
      </c>
      <c r="EB159" s="230">
        <v>79000</v>
      </c>
      <c r="EC159" s="229">
        <v>6.0000000000000001E-3</v>
      </c>
      <c r="ED159" s="229">
        <v>1.0500000000000001E-2</v>
      </c>
      <c r="EE159" s="228">
        <v>11.15</v>
      </c>
      <c r="EF159" s="229">
        <v>7.4000000000000003E-3</v>
      </c>
      <c r="EG159" s="230">
        <v>349880</v>
      </c>
      <c r="EH159" s="230">
        <v>225168</v>
      </c>
      <c r="EI159" s="229">
        <v>0.55389999999999995</v>
      </c>
      <c r="EJ159" s="229">
        <v>0.55389999999999995</v>
      </c>
      <c r="EK159" s="228">
        <v>299.97000000000003</v>
      </c>
      <c r="EL159" s="228">
        <v>64.67</v>
      </c>
      <c r="EM159" s="228">
        <v>135.88999999999999</v>
      </c>
      <c r="EN159" s="228">
        <v>16.75</v>
      </c>
      <c r="EO159" s="228">
        <v>500.53</v>
      </c>
      <c r="EP159" s="228">
        <v>383.76</v>
      </c>
      <c r="EQ159" s="228">
        <v>116.77</v>
      </c>
      <c r="ER159" s="229">
        <v>0.30430000000000001</v>
      </c>
      <c r="ES159" s="228">
        <v>154.27000000000001</v>
      </c>
      <c r="ET159" s="228">
        <v>143.66999999999999</v>
      </c>
      <c r="EU159" s="231">
        <v>1175.31</v>
      </c>
      <c r="EV159" s="231">
        <v>31214205</v>
      </c>
      <c r="EW159" s="231">
        <v>1473.25</v>
      </c>
      <c r="EX159" s="231">
        <v>1460.32</v>
      </c>
      <c r="EY159" s="228">
        <v>12.93</v>
      </c>
      <c r="EZ159" s="229">
        <v>8.8999999999999999E-3</v>
      </c>
      <c r="FA159" s="229">
        <v>0.31230000000000002</v>
      </c>
      <c r="FB159" s="227" t="s">
        <v>556</v>
      </c>
      <c r="FC159">
        <f t="shared" si="3"/>
        <v>0</v>
      </c>
    </row>
    <row r="160" spans="1:159" ht="17.25" thickBot="1" x14ac:dyDescent="0.3">
      <c r="A160" s="226">
        <v>46029</v>
      </c>
      <c r="B160" s="227" t="s">
        <v>498</v>
      </c>
      <c r="C160" s="227" t="s">
        <v>483</v>
      </c>
      <c r="D160" s="228">
        <v>175</v>
      </c>
      <c r="E160" s="228">
        <v>20</v>
      </c>
      <c r="F160" s="231">
        <v>3301.7</v>
      </c>
      <c r="G160" s="231">
        <v>3274.9</v>
      </c>
      <c r="H160" s="228">
        <v>26.8</v>
      </c>
      <c r="I160" s="229">
        <v>8.2000000000000007E-3</v>
      </c>
      <c r="J160" s="231">
        <v>3283.8</v>
      </c>
      <c r="K160" s="231">
        <v>3275.5</v>
      </c>
      <c r="L160" s="228">
        <v>8.3000000000000007</v>
      </c>
      <c r="M160" s="229">
        <v>2.5000000000000001E-3</v>
      </c>
      <c r="N160" s="231">
        <v>3301.7</v>
      </c>
      <c r="O160" s="231">
        <v>3274.9</v>
      </c>
      <c r="P160" s="228">
        <v>26.8</v>
      </c>
      <c r="Q160" s="229">
        <v>8.2000000000000007E-3</v>
      </c>
      <c r="R160" s="231">
        <v>3298.8</v>
      </c>
      <c r="S160" s="231">
        <v>3266</v>
      </c>
      <c r="T160" s="228">
        <v>32.799999999999997</v>
      </c>
      <c r="U160" s="229">
        <v>0.01</v>
      </c>
      <c r="V160" s="231">
        <v>3284.3</v>
      </c>
      <c r="W160" s="231">
        <v>3260.9</v>
      </c>
      <c r="X160" s="228">
        <v>23.4</v>
      </c>
      <c r="Y160" s="229">
        <v>7.1999999999999998E-3</v>
      </c>
      <c r="Z160" s="228">
        <v>17.899999999999999</v>
      </c>
      <c r="AA160" s="228">
        <v>-0.6</v>
      </c>
      <c r="AB160" s="228">
        <v>18.5</v>
      </c>
      <c r="AC160" s="229">
        <v>5.4999999999999997E-3</v>
      </c>
      <c r="AD160" s="228">
        <v>17.899999999999999</v>
      </c>
      <c r="AE160" s="228">
        <v>-0.6</v>
      </c>
      <c r="AF160" s="228">
        <v>18.5</v>
      </c>
      <c r="AG160" s="229">
        <v>5.4999999999999997E-3</v>
      </c>
      <c r="AH160" s="228">
        <v>15</v>
      </c>
      <c r="AI160" s="228">
        <v>-9.5</v>
      </c>
      <c r="AJ160" s="228">
        <v>24.5</v>
      </c>
      <c r="AK160" s="229">
        <v>4.5999999999999999E-3</v>
      </c>
      <c r="AL160" s="228">
        <v>0.5</v>
      </c>
      <c r="AM160" s="228">
        <v>-14.6</v>
      </c>
      <c r="AN160" s="228">
        <v>15.1</v>
      </c>
      <c r="AO160" s="229">
        <v>2.0000000000000001E-4</v>
      </c>
      <c r="AP160" s="231">
        <v>3293.65</v>
      </c>
      <c r="AQ160" s="231">
        <v>3285.69</v>
      </c>
      <c r="AR160" s="228">
        <v>0</v>
      </c>
      <c r="AS160" s="228">
        <v>114</v>
      </c>
      <c r="AT160" s="228">
        <v>93</v>
      </c>
      <c r="AU160" s="228">
        <v>21</v>
      </c>
      <c r="AV160" s="229">
        <v>0.22789999999999999</v>
      </c>
      <c r="AW160" s="228">
        <v>99</v>
      </c>
      <c r="AX160" s="228">
        <v>84</v>
      </c>
      <c r="AY160" s="228">
        <v>15</v>
      </c>
      <c r="AZ160" s="229">
        <v>0.18060000000000001</v>
      </c>
      <c r="BA160" s="228">
        <v>15</v>
      </c>
      <c r="BB160" s="228">
        <v>9</v>
      </c>
      <c r="BC160" s="228">
        <v>6</v>
      </c>
      <c r="BD160" s="229">
        <v>0.68420000000000003</v>
      </c>
      <c r="BE160" s="228">
        <v>0</v>
      </c>
      <c r="BF160" s="228">
        <v>0</v>
      </c>
      <c r="BG160" s="228">
        <v>0</v>
      </c>
      <c r="BH160" s="229">
        <v>0</v>
      </c>
      <c r="BI160" s="228">
        <v>375</v>
      </c>
      <c r="BJ160" s="228">
        <v>401</v>
      </c>
      <c r="BK160" s="228">
        <v>-27</v>
      </c>
      <c r="BL160" s="229">
        <v>-6.6799999999999998E-2</v>
      </c>
      <c r="BM160" s="228">
        <v>68</v>
      </c>
      <c r="BN160" s="228">
        <v>85</v>
      </c>
      <c r="BO160" s="228">
        <v>-17</v>
      </c>
      <c r="BP160" s="229">
        <v>-0.19689999999999999</v>
      </c>
      <c r="BQ160" s="228">
        <v>556</v>
      </c>
      <c r="BR160" s="228">
        <v>579</v>
      </c>
      <c r="BS160" s="228">
        <v>-22</v>
      </c>
      <c r="BT160" s="229">
        <v>-3.85E-2</v>
      </c>
      <c r="BU160" s="230">
        <v>151751</v>
      </c>
      <c r="BV160" s="230">
        <v>170542</v>
      </c>
      <c r="BW160" s="230">
        <v>-18791</v>
      </c>
      <c r="BX160" s="229">
        <v>-0.11020000000000001</v>
      </c>
      <c r="BY160" s="228">
        <v>780</v>
      </c>
      <c r="BZ160" s="228">
        <v>776</v>
      </c>
      <c r="CA160" s="228">
        <v>4</v>
      </c>
      <c r="CB160" s="229">
        <v>5.4000000000000003E-3</v>
      </c>
      <c r="CC160" s="228">
        <v>746</v>
      </c>
      <c r="CD160" s="228">
        <v>748</v>
      </c>
      <c r="CE160" s="228">
        <v>-2</v>
      </c>
      <c r="CF160" s="229">
        <v>-3.0999999999999999E-3</v>
      </c>
      <c r="CG160" s="228">
        <v>33</v>
      </c>
      <c r="CH160" s="228">
        <v>27</v>
      </c>
      <c r="CI160" s="228">
        <v>7</v>
      </c>
      <c r="CJ160" s="229">
        <v>0.2457</v>
      </c>
      <c r="CK160" s="228">
        <v>1</v>
      </c>
      <c r="CL160" s="228">
        <v>1</v>
      </c>
      <c r="CM160" s="228">
        <v>0</v>
      </c>
      <c r="CN160" s="229">
        <v>-9.0899999999999995E-2</v>
      </c>
      <c r="CO160" s="228">
        <v>194</v>
      </c>
      <c r="CP160" s="228">
        <v>201</v>
      </c>
      <c r="CQ160" s="228">
        <v>-7</v>
      </c>
      <c r="CR160" s="229">
        <v>-3.5400000000000001E-2</v>
      </c>
      <c r="CS160" s="228">
        <v>143</v>
      </c>
      <c r="CT160" s="228">
        <v>142</v>
      </c>
      <c r="CU160" s="228">
        <v>1</v>
      </c>
      <c r="CV160" s="229">
        <v>5.7000000000000002E-3</v>
      </c>
      <c r="CW160" s="230">
        <v>1116</v>
      </c>
      <c r="CX160" s="230">
        <v>1118</v>
      </c>
      <c r="CY160" s="228">
        <v>-2</v>
      </c>
      <c r="CZ160" s="229">
        <v>-1.9E-3</v>
      </c>
      <c r="DA160" s="228">
        <v>22.74</v>
      </c>
      <c r="DB160" s="228">
        <v>23.12</v>
      </c>
      <c r="DC160" s="228">
        <v>-0.38</v>
      </c>
      <c r="DD160" s="228">
        <v>-0.38</v>
      </c>
      <c r="DE160" s="228">
        <v>28.69</v>
      </c>
      <c r="DF160" s="228">
        <v>28.74</v>
      </c>
      <c r="DG160" s="228">
        <v>-5.95</v>
      </c>
      <c r="DH160" s="228">
        <v>-0.05</v>
      </c>
      <c r="DI160" s="228">
        <v>22.76</v>
      </c>
      <c r="DJ160" s="228">
        <v>22.98</v>
      </c>
      <c r="DK160" s="228">
        <v>-0.22</v>
      </c>
      <c r="DL160" s="228">
        <v>-0.22</v>
      </c>
      <c r="DM160" s="228">
        <v>22.64</v>
      </c>
      <c r="DN160" s="228">
        <v>23.78</v>
      </c>
      <c r="DO160" s="228">
        <v>-1.1399999999999999</v>
      </c>
      <c r="DP160" s="228">
        <v>-1.1399999999999999</v>
      </c>
      <c r="DQ160" s="228">
        <v>0.74</v>
      </c>
      <c r="DR160" s="228">
        <v>0.71</v>
      </c>
      <c r="DS160" s="228">
        <v>0.03</v>
      </c>
      <c r="DT160" s="229">
        <v>4.2299999999999997E-2</v>
      </c>
      <c r="DU160" s="231">
        <v>3300</v>
      </c>
      <c r="DV160" s="231">
        <v>3200</v>
      </c>
      <c r="DW160" s="228">
        <v>0.18</v>
      </c>
      <c r="DX160" s="228">
        <v>0.21</v>
      </c>
      <c r="DY160" s="228">
        <v>-0.03</v>
      </c>
      <c r="DZ160" s="229">
        <v>-0.1429</v>
      </c>
      <c r="EA160" s="229">
        <v>4.36E-2</v>
      </c>
      <c r="EB160" s="230">
        <v>83125</v>
      </c>
      <c r="EC160" s="229">
        <v>-8.9999999999999998E-4</v>
      </c>
      <c r="ED160" s="229">
        <v>4.36E-2</v>
      </c>
      <c r="EE160" s="228">
        <v>-7.96</v>
      </c>
      <c r="EF160" s="229">
        <v>-2.3999999999999998E-3</v>
      </c>
      <c r="EG160" s="230">
        <v>87205</v>
      </c>
      <c r="EH160" s="230">
        <v>106929</v>
      </c>
      <c r="EI160" s="229">
        <v>-0.1845</v>
      </c>
      <c r="EJ160" s="229">
        <v>0.57469999999999999</v>
      </c>
      <c r="EK160" s="228">
        <v>384.55</v>
      </c>
      <c r="EL160" s="228">
        <v>67.44</v>
      </c>
      <c r="EM160" s="228">
        <v>113.63</v>
      </c>
      <c r="EN160" s="228">
        <v>14.3</v>
      </c>
      <c r="EO160" s="228">
        <v>565.62</v>
      </c>
      <c r="EP160" s="228">
        <v>584.62</v>
      </c>
      <c r="EQ160" s="228">
        <v>-19</v>
      </c>
      <c r="ER160" s="229">
        <v>-3.2500000000000001E-2</v>
      </c>
      <c r="ES160" s="228">
        <v>197.2</v>
      </c>
      <c r="ET160" s="228">
        <v>140.37</v>
      </c>
      <c r="EU160" s="228">
        <v>779.82</v>
      </c>
      <c r="EV160" s="231">
        <v>10712372</v>
      </c>
      <c r="EW160" s="231">
        <v>1117.3900000000001</v>
      </c>
      <c r="EX160" s="231">
        <v>1112.25</v>
      </c>
      <c r="EY160" s="228">
        <v>5.14</v>
      </c>
      <c r="EZ160" s="229">
        <v>4.5999999999999999E-3</v>
      </c>
      <c r="FA160" s="229">
        <v>0.31559999999999999</v>
      </c>
      <c r="FB160" s="227" t="s">
        <v>555</v>
      </c>
      <c r="FC160">
        <f t="shared" si="3"/>
        <v>0</v>
      </c>
    </row>
    <row r="161" spans="1:159" ht="17.25" thickBot="1" x14ac:dyDescent="0.3">
      <c r="A161" s="226">
        <v>46029</v>
      </c>
      <c r="B161" s="227" t="s">
        <v>172</v>
      </c>
      <c r="C161" s="227" t="s">
        <v>275</v>
      </c>
      <c r="D161" s="228">
        <v>8000</v>
      </c>
      <c r="E161" s="228">
        <v>20</v>
      </c>
      <c r="F161" s="228">
        <v>126.03</v>
      </c>
      <c r="G161" s="228">
        <v>125.79</v>
      </c>
      <c r="H161" s="228">
        <v>0.24</v>
      </c>
      <c r="I161" s="229">
        <v>1.9E-3</v>
      </c>
      <c r="J161" s="228">
        <v>125.68</v>
      </c>
      <c r="K161" s="228">
        <v>125.47</v>
      </c>
      <c r="L161" s="228">
        <v>0.21</v>
      </c>
      <c r="M161" s="229">
        <v>1.6999999999999999E-3</v>
      </c>
      <c r="N161" s="228">
        <v>126.03</v>
      </c>
      <c r="O161" s="228">
        <v>125.79</v>
      </c>
      <c r="P161" s="228">
        <v>0.24</v>
      </c>
      <c r="Q161" s="229">
        <v>1.9E-3</v>
      </c>
      <c r="R161" s="228">
        <v>126.78</v>
      </c>
      <c r="S161" s="228">
        <v>126.56</v>
      </c>
      <c r="T161" s="228">
        <v>0.22</v>
      </c>
      <c r="U161" s="229">
        <v>1.6999999999999999E-3</v>
      </c>
      <c r="V161" s="228">
        <v>127.42</v>
      </c>
      <c r="W161" s="228">
        <v>127.3</v>
      </c>
      <c r="X161" s="228">
        <v>0.12</v>
      </c>
      <c r="Y161" s="229">
        <v>8.9999999999999998E-4</v>
      </c>
      <c r="Z161" s="228">
        <v>0.35</v>
      </c>
      <c r="AA161" s="228">
        <v>0.32</v>
      </c>
      <c r="AB161" s="228">
        <v>0.03</v>
      </c>
      <c r="AC161" s="229">
        <v>2.8E-3</v>
      </c>
      <c r="AD161" s="228">
        <v>0.35</v>
      </c>
      <c r="AE161" s="228">
        <v>0.32</v>
      </c>
      <c r="AF161" s="228">
        <v>0.03</v>
      </c>
      <c r="AG161" s="229">
        <v>2.8E-3</v>
      </c>
      <c r="AH161" s="228">
        <v>1.1000000000000001</v>
      </c>
      <c r="AI161" s="228">
        <v>1.0900000000000001</v>
      </c>
      <c r="AJ161" s="228">
        <v>0.01</v>
      </c>
      <c r="AK161" s="229">
        <v>8.8000000000000005E-3</v>
      </c>
      <c r="AL161" s="228">
        <v>1.74</v>
      </c>
      <c r="AM161" s="228">
        <v>1.83</v>
      </c>
      <c r="AN161" s="228">
        <v>-0.09</v>
      </c>
      <c r="AO161" s="229">
        <v>1.38E-2</v>
      </c>
      <c r="AP161" s="228">
        <v>126.29</v>
      </c>
      <c r="AQ161" s="228">
        <v>127.1</v>
      </c>
      <c r="AR161" s="228">
        <v>0</v>
      </c>
      <c r="AS161" s="228">
        <v>424</v>
      </c>
      <c r="AT161" s="228">
        <v>401</v>
      </c>
      <c r="AU161" s="228">
        <v>23</v>
      </c>
      <c r="AV161" s="229">
        <v>5.7299999999999997E-2</v>
      </c>
      <c r="AW161" s="228">
        <v>385</v>
      </c>
      <c r="AX161" s="228">
        <v>367</v>
      </c>
      <c r="AY161" s="228">
        <v>18</v>
      </c>
      <c r="AZ161" s="229">
        <v>4.9799999999999997E-2</v>
      </c>
      <c r="BA161" s="228">
        <v>33</v>
      </c>
      <c r="BB161" s="228">
        <v>31</v>
      </c>
      <c r="BC161" s="228">
        <v>2</v>
      </c>
      <c r="BD161" s="229">
        <v>6.1699999999999998E-2</v>
      </c>
      <c r="BE161" s="228">
        <v>6</v>
      </c>
      <c r="BF161" s="228">
        <v>3</v>
      </c>
      <c r="BG161" s="228">
        <v>3</v>
      </c>
      <c r="BH161" s="229">
        <v>0.82350000000000001</v>
      </c>
      <c r="BI161" s="228">
        <v>815</v>
      </c>
      <c r="BJ161" s="228">
        <v>679</v>
      </c>
      <c r="BK161" s="228">
        <v>136</v>
      </c>
      <c r="BL161" s="229">
        <v>0.2001</v>
      </c>
      <c r="BM161" s="228">
        <v>663</v>
      </c>
      <c r="BN161" s="228">
        <v>415</v>
      </c>
      <c r="BO161" s="228">
        <v>248</v>
      </c>
      <c r="BP161" s="229">
        <v>0.5968</v>
      </c>
      <c r="BQ161" s="230">
        <v>1902</v>
      </c>
      <c r="BR161" s="230">
        <v>1495</v>
      </c>
      <c r="BS161" s="228">
        <v>407</v>
      </c>
      <c r="BT161" s="229">
        <v>0.27189999999999998</v>
      </c>
      <c r="BU161" s="230">
        <v>11328644</v>
      </c>
      <c r="BV161" s="230">
        <v>11257971</v>
      </c>
      <c r="BW161" s="230">
        <v>70673</v>
      </c>
      <c r="BX161" s="229">
        <v>6.3E-3</v>
      </c>
      <c r="BY161" s="230">
        <v>3017</v>
      </c>
      <c r="BZ161" s="230">
        <v>3056</v>
      </c>
      <c r="CA161" s="228">
        <v>-40</v>
      </c>
      <c r="CB161" s="229">
        <v>-1.29E-2</v>
      </c>
      <c r="CC161" s="230">
        <v>2899</v>
      </c>
      <c r="CD161" s="230">
        <v>2950</v>
      </c>
      <c r="CE161" s="228">
        <v>-51</v>
      </c>
      <c r="CF161" s="229">
        <v>-1.72E-2</v>
      </c>
      <c r="CG161" s="228">
        <v>104</v>
      </c>
      <c r="CH161" s="228">
        <v>95</v>
      </c>
      <c r="CI161" s="228">
        <v>9</v>
      </c>
      <c r="CJ161" s="229">
        <v>9.5899999999999999E-2</v>
      </c>
      <c r="CK161" s="228">
        <v>14</v>
      </c>
      <c r="CL161" s="228">
        <v>12</v>
      </c>
      <c r="CM161" s="228">
        <v>2</v>
      </c>
      <c r="CN161" s="229">
        <v>0.18260000000000001</v>
      </c>
      <c r="CO161" s="228">
        <v>953</v>
      </c>
      <c r="CP161" s="228">
        <v>887</v>
      </c>
      <c r="CQ161" s="228">
        <v>66</v>
      </c>
      <c r="CR161" s="229">
        <v>7.4700000000000003E-2</v>
      </c>
      <c r="CS161" s="228">
        <v>915</v>
      </c>
      <c r="CT161" s="228">
        <v>843</v>
      </c>
      <c r="CU161" s="228">
        <v>73</v>
      </c>
      <c r="CV161" s="229">
        <v>8.6099999999999996E-2</v>
      </c>
      <c r="CW161" s="230">
        <v>4885</v>
      </c>
      <c r="CX161" s="230">
        <v>4786</v>
      </c>
      <c r="CY161" s="228">
        <v>99</v>
      </c>
      <c r="CZ161" s="229">
        <v>2.0799999999999999E-2</v>
      </c>
      <c r="DA161" s="228">
        <v>26.12</v>
      </c>
      <c r="DB161" s="228">
        <v>26.31</v>
      </c>
      <c r="DC161" s="228">
        <v>-0.19</v>
      </c>
      <c r="DD161" s="228">
        <v>-0.19</v>
      </c>
      <c r="DE161" s="228">
        <v>34.869999999999997</v>
      </c>
      <c r="DF161" s="228">
        <v>34.96</v>
      </c>
      <c r="DG161" s="228">
        <v>-8.75</v>
      </c>
      <c r="DH161" s="228">
        <v>-0.09</v>
      </c>
      <c r="DI161" s="228">
        <v>25.73</v>
      </c>
      <c r="DJ161" s="228">
        <v>25.89</v>
      </c>
      <c r="DK161" s="228">
        <v>-0.16</v>
      </c>
      <c r="DL161" s="228">
        <v>-0.16</v>
      </c>
      <c r="DM161" s="228">
        <v>26.6</v>
      </c>
      <c r="DN161" s="228">
        <v>27.01</v>
      </c>
      <c r="DO161" s="228">
        <v>-0.41</v>
      </c>
      <c r="DP161" s="228">
        <v>-0.41</v>
      </c>
      <c r="DQ161" s="228">
        <v>0.96</v>
      </c>
      <c r="DR161" s="228">
        <v>0.95</v>
      </c>
      <c r="DS161" s="228">
        <v>0.01</v>
      </c>
      <c r="DT161" s="229">
        <v>1.0500000000000001E-2</v>
      </c>
      <c r="DU161" s="228">
        <v>130</v>
      </c>
      <c r="DV161" s="228">
        <v>120</v>
      </c>
      <c r="DW161" s="228">
        <v>0.81</v>
      </c>
      <c r="DX161" s="228">
        <v>0.61</v>
      </c>
      <c r="DY161" s="228">
        <v>0.2</v>
      </c>
      <c r="DZ161" s="229">
        <v>0.32790000000000002</v>
      </c>
      <c r="EA161" s="229">
        <v>3.8899999999999997E-2</v>
      </c>
      <c r="EB161" s="230">
        <v>8424000</v>
      </c>
      <c r="EC161" s="229">
        <v>6.0000000000000001E-3</v>
      </c>
      <c r="ED161" s="229">
        <v>3.8899999999999997E-2</v>
      </c>
      <c r="EE161" s="228">
        <v>0.81</v>
      </c>
      <c r="EF161" s="229">
        <v>6.4000000000000003E-3</v>
      </c>
      <c r="EG161" s="230">
        <v>4977325</v>
      </c>
      <c r="EH161" s="230">
        <v>4575558</v>
      </c>
      <c r="EI161" s="229">
        <v>8.7800000000000003E-2</v>
      </c>
      <c r="EJ161" s="229">
        <v>0.43940000000000001</v>
      </c>
      <c r="EK161" s="228">
        <v>853.41</v>
      </c>
      <c r="EL161" s="228">
        <v>650.49</v>
      </c>
      <c r="EM161" s="228">
        <v>425.22</v>
      </c>
      <c r="EN161" s="228">
        <v>54.54</v>
      </c>
      <c r="EO161" s="231">
        <v>1929.12</v>
      </c>
      <c r="EP161" s="231">
        <v>1514.15</v>
      </c>
      <c r="EQ161" s="228">
        <v>414.97</v>
      </c>
      <c r="ER161" s="229">
        <v>0.27410000000000001</v>
      </c>
      <c r="ES161" s="228">
        <v>972.47</v>
      </c>
      <c r="ET161" s="228">
        <v>868.97</v>
      </c>
      <c r="EU161" s="231">
        <v>3017.42</v>
      </c>
      <c r="EV161" s="231">
        <v>515822637</v>
      </c>
      <c r="EW161" s="231">
        <v>4858.8599999999997</v>
      </c>
      <c r="EX161" s="231">
        <v>4752.63</v>
      </c>
      <c r="EY161" s="228">
        <v>106.23</v>
      </c>
      <c r="EZ161" s="229">
        <v>2.24E-2</v>
      </c>
      <c r="FA161" s="229">
        <v>0.75139999999999996</v>
      </c>
      <c r="FB161" s="227" t="s">
        <v>556</v>
      </c>
      <c r="FC161">
        <f t="shared" si="3"/>
        <v>0</v>
      </c>
    </row>
    <row r="162" spans="1:159" ht="17.25" thickBot="1" x14ac:dyDescent="0.3">
      <c r="A162" s="226">
        <v>46029</v>
      </c>
      <c r="B162" s="227" t="s">
        <v>175</v>
      </c>
      <c r="C162" s="227" t="s">
        <v>670</v>
      </c>
      <c r="D162" s="228">
        <v>650</v>
      </c>
      <c r="E162" s="228">
        <v>20</v>
      </c>
      <c r="F162" s="231">
        <v>1006.5</v>
      </c>
      <c r="G162" s="231">
        <v>1011</v>
      </c>
      <c r="H162" s="228">
        <v>-4.5</v>
      </c>
      <c r="I162" s="229">
        <v>-4.4999999999999997E-3</v>
      </c>
      <c r="J162" s="231">
        <v>1004.4</v>
      </c>
      <c r="K162" s="231">
        <v>1007.85</v>
      </c>
      <c r="L162" s="228">
        <v>-3.45</v>
      </c>
      <c r="M162" s="229">
        <v>-3.3999999999999998E-3</v>
      </c>
      <c r="N162" s="231">
        <v>1006.5</v>
      </c>
      <c r="O162" s="231">
        <v>1011</v>
      </c>
      <c r="P162" s="228">
        <v>-4.5</v>
      </c>
      <c r="Q162" s="229">
        <v>-4.4999999999999997E-3</v>
      </c>
      <c r="R162" s="231">
        <v>1012.55</v>
      </c>
      <c r="S162" s="231">
        <v>1018.15</v>
      </c>
      <c r="T162" s="228">
        <v>-5.6</v>
      </c>
      <c r="U162" s="229">
        <v>-5.4999999999999997E-3</v>
      </c>
      <c r="V162" s="231">
        <v>1018.55</v>
      </c>
      <c r="W162" s="231">
        <v>1022.1</v>
      </c>
      <c r="X162" s="228">
        <v>-3.55</v>
      </c>
      <c r="Y162" s="229">
        <v>-3.5000000000000001E-3</v>
      </c>
      <c r="Z162" s="228">
        <v>2.1</v>
      </c>
      <c r="AA162" s="228">
        <v>3.15</v>
      </c>
      <c r="AB162" s="228">
        <v>-1.05</v>
      </c>
      <c r="AC162" s="229">
        <v>2.0999999999999999E-3</v>
      </c>
      <c r="AD162" s="228">
        <v>2.1</v>
      </c>
      <c r="AE162" s="228">
        <v>3.15</v>
      </c>
      <c r="AF162" s="228">
        <v>-1.05</v>
      </c>
      <c r="AG162" s="229">
        <v>2.0999999999999999E-3</v>
      </c>
      <c r="AH162" s="228">
        <v>8.15</v>
      </c>
      <c r="AI162" s="228">
        <v>10.3</v>
      </c>
      <c r="AJ162" s="228">
        <v>-2.15</v>
      </c>
      <c r="AK162" s="229">
        <v>8.0999999999999996E-3</v>
      </c>
      <c r="AL162" s="228">
        <v>14.15</v>
      </c>
      <c r="AM162" s="228">
        <v>14.25</v>
      </c>
      <c r="AN162" s="228">
        <v>-0.1</v>
      </c>
      <c r="AO162" s="229">
        <v>1.41E-2</v>
      </c>
      <c r="AP162" s="231">
        <v>1000.46</v>
      </c>
      <c r="AQ162" s="231">
        <v>1005.39</v>
      </c>
      <c r="AR162" s="228">
        <v>0</v>
      </c>
      <c r="AS162" s="228">
        <v>268</v>
      </c>
      <c r="AT162" s="228">
        <v>184</v>
      </c>
      <c r="AU162" s="228">
        <v>84</v>
      </c>
      <c r="AV162" s="229">
        <v>0.45529999999999998</v>
      </c>
      <c r="AW162" s="228">
        <v>261</v>
      </c>
      <c r="AX162" s="228">
        <v>180</v>
      </c>
      <c r="AY162" s="228">
        <v>81</v>
      </c>
      <c r="AZ162" s="229">
        <v>0.45090000000000002</v>
      </c>
      <c r="BA162" s="228">
        <v>7</v>
      </c>
      <c r="BB162" s="228">
        <v>4</v>
      </c>
      <c r="BC162" s="228">
        <v>3</v>
      </c>
      <c r="BD162" s="229">
        <v>0.74580000000000002</v>
      </c>
      <c r="BE162" s="228">
        <v>1</v>
      </c>
      <c r="BF162" s="228">
        <v>1</v>
      </c>
      <c r="BG162" s="228">
        <v>0</v>
      </c>
      <c r="BH162" s="229">
        <v>-0.1111</v>
      </c>
      <c r="BI162" s="228">
        <v>211</v>
      </c>
      <c r="BJ162" s="228">
        <v>128</v>
      </c>
      <c r="BK162" s="228">
        <v>83</v>
      </c>
      <c r="BL162" s="229">
        <v>0.65110000000000001</v>
      </c>
      <c r="BM162" s="228">
        <v>134</v>
      </c>
      <c r="BN162" s="228">
        <v>51</v>
      </c>
      <c r="BO162" s="228">
        <v>83</v>
      </c>
      <c r="BP162" s="229">
        <v>1.6122000000000001</v>
      </c>
      <c r="BQ162" s="228">
        <v>613</v>
      </c>
      <c r="BR162" s="228">
        <v>363</v>
      </c>
      <c r="BS162" s="228">
        <v>250</v>
      </c>
      <c r="BT162" s="229">
        <v>0.68740000000000001</v>
      </c>
      <c r="BU162" s="230">
        <v>1403438</v>
      </c>
      <c r="BV162" s="230">
        <v>1029531</v>
      </c>
      <c r="BW162" s="230">
        <v>373907</v>
      </c>
      <c r="BX162" s="229">
        <v>0.36320000000000002</v>
      </c>
      <c r="BY162" s="230">
        <v>1471</v>
      </c>
      <c r="BZ162" s="230">
        <v>1503</v>
      </c>
      <c r="CA162" s="228">
        <v>-33</v>
      </c>
      <c r="CB162" s="229">
        <v>-2.18E-2</v>
      </c>
      <c r="CC162" s="230">
        <v>1458</v>
      </c>
      <c r="CD162" s="230">
        <v>1491</v>
      </c>
      <c r="CE162" s="228">
        <v>-32</v>
      </c>
      <c r="CF162" s="229">
        <v>-2.18E-2</v>
      </c>
      <c r="CG162" s="228">
        <v>10</v>
      </c>
      <c r="CH162" s="228">
        <v>10</v>
      </c>
      <c r="CI162" s="228">
        <v>-1</v>
      </c>
      <c r="CJ162" s="229">
        <v>-6.2899999999999998E-2</v>
      </c>
      <c r="CK162" s="228">
        <v>2</v>
      </c>
      <c r="CL162" s="228">
        <v>2</v>
      </c>
      <c r="CM162" s="228">
        <v>0</v>
      </c>
      <c r="CN162" s="229">
        <v>0.125</v>
      </c>
      <c r="CO162" s="228">
        <v>302</v>
      </c>
      <c r="CP162" s="228">
        <v>265</v>
      </c>
      <c r="CQ162" s="228">
        <v>37</v>
      </c>
      <c r="CR162" s="229">
        <v>0.1376</v>
      </c>
      <c r="CS162" s="228">
        <v>208</v>
      </c>
      <c r="CT162" s="228">
        <v>208</v>
      </c>
      <c r="CU162" s="228">
        <v>0</v>
      </c>
      <c r="CV162" s="229">
        <v>-1.6000000000000001E-3</v>
      </c>
      <c r="CW162" s="230">
        <v>1980</v>
      </c>
      <c r="CX162" s="230">
        <v>1977</v>
      </c>
      <c r="CY162" s="228">
        <v>3</v>
      </c>
      <c r="CZ162" s="229">
        <v>1.6999999999999999E-3</v>
      </c>
      <c r="DA162" s="228">
        <v>27.6</v>
      </c>
      <c r="DB162" s="228">
        <v>28.81</v>
      </c>
      <c r="DC162" s="228">
        <v>-1.21</v>
      </c>
      <c r="DD162" s="228">
        <v>-1.21</v>
      </c>
      <c r="DE162" s="228">
        <v>45.7</v>
      </c>
      <c r="DF162" s="228">
        <v>45.81</v>
      </c>
      <c r="DG162" s="228">
        <v>-18.100000000000001</v>
      </c>
      <c r="DH162" s="228">
        <v>-0.11</v>
      </c>
      <c r="DI162" s="228">
        <v>27.24</v>
      </c>
      <c r="DJ162" s="228">
        <v>28.59</v>
      </c>
      <c r="DK162" s="228">
        <v>-1.35</v>
      </c>
      <c r="DL162" s="228">
        <v>-1.35</v>
      </c>
      <c r="DM162" s="228">
        <v>28.18</v>
      </c>
      <c r="DN162" s="228">
        <v>29.37</v>
      </c>
      <c r="DO162" s="228">
        <v>-1.19</v>
      </c>
      <c r="DP162" s="228">
        <v>-1.19</v>
      </c>
      <c r="DQ162" s="228">
        <v>0.69</v>
      </c>
      <c r="DR162" s="228">
        <v>0.78</v>
      </c>
      <c r="DS162" s="228">
        <v>-0.09</v>
      </c>
      <c r="DT162" s="229">
        <v>-0.1154</v>
      </c>
      <c r="DU162" s="231">
        <v>1050</v>
      </c>
      <c r="DV162" s="228">
        <v>950</v>
      </c>
      <c r="DW162" s="228">
        <v>0.64</v>
      </c>
      <c r="DX162" s="228">
        <v>0.4</v>
      </c>
      <c r="DY162" s="228">
        <v>0.24</v>
      </c>
      <c r="DZ162" s="229">
        <v>0.6</v>
      </c>
      <c r="EA162" s="229">
        <v>8.2000000000000007E-3</v>
      </c>
      <c r="EB162" s="230">
        <v>124150</v>
      </c>
      <c r="EC162" s="229">
        <v>6.0000000000000001E-3</v>
      </c>
      <c r="ED162" s="229">
        <v>8.2000000000000007E-3</v>
      </c>
      <c r="EE162" s="228">
        <v>4.93</v>
      </c>
      <c r="EF162" s="229">
        <v>4.8999999999999998E-3</v>
      </c>
      <c r="EG162" s="230">
        <v>768426</v>
      </c>
      <c r="EH162" s="230">
        <v>549876</v>
      </c>
      <c r="EI162" s="229">
        <v>0.39750000000000002</v>
      </c>
      <c r="EJ162" s="229">
        <v>0.54749999999999999</v>
      </c>
      <c r="EK162" s="228">
        <v>221.36</v>
      </c>
      <c r="EL162" s="228">
        <v>131.63999999999999</v>
      </c>
      <c r="EM162" s="228">
        <v>266.92</v>
      </c>
      <c r="EN162" s="228">
        <v>36.159999999999997</v>
      </c>
      <c r="EO162" s="228">
        <v>619.92999999999995</v>
      </c>
      <c r="EP162" s="228">
        <v>366.49</v>
      </c>
      <c r="EQ162" s="228">
        <v>253.44</v>
      </c>
      <c r="ER162" s="229">
        <v>0.6915</v>
      </c>
      <c r="ES162" s="228">
        <v>305.33999999999997</v>
      </c>
      <c r="ET162" s="228">
        <v>194.85</v>
      </c>
      <c r="EU162" s="231">
        <v>1470.65</v>
      </c>
      <c r="EV162" s="231">
        <v>28118603</v>
      </c>
      <c r="EW162" s="231">
        <v>1970.85</v>
      </c>
      <c r="EX162" s="231">
        <v>1971.26</v>
      </c>
      <c r="EY162" s="228">
        <v>-0.41</v>
      </c>
      <c r="EZ162" s="229">
        <v>-2.0000000000000001E-4</v>
      </c>
      <c r="FA162" s="229">
        <v>0.69969999999999999</v>
      </c>
      <c r="FB162" s="227" t="s">
        <v>568</v>
      </c>
      <c r="FC162">
        <f t="shared" si="3"/>
        <v>0</v>
      </c>
    </row>
    <row r="163" spans="1:159" ht="17.25" thickBot="1" x14ac:dyDescent="0.3">
      <c r="A163" s="226">
        <v>46029</v>
      </c>
      <c r="B163" s="227" t="s">
        <v>615</v>
      </c>
      <c r="C163" s="227" t="s">
        <v>573</v>
      </c>
      <c r="D163" s="228">
        <v>350</v>
      </c>
      <c r="E163" s="228">
        <v>20</v>
      </c>
      <c r="F163" s="231">
        <v>1726.4</v>
      </c>
      <c r="G163" s="231">
        <v>1748.8</v>
      </c>
      <c r="H163" s="228">
        <v>-22.4</v>
      </c>
      <c r="I163" s="229">
        <v>-1.2800000000000001E-2</v>
      </c>
      <c r="J163" s="231">
        <v>1719.5</v>
      </c>
      <c r="K163" s="231">
        <v>1743.8</v>
      </c>
      <c r="L163" s="228">
        <v>-24.3</v>
      </c>
      <c r="M163" s="229">
        <v>-1.3899999999999999E-2</v>
      </c>
      <c r="N163" s="231">
        <v>1726.4</v>
      </c>
      <c r="O163" s="231">
        <v>1748.8</v>
      </c>
      <c r="P163" s="228">
        <v>-22.4</v>
      </c>
      <c r="Q163" s="229">
        <v>-1.2800000000000001E-2</v>
      </c>
      <c r="R163" s="231">
        <v>1736.7</v>
      </c>
      <c r="S163" s="231">
        <v>1759.4</v>
      </c>
      <c r="T163" s="228">
        <v>-22.7</v>
      </c>
      <c r="U163" s="229">
        <v>-1.29E-2</v>
      </c>
      <c r="V163" s="231">
        <v>1747.1</v>
      </c>
      <c r="W163" s="231">
        <v>1769</v>
      </c>
      <c r="X163" s="228">
        <v>-21.9</v>
      </c>
      <c r="Y163" s="229">
        <v>-1.24E-2</v>
      </c>
      <c r="Z163" s="228">
        <v>6.9</v>
      </c>
      <c r="AA163" s="228">
        <v>5</v>
      </c>
      <c r="AB163" s="228">
        <v>1.9</v>
      </c>
      <c r="AC163" s="229">
        <v>4.0000000000000001E-3</v>
      </c>
      <c r="AD163" s="228">
        <v>6.9</v>
      </c>
      <c r="AE163" s="228">
        <v>5</v>
      </c>
      <c r="AF163" s="228">
        <v>1.9</v>
      </c>
      <c r="AG163" s="229">
        <v>4.0000000000000001E-3</v>
      </c>
      <c r="AH163" s="228">
        <v>17.2</v>
      </c>
      <c r="AI163" s="228">
        <v>15.6</v>
      </c>
      <c r="AJ163" s="228">
        <v>1.6</v>
      </c>
      <c r="AK163" s="229">
        <v>0.01</v>
      </c>
      <c r="AL163" s="228">
        <v>27.6</v>
      </c>
      <c r="AM163" s="228">
        <v>25.2</v>
      </c>
      <c r="AN163" s="228">
        <v>2.4</v>
      </c>
      <c r="AO163" s="229">
        <v>1.61E-2</v>
      </c>
      <c r="AP163" s="231">
        <v>1731.59</v>
      </c>
      <c r="AQ163" s="231">
        <v>1739.96</v>
      </c>
      <c r="AR163" s="228">
        <v>0</v>
      </c>
      <c r="AS163" s="228">
        <v>228</v>
      </c>
      <c r="AT163" s="228">
        <v>263</v>
      </c>
      <c r="AU163" s="228">
        <v>-35</v>
      </c>
      <c r="AV163" s="229">
        <v>-0.13339999999999999</v>
      </c>
      <c r="AW163" s="228">
        <v>217</v>
      </c>
      <c r="AX163" s="228">
        <v>256</v>
      </c>
      <c r="AY163" s="228">
        <v>-38</v>
      </c>
      <c r="AZ163" s="229">
        <v>-0.1502</v>
      </c>
      <c r="BA163" s="228">
        <v>9</v>
      </c>
      <c r="BB163" s="228">
        <v>6</v>
      </c>
      <c r="BC163" s="228">
        <v>2</v>
      </c>
      <c r="BD163" s="229">
        <v>0.3679</v>
      </c>
      <c r="BE163" s="228">
        <v>2</v>
      </c>
      <c r="BF163" s="228">
        <v>1</v>
      </c>
      <c r="BG163" s="228">
        <v>1</v>
      </c>
      <c r="BH163" s="229">
        <v>1.3332999999999999</v>
      </c>
      <c r="BI163" s="228">
        <v>410</v>
      </c>
      <c r="BJ163" s="228">
        <v>427</v>
      </c>
      <c r="BK163" s="228">
        <v>-17</v>
      </c>
      <c r="BL163" s="229">
        <v>-3.9300000000000002E-2</v>
      </c>
      <c r="BM163" s="228">
        <v>264</v>
      </c>
      <c r="BN163" s="228">
        <v>180</v>
      </c>
      <c r="BO163" s="228">
        <v>85</v>
      </c>
      <c r="BP163" s="229">
        <v>0.47089999999999999</v>
      </c>
      <c r="BQ163" s="228">
        <v>902</v>
      </c>
      <c r="BR163" s="228">
        <v>869</v>
      </c>
      <c r="BS163" s="228">
        <v>33</v>
      </c>
      <c r="BT163" s="229">
        <v>3.7699999999999997E-2</v>
      </c>
      <c r="BU163" s="230">
        <v>1012184</v>
      </c>
      <c r="BV163" s="230">
        <v>1739525</v>
      </c>
      <c r="BW163" s="230">
        <v>-727341</v>
      </c>
      <c r="BX163" s="229">
        <v>-0.41810000000000003</v>
      </c>
      <c r="BY163" s="230">
        <v>1163</v>
      </c>
      <c r="BZ163" s="230">
        <v>1155</v>
      </c>
      <c r="CA163" s="228">
        <v>8</v>
      </c>
      <c r="CB163" s="229">
        <v>7.1000000000000004E-3</v>
      </c>
      <c r="CC163" s="230">
        <v>1149</v>
      </c>
      <c r="CD163" s="230">
        <v>1144</v>
      </c>
      <c r="CE163" s="228">
        <v>5</v>
      </c>
      <c r="CF163" s="229">
        <v>4.1999999999999997E-3</v>
      </c>
      <c r="CG163" s="228">
        <v>11</v>
      </c>
      <c r="CH163" s="228">
        <v>9</v>
      </c>
      <c r="CI163" s="228">
        <v>2</v>
      </c>
      <c r="CJ163" s="229">
        <v>0.24660000000000001</v>
      </c>
      <c r="CK163" s="228">
        <v>3</v>
      </c>
      <c r="CL163" s="228">
        <v>2</v>
      </c>
      <c r="CM163" s="228">
        <v>1</v>
      </c>
      <c r="CN163" s="229">
        <v>0.625</v>
      </c>
      <c r="CO163" s="228">
        <v>375</v>
      </c>
      <c r="CP163" s="228">
        <v>311</v>
      </c>
      <c r="CQ163" s="228">
        <v>64</v>
      </c>
      <c r="CR163" s="229">
        <v>0.2054</v>
      </c>
      <c r="CS163" s="228">
        <v>215</v>
      </c>
      <c r="CT163" s="228">
        <v>193</v>
      </c>
      <c r="CU163" s="228">
        <v>22</v>
      </c>
      <c r="CV163" s="229">
        <v>0.1132</v>
      </c>
      <c r="CW163" s="230">
        <v>1754</v>
      </c>
      <c r="CX163" s="230">
        <v>1660</v>
      </c>
      <c r="CY163" s="228">
        <v>94</v>
      </c>
      <c r="CZ163" s="229">
        <v>5.6599999999999998E-2</v>
      </c>
      <c r="DA163" s="228">
        <v>32.03</v>
      </c>
      <c r="DB163" s="228">
        <v>31.76</v>
      </c>
      <c r="DC163" s="228">
        <v>0.27</v>
      </c>
      <c r="DD163" s="228">
        <v>0.27</v>
      </c>
      <c r="DE163" s="228">
        <v>46.1</v>
      </c>
      <c r="DF163" s="228">
        <v>46.18</v>
      </c>
      <c r="DG163" s="228">
        <v>-14.07</v>
      </c>
      <c r="DH163" s="228">
        <v>-0.08</v>
      </c>
      <c r="DI163" s="228">
        <v>31.99</v>
      </c>
      <c r="DJ163" s="228">
        <v>31.84</v>
      </c>
      <c r="DK163" s="228">
        <v>0.15</v>
      </c>
      <c r="DL163" s="228">
        <v>0.15</v>
      </c>
      <c r="DM163" s="228">
        <v>32.1</v>
      </c>
      <c r="DN163" s="228">
        <v>31.57</v>
      </c>
      <c r="DO163" s="228">
        <v>0.53</v>
      </c>
      <c r="DP163" s="228">
        <v>0.53</v>
      </c>
      <c r="DQ163" s="228">
        <v>0.56999999999999995</v>
      </c>
      <c r="DR163" s="228">
        <v>0.62</v>
      </c>
      <c r="DS163" s="228">
        <v>-0.05</v>
      </c>
      <c r="DT163" s="229">
        <v>-8.0600000000000005E-2</v>
      </c>
      <c r="DU163" s="231">
        <v>1900</v>
      </c>
      <c r="DV163" s="231">
        <v>1740</v>
      </c>
      <c r="DW163" s="228">
        <v>0.64</v>
      </c>
      <c r="DX163" s="228">
        <v>0.42</v>
      </c>
      <c r="DY163" s="228">
        <v>0.22</v>
      </c>
      <c r="DZ163" s="229">
        <v>0.52380000000000004</v>
      </c>
      <c r="EA163" s="229">
        <v>1.2200000000000001E-2</v>
      </c>
      <c r="EB163" s="230">
        <v>62300</v>
      </c>
      <c r="EC163" s="229">
        <v>6.0000000000000001E-3</v>
      </c>
      <c r="ED163" s="229">
        <v>1.2200000000000001E-2</v>
      </c>
      <c r="EE163" s="228">
        <v>8.3699999999999992</v>
      </c>
      <c r="EF163" s="229">
        <v>4.7999999999999996E-3</v>
      </c>
      <c r="EG163" s="230">
        <v>544552</v>
      </c>
      <c r="EH163" s="230">
        <v>1074008</v>
      </c>
      <c r="EI163" s="229">
        <v>-0.49299999999999999</v>
      </c>
      <c r="EJ163" s="229">
        <v>0.53800000000000003</v>
      </c>
      <c r="EK163" s="228">
        <v>436.2</v>
      </c>
      <c r="EL163" s="228">
        <v>267.35000000000002</v>
      </c>
      <c r="EM163" s="228">
        <v>228.38</v>
      </c>
      <c r="EN163" s="228">
        <v>42.82</v>
      </c>
      <c r="EO163" s="228">
        <v>931.92</v>
      </c>
      <c r="EP163" s="228">
        <v>911.84</v>
      </c>
      <c r="EQ163" s="228">
        <v>20.079999999999998</v>
      </c>
      <c r="ER163" s="229">
        <v>2.1999999999999999E-2</v>
      </c>
      <c r="ES163" s="228">
        <v>408.62</v>
      </c>
      <c r="ET163" s="228">
        <v>216.11</v>
      </c>
      <c r="EU163" s="231">
        <v>1163.33</v>
      </c>
      <c r="EV163" s="231">
        <v>60642005</v>
      </c>
      <c r="EW163" s="231">
        <v>1788.06</v>
      </c>
      <c r="EX163" s="231">
        <v>1707.23</v>
      </c>
      <c r="EY163" s="228">
        <v>80.83</v>
      </c>
      <c r="EZ163" s="229">
        <v>4.7300000000000002E-2</v>
      </c>
      <c r="FA163" s="229">
        <v>0.16750000000000001</v>
      </c>
      <c r="FB163" s="227" t="s">
        <v>567</v>
      </c>
      <c r="FC163">
        <f t="shared" si="3"/>
        <v>0</v>
      </c>
    </row>
    <row r="164" spans="1:159" ht="17.25" thickBot="1" x14ac:dyDescent="0.3">
      <c r="A164" s="226">
        <v>46029</v>
      </c>
      <c r="B164" s="227" t="s">
        <v>184</v>
      </c>
      <c r="C164" s="227" t="s">
        <v>519</v>
      </c>
      <c r="D164" s="228">
        <v>125</v>
      </c>
      <c r="E164" s="228">
        <v>20</v>
      </c>
      <c r="F164" s="231">
        <v>7936.5</v>
      </c>
      <c r="G164" s="231">
        <v>7836</v>
      </c>
      <c r="H164" s="228">
        <v>100.5</v>
      </c>
      <c r="I164" s="229">
        <v>1.2800000000000001E-2</v>
      </c>
      <c r="J164" s="231">
        <v>7897</v>
      </c>
      <c r="K164" s="231">
        <v>7795.5</v>
      </c>
      <c r="L164" s="228">
        <v>101.5</v>
      </c>
      <c r="M164" s="229">
        <v>1.2999999999999999E-2</v>
      </c>
      <c r="N164" s="231">
        <v>7936.5</v>
      </c>
      <c r="O164" s="231">
        <v>7836</v>
      </c>
      <c r="P164" s="228">
        <v>100.5</v>
      </c>
      <c r="Q164" s="229">
        <v>1.2800000000000001E-2</v>
      </c>
      <c r="R164" s="231">
        <v>7975.5</v>
      </c>
      <c r="S164" s="231">
        <v>7882.5</v>
      </c>
      <c r="T164" s="228">
        <v>93</v>
      </c>
      <c r="U164" s="229">
        <v>1.18E-2</v>
      </c>
      <c r="V164" s="231">
        <v>8034.5</v>
      </c>
      <c r="W164" s="231">
        <v>7911</v>
      </c>
      <c r="X164" s="228">
        <v>123.5</v>
      </c>
      <c r="Y164" s="229">
        <v>1.5599999999999999E-2</v>
      </c>
      <c r="Z164" s="228">
        <v>39.5</v>
      </c>
      <c r="AA164" s="228">
        <v>40.5</v>
      </c>
      <c r="AB164" s="228">
        <v>-1</v>
      </c>
      <c r="AC164" s="229">
        <v>5.0000000000000001E-3</v>
      </c>
      <c r="AD164" s="228">
        <v>39.5</v>
      </c>
      <c r="AE164" s="228">
        <v>40.5</v>
      </c>
      <c r="AF164" s="228">
        <v>-1</v>
      </c>
      <c r="AG164" s="229">
        <v>5.0000000000000001E-3</v>
      </c>
      <c r="AH164" s="228">
        <v>78.5</v>
      </c>
      <c r="AI164" s="228">
        <v>87</v>
      </c>
      <c r="AJ164" s="228">
        <v>-8.5</v>
      </c>
      <c r="AK164" s="229">
        <v>9.9000000000000008E-3</v>
      </c>
      <c r="AL164" s="228">
        <v>137.5</v>
      </c>
      <c r="AM164" s="228">
        <v>115.5</v>
      </c>
      <c r="AN164" s="228">
        <v>22</v>
      </c>
      <c r="AO164" s="229">
        <v>1.7399999999999999E-2</v>
      </c>
      <c r="AP164" s="231">
        <v>7926.76</v>
      </c>
      <c r="AQ164" s="231">
        <v>7973.71</v>
      </c>
      <c r="AR164" s="228">
        <v>0</v>
      </c>
      <c r="AS164" s="228">
        <v>669</v>
      </c>
      <c r="AT164" s="228">
        <v>524</v>
      </c>
      <c r="AU164" s="228">
        <v>145</v>
      </c>
      <c r="AV164" s="229">
        <v>0.27760000000000001</v>
      </c>
      <c r="AW164" s="228">
        <v>644</v>
      </c>
      <c r="AX164" s="228">
        <v>507</v>
      </c>
      <c r="AY164" s="228">
        <v>137</v>
      </c>
      <c r="AZ164" s="229">
        <v>0.27029999999999998</v>
      </c>
      <c r="BA164" s="228">
        <v>20</v>
      </c>
      <c r="BB164" s="228">
        <v>15</v>
      </c>
      <c r="BC164" s="228">
        <v>5</v>
      </c>
      <c r="BD164" s="229">
        <v>0.30130000000000001</v>
      </c>
      <c r="BE164" s="228">
        <v>5</v>
      </c>
      <c r="BF164" s="228">
        <v>1</v>
      </c>
      <c r="BG164" s="228">
        <v>4</v>
      </c>
      <c r="BH164" s="229">
        <v>3.0832999999999999</v>
      </c>
      <c r="BI164" s="230">
        <v>2189</v>
      </c>
      <c r="BJ164" s="230">
        <v>1017</v>
      </c>
      <c r="BK164" s="230">
        <v>1172</v>
      </c>
      <c r="BL164" s="229">
        <v>1.1527000000000001</v>
      </c>
      <c r="BM164" s="228">
        <v>742</v>
      </c>
      <c r="BN164" s="228">
        <v>469</v>
      </c>
      <c r="BO164" s="228">
        <v>273</v>
      </c>
      <c r="BP164" s="229">
        <v>0.58289999999999997</v>
      </c>
      <c r="BQ164" s="230">
        <v>3601</v>
      </c>
      <c r="BR164" s="230">
        <v>2010</v>
      </c>
      <c r="BS164" s="230">
        <v>1591</v>
      </c>
      <c r="BT164" s="229">
        <v>0.79159999999999997</v>
      </c>
      <c r="BU164" s="230">
        <v>379651</v>
      </c>
      <c r="BV164" s="230">
        <v>372943</v>
      </c>
      <c r="BW164" s="230">
        <v>6708</v>
      </c>
      <c r="BX164" s="229">
        <v>1.7999999999999999E-2</v>
      </c>
      <c r="BY164" s="230">
        <v>2624</v>
      </c>
      <c r="BZ164" s="230">
        <v>2536</v>
      </c>
      <c r="CA164" s="228">
        <v>88</v>
      </c>
      <c r="CB164" s="229">
        <v>3.4599999999999999E-2</v>
      </c>
      <c r="CC164" s="230">
        <v>2584</v>
      </c>
      <c r="CD164" s="230">
        <v>2502</v>
      </c>
      <c r="CE164" s="228">
        <v>82</v>
      </c>
      <c r="CF164" s="229">
        <v>3.2899999999999999E-2</v>
      </c>
      <c r="CG164" s="228">
        <v>36</v>
      </c>
      <c r="CH164" s="228">
        <v>30</v>
      </c>
      <c r="CI164" s="228">
        <v>6</v>
      </c>
      <c r="CJ164" s="229">
        <v>0.1895</v>
      </c>
      <c r="CK164" s="228">
        <v>3</v>
      </c>
      <c r="CL164" s="228">
        <v>4</v>
      </c>
      <c r="CM164" s="228">
        <v>0</v>
      </c>
      <c r="CN164" s="229">
        <v>-8.3299999999999999E-2</v>
      </c>
      <c r="CO164" s="228">
        <v>559</v>
      </c>
      <c r="CP164" s="228">
        <v>385</v>
      </c>
      <c r="CQ164" s="228">
        <v>174</v>
      </c>
      <c r="CR164" s="229">
        <v>0.45069999999999999</v>
      </c>
      <c r="CS164" s="228">
        <v>380</v>
      </c>
      <c r="CT164" s="228">
        <v>337</v>
      </c>
      <c r="CU164" s="228">
        <v>43</v>
      </c>
      <c r="CV164" s="229">
        <v>0.1283</v>
      </c>
      <c r="CW164" s="230">
        <v>3563</v>
      </c>
      <c r="CX164" s="230">
        <v>3259</v>
      </c>
      <c r="CY164" s="228">
        <v>305</v>
      </c>
      <c r="CZ164" s="229">
        <v>9.35E-2</v>
      </c>
      <c r="DA164" s="228">
        <v>31.44</v>
      </c>
      <c r="DB164" s="228">
        <v>29.33</v>
      </c>
      <c r="DC164" s="228">
        <v>2.11</v>
      </c>
      <c r="DD164" s="228">
        <v>2.11</v>
      </c>
      <c r="DE164" s="228">
        <v>38.29</v>
      </c>
      <c r="DF164" s="228">
        <v>38.340000000000003</v>
      </c>
      <c r="DG164" s="228">
        <v>-6.85</v>
      </c>
      <c r="DH164" s="228">
        <v>-0.05</v>
      </c>
      <c r="DI164" s="228">
        <v>31.38</v>
      </c>
      <c r="DJ164" s="228">
        <v>29.19</v>
      </c>
      <c r="DK164" s="228">
        <v>2.19</v>
      </c>
      <c r="DL164" s="228">
        <v>2.19</v>
      </c>
      <c r="DM164" s="228">
        <v>31.61</v>
      </c>
      <c r="DN164" s="228">
        <v>29.62</v>
      </c>
      <c r="DO164" s="228">
        <v>1.99</v>
      </c>
      <c r="DP164" s="228">
        <v>1.99</v>
      </c>
      <c r="DQ164" s="228">
        <v>0.68</v>
      </c>
      <c r="DR164" s="228">
        <v>0.87</v>
      </c>
      <c r="DS164" s="228">
        <v>-0.19</v>
      </c>
      <c r="DT164" s="229">
        <v>-0.21840000000000001</v>
      </c>
      <c r="DU164" s="231">
        <v>8100</v>
      </c>
      <c r="DV164" s="231">
        <v>7000</v>
      </c>
      <c r="DW164" s="228">
        <v>0.34</v>
      </c>
      <c r="DX164" s="228">
        <v>0.46</v>
      </c>
      <c r="DY164" s="228">
        <v>-0.12</v>
      </c>
      <c r="DZ164" s="229">
        <v>-0.26090000000000002</v>
      </c>
      <c r="EA164" s="229">
        <v>1.4999999999999999E-2</v>
      </c>
      <c r="EB164" s="230">
        <v>42750</v>
      </c>
      <c r="EC164" s="229">
        <v>4.8999999999999998E-3</v>
      </c>
      <c r="ED164" s="229">
        <v>1.4999999999999999E-2</v>
      </c>
      <c r="EE164" s="228">
        <v>46.95</v>
      </c>
      <c r="EF164" s="229">
        <v>5.8999999999999999E-3</v>
      </c>
      <c r="EG164" s="230">
        <v>213886</v>
      </c>
      <c r="EH164" s="230">
        <v>218846</v>
      </c>
      <c r="EI164" s="229">
        <v>-2.2700000000000001E-2</v>
      </c>
      <c r="EJ164" s="229">
        <v>0.56340000000000001</v>
      </c>
      <c r="EK164" s="231">
        <v>2285.71</v>
      </c>
      <c r="EL164" s="228">
        <v>721.85</v>
      </c>
      <c r="EM164" s="228">
        <v>668.69</v>
      </c>
      <c r="EN164" s="228">
        <v>41.93</v>
      </c>
      <c r="EO164" s="231">
        <v>3676.25</v>
      </c>
      <c r="EP164" s="231">
        <v>2017.88</v>
      </c>
      <c r="EQ164" s="231">
        <v>1658.37</v>
      </c>
      <c r="ER164" s="229">
        <v>0.82179999999999997</v>
      </c>
      <c r="ES164" s="228">
        <v>568.02</v>
      </c>
      <c r="ET164" s="228">
        <v>356.16</v>
      </c>
      <c r="EU164" s="231">
        <v>2623.93</v>
      </c>
      <c r="EV164" s="231">
        <v>8688405</v>
      </c>
      <c r="EW164" s="231">
        <v>3548.11</v>
      </c>
      <c r="EX164" s="231">
        <v>3205.92</v>
      </c>
      <c r="EY164" s="228">
        <v>342.19</v>
      </c>
      <c r="EZ164" s="229">
        <v>0.1067</v>
      </c>
      <c r="FA164" s="229">
        <v>0.51680000000000004</v>
      </c>
      <c r="FB164" s="227" t="s">
        <v>555</v>
      </c>
      <c r="FC164">
        <f t="shared" si="3"/>
        <v>0</v>
      </c>
    </row>
    <row r="165" spans="1:159" ht="17.25" thickBot="1" x14ac:dyDescent="0.3">
      <c r="A165" s="226">
        <v>46029</v>
      </c>
      <c r="B165" s="227" t="s">
        <v>161</v>
      </c>
      <c r="C165" s="227" t="s">
        <v>276</v>
      </c>
      <c r="D165" s="228">
        <v>1900</v>
      </c>
      <c r="E165" s="228">
        <v>20</v>
      </c>
      <c r="F165" s="228">
        <v>265.39999999999998</v>
      </c>
      <c r="G165" s="228">
        <v>269.85000000000002</v>
      </c>
      <c r="H165" s="228">
        <v>-4.45</v>
      </c>
      <c r="I165" s="229">
        <v>-1.6500000000000001E-2</v>
      </c>
      <c r="J165" s="228">
        <v>264.10000000000002</v>
      </c>
      <c r="K165" s="228">
        <v>268.55</v>
      </c>
      <c r="L165" s="228">
        <v>-4.45</v>
      </c>
      <c r="M165" s="229">
        <v>-1.66E-2</v>
      </c>
      <c r="N165" s="228">
        <v>265.39999999999998</v>
      </c>
      <c r="O165" s="228">
        <v>269.85000000000002</v>
      </c>
      <c r="P165" s="228">
        <v>-4.45</v>
      </c>
      <c r="Q165" s="229">
        <v>-1.6500000000000001E-2</v>
      </c>
      <c r="R165" s="228">
        <v>264.10000000000002</v>
      </c>
      <c r="S165" s="228">
        <v>268.25</v>
      </c>
      <c r="T165" s="228">
        <v>-4.1500000000000004</v>
      </c>
      <c r="U165" s="229">
        <v>-1.55E-2</v>
      </c>
      <c r="V165" s="228">
        <v>265.75</v>
      </c>
      <c r="W165" s="228">
        <v>270.2</v>
      </c>
      <c r="X165" s="228">
        <v>-4.45</v>
      </c>
      <c r="Y165" s="229">
        <v>-1.6500000000000001E-2</v>
      </c>
      <c r="Z165" s="228">
        <v>1.3</v>
      </c>
      <c r="AA165" s="228">
        <v>1.3</v>
      </c>
      <c r="AB165" s="228">
        <v>0</v>
      </c>
      <c r="AC165" s="229">
        <v>4.8999999999999998E-3</v>
      </c>
      <c r="AD165" s="228">
        <v>1.3</v>
      </c>
      <c r="AE165" s="228">
        <v>1.3</v>
      </c>
      <c r="AF165" s="228">
        <v>0</v>
      </c>
      <c r="AG165" s="229">
        <v>4.8999999999999998E-3</v>
      </c>
      <c r="AH165" s="228">
        <v>0</v>
      </c>
      <c r="AI165" s="228">
        <v>-0.3</v>
      </c>
      <c r="AJ165" s="228">
        <v>0.3</v>
      </c>
      <c r="AK165" s="229">
        <v>0</v>
      </c>
      <c r="AL165" s="228">
        <v>1.65</v>
      </c>
      <c r="AM165" s="228">
        <v>1.65</v>
      </c>
      <c r="AN165" s="228">
        <v>0</v>
      </c>
      <c r="AO165" s="229">
        <v>6.1999999999999998E-3</v>
      </c>
      <c r="AP165" s="228">
        <v>266.18</v>
      </c>
      <c r="AQ165" s="228">
        <v>264.61</v>
      </c>
      <c r="AR165" s="228">
        <v>0</v>
      </c>
      <c r="AS165" s="228">
        <v>337</v>
      </c>
      <c r="AT165" s="228">
        <v>252</v>
      </c>
      <c r="AU165" s="228">
        <v>85</v>
      </c>
      <c r="AV165" s="229">
        <v>0.33550000000000002</v>
      </c>
      <c r="AW165" s="228">
        <v>294</v>
      </c>
      <c r="AX165" s="228">
        <v>226</v>
      </c>
      <c r="AY165" s="228">
        <v>68</v>
      </c>
      <c r="AZ165" s="229">
        <v>0.30059999999999998</v>
      </c>
      <c r="BA165" s="228">
        <v>39</v>
      </c>
      <c r="BB165" s="228">
        <v>24</v>
      </c>
      <c r="BC165" s="228">
        <v>15</v>
      </c>
      <c r="BD165" s="229">
        <v>0.64419999999999999</v>
      </c>
      <c r="BE165" s="228">
        <v>3</v>
      </c>
      <c r="BF165" s="228">
        <v>2</v>
      </c>
      <c r="BG165" s="228">
        <v>1</v>
      </c>
      <c r="BH165" s="229">
        <v>0.55810000000000004</v>
      </c>
      <c r="BI165" s="228">
        <v>711</v>
      </c>
      <c r="BJ165" s="228">
        <v>851</v>
      </c>
      <c r="BK165" s="228">
        <v>-140</v>
      </c>
      <c r="BL165" s="229">
        <v>-0.16489999999999999</v>
      </c>
      <c r="BM165" s="228">
        <v>287</v>
      </c>
      <c r="BN165" s="228">
        <v>268</v>
      </c>
      <c r="BO165" s="228">
        <v>19</v>
      </c>
      <c r="BP165" s="229">
        <v>7.0499999999999993E-2</v>
      </c>
      <c r="BQ165" s="230">
        <v>1335</v>
      </c>
      <c r="BR165" s="230">
        <v>1372</v>
      </c>
      <c r="BS165" s="228">
        <v>-37</v>
      </c>
      <c r="BT165" s="229">
        <v>-2.69E-2</v>
      </c>
      <c r="BU165" s="230">
        <v>15034137</v>
      </c>
      <c r="BV165" s="230">
        <v>11954360</v>
      </c>
      <c r="BW165" s="230">
        <v>3079777</v>
      </c>
      <c r="BX165" s="229">
        <v>0.2576</v>
      </c>
      <c r="BY165" s="230">
        <v>2708</v>
      </c>
      <c r="BZ165" s="230">
        <v>2607</v>
      </c>
      <c r="CA165" s="228">
        <v>101</v>
      </c>
      <c r="CB165" s="229">
        <v>3.8800000000000001E-2</v>
      </c>
      <c r="CC165" s="230">
        <v>2449</v>
      </c>
      <c r="CD165" s="230">
        <v>2375</v>
      </c>
      <c r="CE165" s="228">
        <v>74</v>
      </c>
      <c r="CF165" s="229">
        <v>3.1300000000000001E-2</v>
      </c>
      <c r="CG165" s="228">
        <v>249</v>
      </c>
      <c r="CH165" s="228">
        <v>225</v>
      </c>
      <c r="CI165" s="228">
        <v>24</v>
      </c>
      <c r="CJ165" s="229">
        <v>0.1082</v>
      </c>
      <c r="CK165" s="228">
        <v>10</v>
      </c>
      <c r="CL165" s="228">
        <v>7</v>
      </c>
      <c r="CM165" s="228">
        <v>3</v>
      </c>
      <c r="CN165" s="229">
        <v>0.35210000000000002</v>
      </c>
      <c r="CO165" s="228">
        <v>896</v>
      </c>
      <c r="CP165" s="228">
        <v>771</v>
      </c>
      <c r="CQ165" s="228">
        <v>125</v>
      </c>
      <c r="CR165" s="229">
        <v>0.16139999999999999</v>
      </c>
      <c r="CS165" s="228">
        <v>567</v>
      </c>
      <c r="CT165" s="228">
        <v>511</v>
      </c>
      <c r="CU165" s="228">
        <v>56</v>
      </c>
      <c r="CV165" s="229">
        <v>0.1104</v>
      </c>
      <c r="CW165" s="230">
        <v>4171</v>
      </c>
      <c r="CX165" s="230">
        <v>3889</v>
      </c>
      <c r="CY165" s="228">
        <v>282</v>
      </c>
      <c r="CZ165" s="229">
        <v>7.2499999999999995E-2</v>
      </c>
      <c r="DA165" s="228">
        <v>20.9</v>
      </c>
      <c r="DB165" s="228">
        <v>19.36</v>
      </c>
      <c r="DC165" s="228">
        <v>1.54</v>
      </c>
      <c r="DD165" s="228">
        <v>1.54</v>
      </c>
      <c r="DE165" s="228">
        <v>27.5</v>
      </c>
      <c r="DF165" s="228">
        <v>27.47</v>
      </c>
      <c r="DG165" s="228">
        <v>-6.6</v>
      </c>
      <c r="DH165" s="228">
        <v>0.03</v>
      </c>
      <c r="DI165" s="228">
        <v>21.3</v>
      </c>
      <c r="DJ165" s="228">
        <v>19.420000000000002</v>
      </c>
      <c r="DK165" s="228">
        <v>1.88</v>
      </c>
      <c r="DL165" s="228">
        <v>1.88</v>
      </c>
      <c r="DM165" s="228">
        <v>19.88</v>
      </c>
      <c r="DN165" s="228">
        <v>19.18</v>
      </c>
      <c r="DO165" s="228">
        <v>0.7</v>
      </c>
      <c r="DP165" s="228">
        <v>0.7</v>
      </c>
      <c r="DQ165" s="228">
        <v>0.63</v>
      </c>
      <c r="DR165" s="228">
        <v>0.66</v>
      </c>
      <c r="DS165" s="228">
        <v>-0.03</v>
      </c>
      <c r="DT165" s="229">
        <v>-4.5499999999999999E-2</v>
      </c>
      <c r="DU165" s="228">
        <v>280</v>
      </c>
      <c r="DV165" s="228">
        <v>250</v>
      </c>
      <c r="DW165" s="228">
        <v>0.4</v>
      </c>
      <c r="DX165" s="228">
        <v>0.32</v>
      </c>
      <c r="DY165" s="228">
        <v>0.08</v>
      </c>
      <c r="DZ165" s="229">
        <v>0.25</v>
      </c>
      <c r="EA165" s="229">
        <v>9.5699999999999993E-2</v>
      </c>
      <c r="EB165" s="230">
        <v>8751400</v>
      </c>
      <c r="EC165" s="229">
        <v>-4.8999999999999998E-3</v>
      </c>
      <c r="ED165" s="229">
        <v>9.5699999999999993E-2</v>
      </c>
      <c r="EE165" s="228">
        <v>-1.57</v>
      </c>
      <c r="EF165" s="229">
        <v>-5.8999999999999999E-3</v>
      </c>
      <c r="EG165" s="230">
        <v>11493662</v>
      </c>
      <c r="EH165" s="230">
        <v>8318291</v>
      </c>
      <c r="EI165" s="229">
        <v>0.38169999999999998</v>
      </c>
      <c r="EJ165" s="229">
        <v>0.76449999999999996</v>
      </c>
      <c r="EK165" s="228">
        <v>745.29</v>
      </c>
      <c r="EL165" s="228">
        <v>286.64</v>
      </c>
      <c r="EM165" s="228">
        <v>337.61</v>
      </c>
      <c r="EN165" s="228">
        <v>51.66</v>
      </c>
      <c r="EO165" s="231">
        <v>1369.54</v>
      </c>
      <c r="EP165" s="231">
        <v>1425.55</v>
      </c>
      <c r="EQ165" s="228">
        <v>-56.01</v>
      </c>
      <c r="ER165" s="229">
        <v>-3.9300000000000002E-2</v>
      </c>
      <c r="ES165" s="228">
        <v>943.25</v>
      </c>
      <c r="ET165" s="228">
        <v>565.20000000000005</v>
      </c>
      <c r="EU165" s="231">
        <v>2707.07</v>
      </c>
      <c r="EV165" s="231">
        <v>678857930</v>
      </c>
      <c r="EW165" s="231">
        <v>4215.51</v>
      </c>
      <c r="EX165" s="231">
        <v>3974.45</v>
      </c>
      <c r="EY165" s="228">
        <v>241.06</v>
      </c>
      <c r="EZ165" s="229">
        <v>6.0699999999999997E-2</v>
      </c>
      <c r="FA165" s="229">
        <v>0.23150000000000001</v>
      </c>
      <c r="FB165" s="227" t="s">
        <v>567</v>
      </c>
      <c r="FC165">
        <f t="shared" si="3"/>
        <v>0</v>
      </c>
    </row>
    <row r="166" spans="1:159" ht="17.25" thickBot="1" x14ac:dyDescent="0.3">
      <c r="A166" s="226">
        <v>46029</v>
      </c>
      <c r="B166" s="227" t="s">
        <v>184</v>
      </c>
      <c r="C166" s="227" t="s">
        <v>687</v>
      </c>
      <c r="D166" s="228">
        <v>50</v>
      </c>
      <c r="E166" s="228">
        <v>20</v>
      </c>
      <c r="F166" s="231">
        <v>19628</v>
      </c>
      <c r="G166" s="231">
        <v>18867</v>
      </c>
      <c r="H166" s="228">
        <v>761</v>
      </c>
      <c r="I166" s="229">
        <v>4.0300000000000002E-2</v>
      </c>
      <c r="J166" s="231">
        <v>19582</v>
      </c>
      <c r="K166" s="231">
        <v>18847</v>
      </c>
      <c r="L166" s="228">
        <v>735</v>
      </c>
      <c r="M166" s="229">
        <v>3.9E-2</v>
      </c>
      <c r="N166" s="231">
        <v>19628</v>
      </c>
      <c r="O166" s="231">
        <v>18867</v>
      </c>
      <c r="P166" s="228">
        <v>761</v>
      </c>
      <c r="Q166" s="229">
        <v>4.0300000000000002E-2</v>
      </c>
      <c r="R166" s="231">
        <v>19727</v>
      </c>
      <c r="S166" s="231">
        <v>18940</v>
      </c>
      <c r="T166" s="228">
        <v>787</v>
      </c>
      <c r="U166" s="229">
        <v>4.1599999999999998E-2</v>
      </c>
      <c r="V166" s="231">
        <v>19918</v>
      </c>
      <c r="W166" s="231">
        <v>19088</v>
      </c>
      <c r="X166" s="228">
        <v>830</v>
      </c>
      <c r="Y166" s="229">
        <v>4.3499999999999997E-2</v>
      </c>
      <c r="Z166" s="228">
        <v>46</v>
      </c>
      <c r="AA166" s="228">
        <v>20</v>
      </c>
      <c r="AB166" s="228">
        <v>26</v>
      </c>
      <c r="AC166" s="229">
        <v>2.3E-3</v>
      </c>
      <c r="AD166" s="228">
        <v>46</v>
      </c>
      <c r="AE166" s="228">
        <v>20</v>
      </c>
      <c r="AF166" s="228">
        <v>26</v>
      </c>
      <c r="AG166" s="229">
        <v>2.3E-3</v>
      </c>
      <c r="AH166" s="228">
        <v>145</v>
      </c>
      <c r="AI166" s="228">
        <v>93</v>
      </c>
      <c r="AJ166" s="228">
        <v>52</v>
      </c>
      <c r="AK166" s="229">
        <v>7.4000000000000003E-3</v>
      </c>
      <c r="AL166" s="228">
        <v>336</v>
      </c>
      <c r="AM166" s="228">
        <v>241</v>
      </c>
      <c r="AN166" s="228">
        <v>95</v>
      </c>
      <c r="AO166" s="229">
        <v>1.72E-2</v>
      </c>
      <c r="AP166" s="231">
        <v>19524.919999999998</v>
      </c>
      <c r="AQ166" s="231">
        <v>19555.93</v>
      </c>
      <c r="AR166" s="228">
        <v>0</v>
      </c>
      <c r="AS166" s="228">
        <v>350</v>
      </c>
      <c r="AT166" s="228">
        <v>107</v>
      </c>
      <c r="AU166" s="228">
        <v>243</v>
      </c>
      <c r="AV166" s="229">
        <v>2.2835999999999999</v>
      </c>
      <c r="AW166" s="228">
        <v>326</v>
      </c>
      <c r="AX166" s="228">
        <v>101</v>
      </c>
      <c r="AY166" s="228">
        <v>226</v>
      </c>
      <c r="AZ166" s="229">
        <v>2.2397999999999998</v>
      </c>
      <c r="BA166" s="228">
        <v>21</v>
      </c>
      <c r="BB166" s="228">
        <v>5</v>
      </c>
      <c r="BC166" s="228">
        <v>16</v>
      </c>
      <c r="BD166" s="229">
        <v>2.9272999999999998</v>
      </c>
      <c r="BE166" s="228">
        <v>3</v>
      </c>
      <c r="BF166" s="228">
        <v>0</v>
      </c>
      <c r="BG166" s="228">
        <v>2</v>
      </c>
      <c r="BH166" s="229">
        <v>4.2</v>
      </c>
      <c r="BI166" s="230">
        <v>2515</v>
      </c>
      <c r="BJ166" s="228">
        <v>224</v>
      </c>
      <c r="BK166" s="230">
        <v>2291</v>
      </c>
      <c r="BL166" s="229">
        <v>10.205500000000001</v>
      </c>
      <c r="BM166" s="228">
        <v>456</v>
      </c>
      <c r="BN166" s="228">
        <v>94</v>
      </c>
      <c r="BO166" s="228">
        <v>362</v>
      </c>
      <c r="BP166" s="229">
        <v>3.8555999999999999</v>
      </c>
      <c r="BQ166" s="230">
        <v>3321</v>
      </c>
      <c r="BR166" s="228">
        <v>425</v>
      </c>
      <c r="BS166" s="230">
        <v>2896</v>
      </c>
      <c r="BT166" s="229">
        <v>6.8159000000000001</v>
      </c>
      <c r="BU166" s="230">
        <v>178067</v>
      </c>
      <c r="BV166" s="230">
        <v>65677</v>
      </c>
      <c r="BW166" s="230">
        <v>112390</v>
      </c>
      <c r="BX166" s="229">
        <v>1.7113</v>
      </c>
      <c r="BY166" s="228">
        <v>505</v>
      </c>
      <c r="BZ166" s="228">
        <v>508</v>
      </c>
      <c r="CA166" s="228">
        <v>-3</v>
      </c>
      <c r="CB166" s="229">
        <v>-6.7999999999999996E-3</v>
      </c>
      <c r="CC166" s="228">
        <v>491</v>
      </c>
      <c r="CD166" s="228">
        <v>494</v>
      </c>
      <c r="CE166" s="228">
        <v>-3</v>
      </c>
      <c r="CF166" s="229">
        <v>-7.0000000000000001E-3</v>
      </c>
      <c r="CG166" s="228">
        <v>14</v>
      </c>
      <c r="CH166" s="228">
        <v>12</v>
      </c>
      <c r="CI166" s="228">
        <v>2</v>
      </c>
      <c r="CJ166" s="229">
        <v>0.157</v>
      </c>
      <c r="CK166" s="228">
        <v>1</v>
      </c>
      <c r="CL166" s="228">
        <v>3</v>
      </c>
      <c r="CM166" s="228">
        <v>-2</v>
      </c>
      <c r="CN166" s="229">
        <v>-0.73080000000000001</v>
      </c>
      <c r="CO166" s="228">
        <v>264</v>
      </c>
      <c r="CP166" s="228">
        <v>165</v>
      </c>
      <c r="CQ166" s="228">
        <v>99</v>
      </c>
      <c r="CR166" s="229">
        <v>0.59899999999999998</v>
      </c>
      <c r="CS166" s="228">
        <v>129</v>
      </c>
      <c r="CT166" s="228">
        <v>82</v>
      </c>
      <c r="CU166" s="228">
        <v>48</v>
      </c>
      <c r="CV166" s="229">
        <v>0.58530000000000004</v>
      </c>
      <c r="CW166" s="228">
        <v>898</v>
      </c>
      <c r="CX166" s="228">
        <v>755</v>
      </c>
      <c r="CY166" s="228">
        <v>143</v>
      </c>
      <c r="CZ166" s="229">
        <v>0.18959999999999999</v>
      </c>
      <c r="DA166" s="228">
        <v>37.369999999999997</v>
      </c>
      <c r="DB166" s="228">
        <v>34.770000000000003</v>
      </c>
      <c r="DC166" s="228">
        <v>2.6</v>
      </c>
      <c r="DD166" s="228">
        <v>2.6</v>
      </c>
      <c r="DE166" s="228">
        <v>57.13</v>
      </c>
      <c r="DF166" s="228">
        <v>57.04</v>
      </c>
      <c r="DG166" s="228">
        <v>-19.760000000000002</v>
      </c>
      <c r="DH166" s="228">
        <v>0.09</v>
      </c>
      <c r="DI166" s="228">
        <v>37.17</v>
      </c>
      <c r="DJ166" s="228">
        <v>33.92</v>
      </c>
      <c r="DK166" s="228">
        <v>3.25</v>
      </c>
      <c r="DL166" s="228">
        <v>3.25</v>
      </c>
      <c r="DM166" s="228">
        <v>38.47</v>
      </c>
      <c r="DN166" s="228">
        <v>36.799999999999997</v>
      </c>
      <c r="DO166" s="228">
        <v>1.67</v>
      </c>
      <c r="DP166" s="228">
        <v>1.67</v>
      </c>
      <c r="DQ166" s="228">
        <v>0.49</v>
      </c>
      <c r="DR166" s="228">
        <v>0.49</v>
      </c>
      <c r="DS166" s="228">
        <v>0</v>
      </c>
      <c r="DT166" s="229">
        <v>0</v>
      </c>
      <c r="DU166" s="231">
        <v>20000</v>
      </c>
      <c r="DV166" s="231">
        <v>17000</v>
      </c>
      <c r="DW166" s="228">
        <v>0.18</v>
      </c>
      <c r="DX166" s="228">
        <v>0.42</v>
      </c>
      <c r="DY166" s="228">
        <v>-0.24</v>
      </c>
      <c r="DZ166" s="229">
        <v>-0.57140000000000002</v>
      </c>
      <c r="EA166" s="229">
        <v>2.86E-2</v>
      </c>
      <c r="EB166" s="230">
        <v>7350</v>
      </c>
      <c r="EC166" s="229">
        <v>5.0000000000000001E-3</v>
      </c>
      <c r="ED166" s="229">
        <v>2.86E-2</v>
      </c>
      <c r="EE166" s="228">
        <v>31.01</v>
      </c>
      <c r="EF166" s="229">
        <v>1.6000000000000001E-3</v>
      </c>
      <c r="EG166" s="230">
        <v>46276</v>
      </c>
      <c r="EH166" s="230">
        <v>25513</v>
      </c>
      <c r="EI166" s="229">
        <v>0.81379999999999997</v>
      </c>
      <c r="EJ166" s="229">
        <v>0.25990000000000002</v>
      </c>
      <c r="EK166" s="231">
        <v>2693.14</v>
      </c>
      <c r="EL166" s="228">
        <v>436.87</v>
      </c>
      <c r="EM166" s="228">
        <v>348.15</v>
      </c>
      <c r="EN166" s="228">
        <v>11.37</v>
      </c>
      <c r="EO166" s="231">
        <v>3478.16</v>
      </c>
      <c r="EP166" s="228">
        <v>419.54</v>
      </c>
      <c r="EQ166" s="231">
        <v>3058.62</v>
      </c>
      <c r="ER166" s="229">
        <v>7.2904</v>
      </c>
      <c r="ES166" s="228">
        <v>277.11</v>
      </c>
      <c r="ET166" s="228">
        <v>121.41</v>
      </c>
      <c r="EU166" s="228">
        <v>505.11</v>
      </c>
      <c r="EV166" s="231">
        <v>1917916</v>
      </c>
      <c r="EW166" s="228">
        <v>903.63</v>
      </c>
      <c r="EX166" s="228">
        <v>732.16</v>
      </c>
      <c r="EY166" s="228">
        <v>171.47</v>
      </c>
      <c r="EZ166" s="229">
        <v>0.23419999999999999</v>
      </c>
      <c r="FA166" s="229">
        <v>0.23860000000000001</v>
      </c>
      <c r="FB166" s="227" t="s">
        <v>556</v>
      </c>
      <c r="FC166">
        <f t="shared" si="3"/>
        <v>0</v>
      </c>
    </row>
    <row r="167" spans="1:159" ht="17.25" thickBot="1" x14ac:dyDescent="0.3">
      <c r="A167" s="226">
        <v>46029</v>
      </c>
      <c r="B167" s="227" t="s">
        <v>170</v>
      </c>
      <c r="C167" s="227" t="s">
        <v>678</v>
      </c>
      <c r="D167" s="228">
        <v>2625</v>
      </c>
      <c r="E167" s="228">
        <v>20</v>
      </c>
      <c r="F167" s="228">
        <v>181.82</v>
      </c>
      <c r="G167" s="228">
        <v>180.88</v>
      </c>
      <c r="H167" s="228">
        <v>0.94</v>
      </c>
      <c r="I167" s="229">
        <v>5.1999999999999998E-3</v>
      </c>
      <c r="J167" s="228">
        <v>180.81</v>
      </c>
      <c r="K167" s="228">
        <v>180</v>
      </c>
      <c r="L167" s="228">
        <v>0.81</v>
      </c>
      <c r="M167" s="229">
        <v>4.4999999999999997E-3</v>
      </c>
      <c r="N167" s="228">
        <v>181.82</v>
      </c>
      <c r="O167" s="228">
        <v>180.88</v>
      </c>
      <c r="P167" s="228">
        <v>0.94</v>
      </c>
      <c r="Q167" s="229">
        <v>5.1999999999999998E-3</v>
      </c>
      <c r="R167" s="228">
        <v>182.59</v>
      </c>
      <c r="S167" s="228">
        <v>181.7</v>
      </c>
      <c r="T167" s="228">
        <v>0.89</v>
      </c>
      <c r="U167" s="229">
        <v>4.8999999999999998E-3</v>
      </c>
      <c r="V167" s="228">
        <v>183.86</v>
      </c>
      <c r="W167" s="228">
        <v>180.68</v>
      </c>
      <c r="X167" s="228">
        <v>3.18</v>
      </c>
      <c r="Y167" s="229">
        <v>1.7600000000000001E-2</v>
      </c>
      <c r="Z167" s="228">
        <v>1.01</v>
      </c>
      <c r="AA167" s="228">
        <v>0.88</v>
      </c>
      <c r="AB167" s="228">
        <v>0.13</v>
      </c>
      <c r="AC167" s="229">
        <v>5.5999999999999999E-3</v>
      </c>
      <c r="AD167" s="228">
        <v>1.01</v>
      </c>
      <c r="AE167" s="228">
        <v>0.88</v>
      </c>
      <c r="AF167" s="228">
        <v>0.13</v>
      </c>
      <c r="AG167" s="229">
        <v>5.5999999999999999E-3</v>
      </c>
      <c r="AH167" s="228">
        <v>1.78</v>
      </c>
      <c r="AI167" s="228">
        <v>1.7</v>
      </c>
      <c r="AJ167" s="228">
        <v>0.08</v>
      </c>
      <c r="AK167" s="229">
        <v>9.7999999999999997E-3</v>
      </c>
      <c r="AL167" s="228">
        <v>3.05</v>
      </c>
      <c r="AM167" s="228">
        <v>0.68</v>
      </c>
      <c r="AN167" s="228">
        <v>2.37</v>
      </c>
      <c r="AO167" s="229">
        <v>1.6899999999999998E-2</v>
      </c>
      <c r="AP167" s="228">
        <v>183.05</v>
      </c>
      <c r="AQ167" s="228">
        <v>184.06</v>
      </c>
      <c r="AR167" s="228">
        <v>0</v>
      </c>
      <c r="AS167" s="228">
        <v>214</v>
      </c>
      <c r="AT167" s="228">
        <v>75</v>
      </c>
      <c r="AU167" s="228">
        <v>139</v>
      </c>
      <c r="AV167" s="229">
        <v>1.8424</v>
      </c>
      <c r="AW167" s="228">
        <v>203</v>
      </c>
      <c r="AX167" s="228">
        <v>71</v>
      </c>
      <c r="AY167" s="228">
        <v>132</v>
      </c>
      <c r="AZ167" s="229">
        <v>1.8709</v>
      </c>
      <c r="BA167" s="228">
        <v>11</v>
      </c>
      <c r="BB167" s="228">
        <v>5</v>
      </c>
      <c r="BC167" s="228">
        <v>6</v>
      </c>
      <c r="BD167" s="229">
        <v>1.3299000000000001</v>
      </c>
      <c r="BE167" s="228">
        <v>1</v>
      </c>
      <c r="BF167" s="228">
        <v>0</v>
      </c>
      <c r="BG167" s="228">
        <v>1</v>
      </c>
      <c r="BH167" s="229">
        <v>3.75</v>
      </c>
      <c r="BI167" s="228">
        <v>579</v>
      </c>
      <c r="BJ167" s="228">
        <v>166</v>
      </c>
      <c r="BK167" s="228">
        <v>413</v>
      </c>
      <c r="BL167" s="229">
        <v>2.4933999999999998</v>
      </c>
      <c r="BM167" s="228">
        <v>97</v>
      </c>
      <c r="BN167" s="228">
        <v>67</v>
      </c>
      <c r="BO167" s="228">
        <v>30</v>
      </c>
      <c r="BP167" s="229">
        <v>0.4481</v>
      </c>
      <c r="BQ167" s="228">
        <v>890</v>
      </c>
      <c r="BR167" s="228">
        <v>308</v>
      </c>
      <c r="BS167" s="228">
        <v>582</v>
      </c>
      <c r="BT167" s="229">
        <v>1.8888</v>
      </c>
      <c r="BU167" s="230">
        <v>6800096</v>
      </c>
      <c r="BV167" s="230">
        <v>3152009</v>
      </c>
      <c r="BW167" s="230">
        <v>3648087</v>
      </c>
      <c r="BX167" s="229">
        <v>1.1574</v>
      </c>
      <c r="BY167" s="228">
        <v>475</v>
      </c>
      <c r="BZ167" s="228">
        <v>458</v>
      </c>
      <c r="CA167" s="228">
        <v>17</v>
      </c>
      <c r="CB167" s="229">
        <v>3.6799999999999999E-2</v>
      </c>
      <c r="CC167" s="228">
        <v>451</v>
      </c>
      <c r="CD167" s="228">
        <v>436</v>
      </c>
      <c r="CE167" s="228">
        <v>15</v>
      </c>
      <c r="CF167" s="229">
        <v>3.4099999999999998E-2</v>
      </c>
      <c r="CG167" s="228">
        <v>23</v>
      </c>
      <c r="CH167" s="228">
        <v>21</v>
      </c>
      <c r="CI167" s="228">
        <v>2</v>
      </c>
      <c r="CJ167" s="229">
        <v>7.4999999999999997E-2</v>
      </c>
      <c r="CK167" s="228">
        <v>1</v>
      </c>
      <c r="CL167" s="228">
        <v>1</v>
      </c>
      <c r="CM167" s="228">
        <v>0</v>
      </c>
      <c r="CN167" s="229">
        <v>0.3478</v>
      </c>
      <c r="CO167" s="228">
        <v>204</v>
      </c>
      <c r="CP167" s="228">
        <v>176</v>
      </c>
      <c r="CQ167" s="228">
        <v>28</v>
      </c>
      <c r="CR167" s="229">
        <v>0.157</v>
      </c>
      <c r="CS167" s="228">
        <v>119</v>
      </c>
      <c r="CT167" s="228">
        <v>111</v>
      </c>
      <c r="CU167" s="228">
        <v>8</v>
      </c>
      <c r="CV167" s="229">
        <v>7.0800000000000002E-2</v>
      </c>
      <c r="CW167" s="228">
        <v>798</v>
      </c>
      <c r="CX167" s="228">
        <v>746</v>
      </c>
      <c r="CY167" s="228">
        <v>52</v>
      </c>
      <c r="CZ167" s="229">
        <v>7.0199999999999999E-2</v>
      </c>
      <c r="DA167" s="228">
        <v>32.49</v>
      </c>
      <c r="DB167" s="228">
        <v>33.01</v>
      </c>
      <c r="DC167" s="228">
        <v>-0.52</v>
      </c>
      <c r="DD167" s="228">
        <v>-0.52</v>
      </c>
      <c r="DE167" s="228">
        <v>43.26</v>
      </c>
      <c r="DF167" s="228">
        <v>43.37</v>
      </c>
      <c r="DG167" s="228">
        <v>-10.77</v>
      </c>
      <c r="DH167" s="228">
        <v>-0.11</v>
      </c>
      <c r="DI167" s="228">
        <v>32.49</v>
      </c>
      <c r="DJ167" s="228">
        <v>32.57</v>
      </c>
      <c r="DK167" s="228">
        <v>-0.08</v>
      </c>
      <c r="DL167" s="228">
        <v>-0.08</v>
      </c>
      <c r="DM167" s="228">
        <v>32.53</v>
      </c>
      <c r="DN167" s="228">
        <v>34.11</v>
      </c>
      <c r="DO167" s="228">
        <v>-1.58</v>
      </c>
      <c r="DP167" s="228">
        <v>-1.58</v>
      </c>
      <c r="DQ167" s="228">
        <v>0.57999999999999996</v>
      </c>
      <c r="DR167" s="228">
        <v>0.63</v>
      </c>
      <c r="DS167" s="228">
        <v>-0.05</v>
      </c>
      <c r="DT167" s="229">
        <v>-7.9399999999999998E-2</v>
      </c>
      <c r="DU167" s="228">
        <v>200</v>
      </c>
      <c r="DV167" s="228">
        <v>165</v>
      </c>
      <c r="DW167" s="228">
        <v>0.17</v>
      </c>
      <c r="DX167" s="228">
        <v>0.4</v>
      </c>
      <c r="DY167" s="228">
        <v>-0.23</v>
      </c>
      <c r="DZ167" s="229">
        <v>-0.57499999999999996</v>
      </c>
      <c r="EA167" s="229">
        <v>5.0599999999999999E-2</v>
      </c>
      <c r="EB167" s="230">
        <v>1215375</v>
      </c>
      <c r="EC167" s="229">
        <v>4.1999999999999997E-3</v>
      </c>
      <c r="ED167" s="229">
        <v>5.0599999999999999E-2</v>
      </c>
      <c r="EE167" s="228">
        <v>1.01</v>
      </c>
      <c r="EF167" s="229">
        <v>5.4999999999999997E-3</v>
      </c>
      <c r="EG167" s="230">
        <v>1843476</v>
      </c>
      <c r="EH167" s="230">
        <v>1071952</v>
      </c>
      <c r="EI167" s="229">
        <v>0.71970000000000001</v>
      </c>
      <c r="EJ167" s="229">
        <v>0.27110000000000001</v>
      </c>
      <c r="EK167" s="228">
        <v>612.07000000000005</v>
      </c>
      <c r="EL167" s="228">
        <v>96.78</v>
      </c>
      <c r="EM167" s="228">
        <v>215.86</v>
      </c>
      <c r="EN167" s="228">
        <v>16.940000000000001</v>
      </c>
      <c r="EO167" s="228">
        <v>924.71</v>
      </c>
      <c r="EP167" s="228">
        <v>314.60000000000002</v>
      </c>
      <c r="EQ167" s="228">
        <v>610.11</v>
      </c>
      <c r="ER167" s="229">
        <v>1.9393</v>
      </c>
      <c r="ES167" s="228">
        <v>213.62</v>
      </c>
      <c r="ET167" s="228">
        <v>114.09</v>
      </c>
      <c r="EU167" s="228">
        <v>475.24</v>
      </c>
      <c r="EV167" s="231">
        <v>107697729</v>
      </c>
      <c r="EW167" s="228">
        <v>802.96</v>
      </c>
      <c r="EX167" s="228">
        <v>747.36</v>
      </c>
      <c r="EY167" s="228">
        <v>55.6</v>
      </c>
      <c r="EZ167" s="229">
        <v>7.4399999999999994E-2</v>
      </c>
      <c r="FA167" s="229">
        <v>0.40749999999999997</v>
      </c>
      <c r="FB167" s="227" t="s">
        <v>555</v>
      </c>
      <c r="FC167">
        <f t="shared" si="3"/>
        <v>0</v>
      </c>
    </row>
    <row r="168" spans="1:159" ht="17.25" thickBot="1" x14ac:dyDescent="0.3">
      <c r="A168" s="226">
        <v>46029</v>
      </c>
      <c r="B168" s="227" t="s">
        <v>184</v>
      </c>
      <c r="C168" s="227" t="s">
        <v>690</v>
      </c>
      <c r="D168" s="228">
        <v>575</v>
      </c>
      <c r="E168" s="228">
        <v>20</v>
      </c>
      <c r="F168" s="228">
        <v>755.55</v>
      </c>
      <c r="G168" s="228">
        <v>763.75</v>
      </c>
      <c r="H168" s="228">
        <v>-8.1999999999999993</v>
      </c>
      <c r="I168" s="229">
        <v>-1.0699999999999999E-2</v>
      </c>
      <c r="J168" s="228">
        <v>752.05</v>
      </c>
      <c r="K168" s="228">
        <v>762.1</v>
      </c>
      <c r="L168" s="228">
        <v>-10.050000000000001</v>
      </c>
      <c r="M168" s="229">
        <v>-1.32E-2</v>
      </c>
      <c r="N168" s="228">
        <v>755.55</v>
      </c>
      <c r="O168" s="228">
        <v>763.75</v>
      </c>
      <c r="P168" s="228">
        <v>-8.1999999999999993</v>
      </c>
      <c r="Q168" s="229">
        <v>-1.0699999999999999E-2</v>
      </c>
      <c r="R168" s="228">
        <v>753.8</v>
      </c>
      <c r="S168" s="228">
        <v>762.75</v>
      </c>
      <c r="T168" s="228">
        <v>-8.9499999999999993</v>
      </c>
      <c r="U168" s="229">
        <v>-1.17E-2</v>
      </c>
      <c r="V168" s="228">
        <v>753.9</v>
      </c>
      <c r="W168" s="228">
        <v>764.8</v>
      </c>
      <c r="X168" s="228">
        <v>-10.9</v>
      </c>
      <c r="Y168" s="229">
        <v>-1.43E-2</v>
      </c>
      <c r="Z168" s="228">
        <v>3.5</v>
      </c>
      <c r="AA168" s="228">
        <v>1.65</v>
      </c>
      <c r="AB168" s="228">
        <v>1.85</v>
      </c>
      <c r="AC168" s="229">
        <v>4.7000000000000002E-3</v>
      </c>
      <c r="AD168" s="228">
        <v>3.5</v>
      </c>
      <c r="AE168" s="228">
        <v>1.65</v>
      </c>
      <c r="AF168" s="228">
        <v>1.85</v>
      </c>
      <c r="AG168" s="229">
        <v>4.7000000000000002E-3</v>
      </c>
      <c r="AH168" s="228">
        <v>1.75</v>
      </c>
      <c r="AI168" s="228">
        <v>0.65</v>
      </c>
      <c r="AJ168" s="228">
        <v>1.1000000000000001</v>
      </c>
      <c r="AK168" s="229">
        <v>2.3E-3</v>
      </c>
      <c r="AL168" s="228">
        <v>1.85</v>
      </c>
      <c r="AM168" s="228">
        <v>2.7</v>
      </c>
      <c r="AN168" s="228">
        <v>-0.85</v>
      </c>
      <c r="AO168" s="229">
        <v>2.5000000000000001E-3</v>
      </c>
      <c r="AP168" s="228">
        <v>754.89</v>
      </c>
      <c r="AQ168" s="228">
        <v>754.5</v>
      </c>
      <c r="AR168" s="228">
        <v>0</v>
      </c>
      <c r="AS168" s="228">
        <v>123</v>
      </c>
      <c r="AT168" s="228">
        <v>223</v>
      </c>
      <c r="AU168" s="228">
        <v>-100</v>
      </c>
      <c r="AV168" s="229">
        <v>-0.4481</v>
      </c>
      <c r="AW168" s="228">
        <v>108</v>
      </c>
      <c r="AX168" s="228">
        <v>196</v>
      </c>
      <c r="AY168" s="228">
        <v>-88</v>
      </c>
      <c r="AZ168" s="229">
        <v>-0.44969999999999999</v>
      </c>
      <c r="BA168" s="228">
        <v>14</v>
      </c>
      <c r="BB168" s="228">
        <v>24</v>
      </c>
      <c r="BC168" s="228">
        <v>-10</v>
      </c>
      <c r="BD168" s="229">
        <v>-0.4199</v>
      </c>
      <c r="BE168" s="228">
        <v>2</v>
      </c>
      <c r="BF168" s="228">
        <v>3</v>
      </c>
      <c r="BG168" s="228">
        <v>-2</v>
      </c>
      <c r="BH168" s="229">
        <v>-0.55130000000000001</v>
      </c>
      <c r="BI168" s="228">
        <v>273</v>
      </c>
      <c r="BJ168" s="228">
        <v>381</v>
      </c>
      <c r="BK168" s="228">
        <v>-108</v>
      </c>
      <c r="BL168" s="229">
        <v>-0.28289999999999998</v>
      </c>
      <c r="BM168" s="228">
        <v>155</v>
      </c>
      <c r="BN168" s="228">
        <v>531</v>
      </c>
      <c r="BO168" s="228">
        <v>-376</v>
      </c>
      <c r="BP168" s="229">
        <v>-0.70850000000000002</v>
      </c>
      <c r="BQ168" s="228">
        <v>551</v>
      </c>
      <c r="BR168" s="230">
        <v>1135</v>
      </c>
      <c r="BS168" s="228">
        <v>-584</v>
      </c>
      <c r="BT168" s="229">
        <v>-0.51449999999999996</v>
      </c>
      <c r="BU168" s="230">
        <v>2417170</v>
      </c>
      <c r="BV168" s="230">
        <v>5498822</v>
      </c>
      <c r="BW168" s="230">
        <v>-3081652</v>
      </c>
      <c r="BX168" s="229">
        <v>-0.56040000000000001</v>
      </c>
      <c r="BY168" s="228">
        <v>288</v>
      </c>
      <c r="BZ168" s="228">
        <v>257</v>
      </c>
      <c r="CA168" s="228">
        <v>31</v>
      </c>
      <c r="CB168" s="229">
        <v>0.1227</v>
      </c>
      <c r="CC168" s="228">
        <v>249</v>
      </c>
      <c r="CD168" s="228">
        <v>222</v>
      </c>
      <c r="CE168" s="228">
        <v>27</v>
      </c>
      <c r="CF168" s="229">
        <v>0.122</v>
      </c>
      <c r="CG168" s="228">
        <v>32</v>
      </c>
      <c r="CH168" s="228">
        <v>28</v>
      </c>
      <c r="CI168" s="228">
        <v>4</v>
      </c>
      <c r="CJ168" s="229">
        <v>0.14979999999999999</v>
      </c>
      <c r="CK168" s="228">
        <v>7</v>
      </c>
      <c r="CL168" s="228">
        <v>7</v>
      </c>
      <c r="CM168" s="228">
        <v>0</v>
      </c>
      <c r="CN168" s="229">
        <v>3.73E-2</v>
      </c>
      <c r="CO168" s="228">
        <v>275</v>
      </c>
      <c r="CP168" s="228">
        <v>212</v>
      </c>
      <c r="CQ168" s="228">
        <v>63</v>
      </c>
      <c r="CR168" s="229">
        <v>0.29699999999999999</v>
      </c>
      <c r="CS168" s="228">
        <v>190</v>
      </c>
      <c r="CT168" s="228">
        <v>166</v>
      </c>
      <c r="CU168" s="228">
        <v>24</v>
      </c>
      <c r="CV168" s="229">
        <v>0.14369999999999999</v>
      </c>
      <c r="CW168" s="228">
        <v>754</v>
      </c>
      <c r="CX168" s="228">
        <v>635</v>
      </c>
      <c r="CY168" s="228">
        <v>118</v>
      </c>
      <c r="CZ168" s="229">
        <v>0.18640000000000001</v>
      </c>
      <c r="DA168" s="228">
        <v>45.14</v>
      </c>
      <c r="DB168" s="228">
        <v>44.31</v>
      </c>
      <c r="DC168" s="228">
        <v>0.83</v>
      </c>
      <c r="DD168" s="228">
        <v>0.83</v>
      </c>
      <c r="DE168" s="228">
        <v>45.71</v>
      </c>
      <c r="DF168" s="228">
        <v>45.8</v>
      </c>
      <c r="DG168" s="228">
        <v>-0.56999999999999995</v>
      </c>
      <c r="DH168" s="228">
        <v>-0.09</v>
      </c>
      <c r="DI168" s="228">
        <v>45.04</v>
      </c>
      <c r="DJ168" s="228">
        <v>43.7</v>
      </c>
      <c r="DK168" s="228">
        <v>1.34</v>
      </c>
      <c r="DL168" s="228">
        <v>1.34</v>
      </c>
      <c r="DM168" s="228">
        <v>45.31</v>
      </c>
      <c r="DN168" s="228">
        <v>44.76</v>
      </c>
      <c r="DO168" s="228">
        <v>0.55000000000000004</v>
      </c>
      <c r="DP168" s="228">
        <v>0.55000000000000004</v>
      </c>
      <c r="DQ168" s="228">
        <v>0.69</v>
      </c>
      <c r="DR168" s="228">
        <v>0.78</v>
      </c>
      <c r="DS168" s="228">
        <v>-0.09</v>
      </c>
      <c r="DT168" s="229">
        <v>-0.1154</v>
      </c>
      <c r="DU168" s="228">
        <v>800</v>
      </c>
      <c r="DV168" s="228">
        <v>700</v>
      </c>
      <c r="DW168" s="228">
        <v>0.56999999999999995</v>
      </c>
      <c r="DX168" s="228">
        <v>1.39</v>
      </c>
      <c r="DY168" s="228">
        <v>-0.82</v>
      </c>
      <c r="DZ168" s="229">
        <v>-0.58989999999999998</v>
      </c>
      <c r="EA168" s="229">
        <v>0.1351</v>
      </c>
      <c r="EB168" s="230">
        <v>457125</v>
      </c>
      <c r="EC168" s="229">
        <v>-2.3E-3</v>
      </c>
      <c r="ED168" s="229">
        <v>0.1351</v>
      </c>
      <c r="EE168" s="228">
        <v>-0.39</v>
      </c>
      <c r="EF168" s="229">
        <v>-5.0000000000000001E-4</v>
      </c>
      <c r="EG168" s="230">
        <v>731401</v>
      </c>
      <c r="EH168" s="230">
        <v>1780652</v>
      </c>
      <c r="EI168" s="229">
        <v>-0.58930000000000005</v>
      </c>
      <c r="EJ168" s="229">
        <v>0.30259999999999998</v>
      </c>
      <c r="EK168" s="228">
        <v>299.32</v>
      </c>
      <c r="EL168" s="228">
        <v>153.06</v>
      </c>
      <c r="EM168" s="228">
        <v>123.18</v>
      </c>
      <c r="EN168" s="228">
        <v>33.07</v>
      </c>
      <c r="EO168" s="228">
        <v>575.55999999999995</v>
      </c>
      <c r="EP168" s="231">
        <v>1183.1400000000001</v>
      </c>
      <c r="EQ168" s="228">
        <v>-607.57000000000005</v>
      </c>
      <c r="ER168" s="229">
        <v>-0.51349999999999996</v>
      </c>
      <c r="ES168" s="228">
        <v>303.45999999999998</v>
      </c>
      <c r="ET168" s="228">
        <v>184.25</v>
      </c>
      <c r="EU168" s="228">
        <v>288.12</v>
      </c>
      <c r="EV168" s="231">
        <v>23923093</v>
      </c>
      <c r="EW168" s="228">
        <v>775.83</v>
      </c>
      <c r="EX168" s="228">
        <v>657.64</v>
      </c>
      <c r="EY168" s="228">
        <v>118.19</v>
      </c>
      <c r="EZ168" s="229">
        <v>0.1797</v>
      </c>
      <c r="FA168" s="229">
        <v>0.41689999999999999</v>
      </c>
      <c r="FB168" s="227" t="s">
        <v>567</v>
      </c>
      <c r="FC168">
        <f t="shared" si="3"/>
        <v>0</v>
      </c>
    </row>
    <row r="169" spans="1:159" ht="17.25" thickBot="1" x14ac:dyDescent="0.3">
      <c r="A169" s="226">
        <v>46029</v>
      </c>
      <c r="B169" s="227" t="s">
        <v>206</v>
      </c>
      <c r="C169" s="227" t="s">
        <v>605</v>
      </c>
      <c r="D169" s="228">
        <v>450</v>
      </c>
      <c r="E169" s="228">
        <v>20</v>
      </c>
      <c r="F169" s="231">
        <v>1623.8</v>
      </c>
      <c r="G169" s="231">
        <v>1662.2</v>
      </c>
      <c r="H169" s="228">
        <v>-38.4</v>
      </c>
      <c r="I169" s="229">
        <v>-2.3099999999999999E-2</v>
      </c>
      <c r="J169" s="231">
        <v>1619.5</v>
      </c>
      <c r="K169" s="231">
        <v>1653.2</v>
      </c>
      <c r="L169" s="228">
        <v>-33.700000000000003</v>
      </c>
      <c r="M169" s="229">
        <v>-2.0400000000000001E-2</v>
      </c>
      <c r="N169" s="231">
        <v>1623.8</v>
      </c>
      <c r="O169" s="231">
        <v>1662.2</v>
      </c>
      <c r="P169" s="228">
        <v>-38.4</v>
      </c>
      <c r="Q169" s="229">
        <v>-2.3099999999999999E-2</v>
      </c>
      <c r="R169" s="231">
        <v>1631.7</v>
      </c>
      <c r="S169" s="231">
        <v>1671.6</v>
      </c>
      <c r="T169" s="228">
        <v>-39.9</v>
      </c>
      <c r="U169" s="229">
        <v>-2.3900000000000001E-2</v>
      </c>
      <c r="V169" s="231">
        <v>1660.9</v>
      </c>
      <c r="W169" s="231">
        <v>1698.2</v>
      </c>
      <c r="X169" s="228">
        <v>-37.299999999999997</v>
      </c>
      <c r="Y169" s="229">
        <v>-2.1999999999999999E-2</v>
      </c>
      <c r="Z169" s="228">
        <v>4.3</v>
      </c>
      <c r="AA169" s="228">
        <v>9</v>
      </c>
      <c r="AB169" s="228">
        <v>-4.7</v>
      </c>
      <c r="AC169" s="229">
        <v>2.7000000000000001E-3</v>
      </c>
      <c r="AD169" s="228">
        <v>4.3</v>
      </c>
      <c r="AE169" s="228">
        <v>9</v>
      </c>
      <c r="AF169" s="228">
        <v>-4.7</v>
      </c>
      <c r="AG169" s="229">
        <v>2.7000000000000001E-3</v>
      </c>
      <c r="AH169" s="228">
        <v>12.2</v>
      </c>
      <c r="AI169" s="228">
        <v>18.399999999999999</v>
      </c>
      <c r="AJ169" s="228">
        <v>-6.2</v>
      </c>
      <c r="AK169" s="229">
        <v>7.4999999999999997E-3</v>
      </c>
      <c r="AL169" s="228">
        <v>41.4</v>
      </c>
      <c r="AM169" s="228">
        <v>45</v>
      </c>
      <c r="AN169" s="228">
        <v>-3.6</v>
      </c>
      <c r="AO169" s="229">
        <v>2.5600000000000001E-2</v>
      </c>
      <c r="AP169" s="231">
        <v>1630.91</v>
      </c>
      <c r="AQ169" s="231">
        <v>1641.97</v>
      </c>
      <c r="AR169" s="228">
        <v>0</v>
      </c>
      <c r="AS169" s="228">
        <v>164</v>
      </c>
      <c r="AT169" s="228">
        <v>86</v>
      </c>
      <c r="AU169" s="228">
        <v>78</v>
      </c>
      <c r="AV169" s="229">
        <v>0.90810000000000002</v>
      </c>
      <c r="AW169" s="228">
        <v>160</v>
      </c>
      <c r="AX169" s="228">
        <v>84</v>
      </c>
      <c r="AY169" s="228">
        <v>76</v>
      </c>
      <c r="AZ169" s="229">
        <v>0.9143</v>
      </c>
      <c r="BA169" s="228">
        <v>4</v>
      </c>
      <c r="BB169" s="228">
        <v>2</v>
      </c>
      <c r="BC169" s="228">
        <v>2</v>
      </c>
      <c r="BD169" s="229">
        <v>0.7097</v>
      </c>
      <c r="BE169" s="228">
        <v>0</v>
      </c>
      <c r="BF169" s="228">
        <v>0</v>
      </c>
      <c r="BG169" s="228">
        <v>0</v>
      </c>
      <c r="BH169" s="229">
        <v>0</v>
      </c>
      <c r="BI169" s="228">
        <v>364</v>
      </c>
      <c r="BJ169" s="228">
        <v>278</v>
      </c>
      <c r="BK169" s="228">
        <v>87</v>
      </c>
      <c r="BL169" s="229">
        <v>0.31309999999999999</v>
      </c>
      <c r="BM169" s="228">
        <v>177</v>
      </c>
      <c r="BN169" s="228">
        <v>93</v>
      </c>
      <c r="BO169" s="228">
        <v>84</v>
      </c>
      <c r="BP169" s="229">
        <v>0.9042</v>
      </c>
      <c r="BQ169" s="228">
        <v>705</v>
      </c>
      <c r="BR169" s="228">
        <v>456</v>
      </c>
      <c r="BS169" s="228">
        <v>249</v>
      </c>
      <c r="BT169" s="229">
        <v>0.54549999999999998</v>
      </c>
      <c r="BU169" s="230">
        <v>529600</v>
      </c>
      <c r="BV169" s="230">
        <v>462361</v>
      </c>
      <c r="BW169" s="230">
        <v>67239</v>
      </c>
      <c r="BX169" s="229">
        <v>0.1454</v>
      </c>
      <c r="BY169" s="228">
        <v>676</v>
      </c>
      <c r="BZ169" s="228">
        <v>650</v>
      </c>
      <c r="CA169" s="228">
        <v>26</v>
      </c>
      <c r="CB169" s="229">
        <v>3.9899999999999998E-2</v>
      </c>
      <c r="CC169" s="228">
        <v>670</v>
      </c>
      <c r="CD169" s="228">
        <v>645</v>
      </c>
      <c r="CE169" s="228">
        <v>25</v>
      </c>
      <c r="CF169" s="229">
        <v>3.9100000000000003E-2</v>
      </c>
      <c r="CG169" s="228">
        <v>6</v>
      </c>
      <c r="CH169" s="228">
        <v>5</v>
      </c>
      <c r="CI169" s="228">
        <v>1</v>
      </c>
      <c r="CJ169" s="229">
        <v>0.13039999999999999</v>
      </c>
      <c r="CK169" s="228">
        <v>0</v>
      </c>
      <c r="CL169" s="228">
        <v>0</v>
      </c>
      <c r="CM169" s="228">
        <v>0</v>
      </c>
      <c r="CN169" s="229">
        <v>0.5</v>
      </c>
      <c r="CO169" s="228">
        <v>225</v>
      </c>
      <c r="CP169" s="228">
        <v>156</v>
      </c>
      <c r="CQ169" s="228">
        <v>69</v>
      </c>
      <c r="CR169" s="229">
        <v>0.44090000000000001</v>
      </c>
      <c r="CS169" s="228">
        <v>141</v>
      </c>
      <c r="CT169" s="228">
        <v>131</v>
      </c>
      <c r="CU169" s="228">
        <v>10</v>
      </c>
      <c r="CV169" s="229">
        <v>7.6399999999999996E-2</v>
      </c>
      <c r="CW169" s="230">
        <v>1042</v>
      </c>
      <c r="CX169" s="228">
        <v>938</v>
      </c>
      <c r="CY169" s="228">
        <v>105</v>
      </c>
      <c r="CZ169" s="229">
        <v>0.1118</v>
      </c>
      <c r="DA169" s="228">
        <v>30.66</v>
      </c>
      <c r="DB169" s="228">
        <v>29.65</v>
      </c>
      <c r="DC169" s="228">
        <v>1.01</v>
      </c>
      <c r="DD169" s="228">
        <v>1.01</v>
      </c>
      <c r="DE169" s="228">
        <v>43.77</v>
      </c>
      <c r="DF169" s="228">
        <v>43.77</v>
      </c>
      <c r="DG169" s="228">
        <v>-13.11</v>
      </c>
      <c r="DH169" s="228">
        <v>0</v>
      </c>
      <c r="DI169" s="228">
        <v>30.83</v>
      </c>
      <c r="DJ169" s="228">
        <v>29.78</v>
      </c>
      <c r="DK169" s="228">
        <v>1.05</v>
      </c>
      <c r="DL169" s="228">
        <v>1.05</v>
      </c>
      <c r="DM169" s="228">
        <v>30.3</v>
      </c>
      <c r="DN169" s="228">
        <v>29.26</v>
      </c>
      <c r="DO169" s="228">
        <v>1.04</v>
      </c>
      <c r="DP169" s="228">
        <v>1.04</v>
      </c>
      <c r="DQ169" s="228">
        <v>0.63</v>
      </c>
      <c r="DR169" s="228">
        <v>0.84</v>
      </c>
      <c r="DS169" s="228">
        <v>-0.21</v>
      </c>
      <c r="DT169" s="229">
        <v>-0.25</v>
      </c>
      <c r="DU169" s="231">
        <v>1640</v>
      </c>
      <c r="DV169" s="231">
        <v>1600</v>
      </c>
      <c r="DW169" s="228">
        <v>0.49</v>
      </c>
      <c r="DX169" s="228">
        <v>0.34</v>
      </c>
      <c r="DY169" s="228">
        <v>0.15</v>
      </c>
      <c r="DZ169" s="229">
        <v>0.44119999999999998</v>
      </c>
      <c r="EA169" s="229">
        <v>8.8000000000000005E-3</v>
      </c>
      <c r="EB169" s="230">
        <v>31950</v>
      </c>
      <c r="EC169" s="229">
        <v>4.8999999999999998E-3</v>
      </c>
      <c r="ED169" s="229">
        <v>8.8000000000000005E-3</v>
      </c>
      <c r="EE169" s="228">
        <v>11.06</v>
      </c>
      <c r="EF169" s="229">
        <v>6.7999999999999996E-3</v>
      </c>
      <c r="EG169" s="230">
        <v>219159</v>
      </c>
      <c r="EH169" s="230">
        <v>203804</v>
      </c>
      <c r="EI169" s="229">
        <v>7.5300000000000006E-2</v>
      </c>
      <c r="EJ169" s="229">
        <v>0.4138</v>
      </c>
      <c r="EK169" s="228">
        <v>385.57</v>
      </c>
      <c r="EL169" s="228">
        <v>173.11</v>
      </c>
      <c r="EM169" s="228">
        <v>164.57</v>
      </c>
      <c r="EN169" s="228">
        <v>13.08</v>
      </c>
      <c r="EO169" s="228">
        <v>723.25</v>
      </c>
      <c r="EP169" s="228">
        <v>478.47</v>
      </c>
      <c r="EQ169" s="228">
        <v>244.78</v>
      </c>
      <c r="ER169" s="229">
        <v>0.51160000000000005</v>
      </c>
      <c r="ES169" s="228">
        <v>237.54</v>
      </c>
      <c r="ET169" s="228">
        <v>135.47</v>
      </c>
      <c r="EU169" s="228">
        <v>676.09</v>
      </c>
      <c r="EV169" s="231">
        <v>22697169</v>
      </c>
      <c r="EW169" s="231">
        <v>1049.0999999999999</v>
      </c>
      <c r="EX169" s="228">
        <v>956.81</v>
      </c>
      <c r="EY169" s="228">
        <v>92.29</v>
      </c>
      <c r="EZ169" s="229">
        <v>9.6500000000000002E-2</v>
      </c>
      <c r="FA169" s="229">
        <v>0.2828</v>
      </c>
      <c r="FB169" s="227" t="s">
        <v>567</v>
      </c>
      <c r="FC169">
        <f t="shared" si="3"/>
        <v>0</v>
      </c>
    </row>
    <row r="170" spans="1:159" ht="17.25" thickBot="1" x14ac:dyDescent="0.3">
      <c r="A170" s="226">
        <v>46029</v>
      </c>
      <c r="B170" s="227" t="s">
        <v>172</v>
      </c>
      <c r="C170" s="227" t="s">
        <v>279</v>
      </c>
      <c r="D170" s="228">
        <v>3175</v>
      </c>
      <c r="E170" s="228">
        <v>20</v>
      </c>
      <c r="F170" s="228">
        <v>319.3</v>
      </c>
      <c r="G170" s="228">
        <v>320.89999999999998</v>
      </c>
      <c r="H170" s="228">
        <v>-1.6</v>
      </c>
      <c r="I170" s="229">
        <v>-5.0000000000000001E-3</v>
      </c>
      <c r="J170" s="228">
        <v>318.64999999999998</v>
      </c>
      <c r="K170" s="228">
        <v>320.25</v>
      </c>
      <c r="L170" s="228">
        <v>-1.6</v>
      </c>
      <c r="M170" s="229">
        <v>-5.0000000000000001E-3</v>
      </c>
      <c r="N170" s="228">
        <v>319.3</v>
      </c>
      <c r="O170" s="228">
        <v>320.89999999999998</v>
      </c>
      <c r="P170" s="228">
        <v>-1.6</v>
      </c>
      <c r="Q170" s="229">
        <v>-5.0000000000000001E-3</v>
      </c>
      <c r="R170" s="228">
        <v>321.05</v>
      </c>
      <c r="S170" s="228">
        <v>322.64999999999998</v>
      </c>
      <c r="T170" s="228">
        <v>-1.6</v>
      </c>
      <c r="U170" s="229">
        <v>-5.0000000000000001E-3</v>
      </c>
      <c r="V170" s="228">
        <v>318.2</v>
      </c>
      <c r="W170" s="228">
        <v>322.3</v>
      </c>
      <c r="X170" s="228">
        <v>-4.0999999999999996</v>
      </c>
      <c r="Y170" s="229">
        <v>-1.2699999999999999E-2</v>
      </c>
      <c r="Z170" s="228">
        <v>0.65</v>
      </c>
      <c r="AA170" s="228">
        <v>0.65</v>
      </c>
      <c r="AB170" s="228">
        <v>0</v>
      </c>
      <c r="AC170" s="229">
        <v>2E-3</v>
      </c>
      <c r="AD170" s="228">
        <v>0.65</v>
      </c>
      <c r="AE170" s="228">
        <v>0.65</v>
      </c>
      <c r="AF170" s="228">
        <v>0</v>
      </c>
      <c r="AG170" s="229">
        <v>2E-3</v>
      </c>
      <c r="AH170" s="228">
        <v>2.4</v>
      </c>
      <c r="AI170" s="228">
        <v>2.4</v>
      </c>
      <c r="AJ170" s="228">
        <v>0</v>
      </c>
      <c r="AK170" s="229">
        <v>7.4999999999999997E-3</v>
      </c>
      <c r="AL170" s="228">
        <v>-0.45</v>
      </c>
      <c r="AM170" s="228">
        <v>2.0499999999999998</v>
      </c>
      <c r="AN170" s="228">
        <v>-2.5</v>
      </c>
      <c r="AO170" s="229">
        <v>-1.4E-3</v>
      </c>
      <c r="AP170" s="228">
        <v>318.68</v>
      </c>
      <c r="AQ170" s="228">
        <v>319.36</v>
      </c>
      <c r="AR170" s="228">
        <v>0</v>
      </c>
      <c r="AS170" s="228">
        <v>399</v>
      </c>
      <c r="AT170" s="228">
        <v>479</v>
      </c>
      <c r="AU170" s="228">
        <v>-81</v>
      </c>
      <c r="AV170" s="229">
        <v>-0.16839999999999999</v>
      </c>
      <c r="AW170" s="228">
        <v>393</v>
      </c>
      <c r="AX170" s="228">
        <v>469</v>
      </c>
      <c r="AY170" s="228">
        <v>-76</v>
      </c>
      <c r="AZ170" s="229">
        <v>-0.16139999999999999</v>
      </c>
      <c r="BA170" s="228">
        <v>5</v>
      </c>
      <c r="BB170" s="228">
        <v>9</v>
      </c>
      <c r="BC170" s="228">
        <v>-4</v>
      </c>
      <c r="BD170" s="229">
        <v>-0.45650000000000002</v>
      </c>
      <c r="BE170" s="228">
        <v>0</v>
      </c>
      <c r="BF170" s="228">
        <v>1</v>
      </c>
      <c r="BG170" s="228">
        <v>-1</v>
      </c>
      <c r="BH170" s="229">
        <v>-0.875</v>
      </c>
      <c r="BI170" s="228">
        <v>480</v>
      </c>
      <c r="BJ170" s="228">
        <v>664</v>
      </c>
      <c r="BK170" s="228">
        <v>-183</v>
      </c>
      <c r="BL170" s="229">
        <v>-0.27639999999999998</v>
      </c>
      <c r="BM170" s="228">
        <v>285</v>
      </c>
      <c r="BN170" s="228">
        <v>227</v>
      </c>
      <c r="BO170" s="228">
        <v>57</v>
      </c>
      <c r="BP170" s="229">
        <v>0.25219999999999998</v>
      </c>
      <c r="BQ170" s="230">
        <v>1164</v>
      </c>
      <c r="BR170" s="230">
        <v>1371</v>
      </c>
      <c r="BS170" s="228">
        <v>-207</v>
      </c>
      <c r="BT170" s="229">
        <v>-0.15090000000000001</v>
      </c>
      <c r="BU170" s="230">
        <v>10225900</v>
      </c>
      <c r="BV170" s="230">
        <v>11796399</v>
      </c>
      <c r="BW170" s="230">
        <v>-1570499</v>
      </c>
      <c r="BX170" s="229">
        <v>-0.1331</v>
      </c>
      <c r="BY170" s="230">
        <v>2241</v>
      </c>
      <c r="BZ170" s="230">
        <v>2281</v>
      </c>
      <c r="CA170" s="228">
        <v>-40</v>
      </c>
      <c r="CB170" s="229">
        <v>-1.7299999999999999E-2</v>
      </c>
      <c r="CC170" s="230">
        <v>2220</v>
      </c>
      <c r="CD170" s="230">
        <v>2260</v>
      </c>
      <c r="CE170" s="228">
        <v>-40</v>
      </c>
      <c r="CF170" s="229">
        <v>-1.78E-2</v>
      </c>
      <c r="CG170" s="228">
        <v>19</v>
      </c>
      <c r="CH170" s="228">
        <v>18</v>
      </c>
      <c r="CI170" s="228">
        <v>1</v>
      </c>
      <c r="CJ170" s="229">
        <v>3.9100000000000003E-2</v>
      </c>
      <c r="CK170" s="228">
        <v>2</v>
      </c>
      <c r="CL170" s="228">
        <v>2</v>
      </c>
      <c r="CM170" s="228">
        <v>0</v>
      </c>
      <c r="CN170" s="229">
        <v>-4.3499999999999997E-2</v>
      </c>
      <c r="CO170" s="228">
        <v>565</v>
      </c>
      <c r="CP170" s="228">
        <v>579</v>
      </c>
      <c r="CQ170" s="228">
        <v>-14</v>
      </c>
      <c r="CR170" s="229">
        <v>-2.4500000000000001E-2</v>
      </c>
      <c r="CS170" s="228">
        <v>371</v>
      </c>
      <c r="CT170" s="228">
        <v>358</v>
      </c>
      <c r="CU170" s="228">
        <v>13</v>
      </c>
      <c r="CV170" s="229">
        <v>3.5999999999999997E-2</v>
      </c>
      <c r="CW170" s="230">
        <v>3177</v>
      </c>
      <c r="CX170" s="230">
        <v>3218</v>
      </c>
      <c r="CY170" s="228">
        <v>-41</v>
      </c>
      <c r="CZ170" s="229">
        <v>-1.2699999999999999E-2</v>
      </c>
      <c r="DA170" s="228">
        <v>30.42</v>
      </c>
      <c r="DB170" s="228">
        <v>29.18</v>
      </c>
      <c r="DC170" s="228">
        <v>1.24</v>
      </c>
      <c r="DD170" s="228">
        <v>1.24</v>
      </c>
      <c r="DE170" s="228">
        <v>43.55</v>
      </c>
      <c r="DF170" s="228">
        <v>43.66</v>
      </c>
      <c r="DG170" s="228">
        <v>-13.13</v>
      </c>
      <c r="DH170" s="228">
        <v>-0.11</v>
      </c>
      <c r="DI170" s="228">
        <v>30.12</v>
      </c>
      <c r="DJ170" s="228">
        <v>28.73</v>
      </c>
      <c r="DK170" s="228">
        <v>1.39</v>
      </c>
      <c r="DL170" s="228">
        <v>1.39</v>
      </c>
      <c r="DM170" s="228">
        <v>30.93</v>
      </c>
      <c r="DN170" s="228">
        <v>30.5</v>
      </c>
      <c r="DO170" s="228">
        <v>0.43</v>
      </c>
      <c r="DP170" s="228">
        <v>0.43</v>
      </c>
      <c r="DQ170" s="228">
        <v>0.66</v>
      </c>
      <c r="DR170" s="228">
        <v>0.62</v>
      </c>
      <c r="DS170" s="228">
        <v>0.04</v>
      </c>
      <c r="DT170" s="229">
        <v>6.4500000000000002E-2</v>
      </c>
      <c r="DU170" s="228">
        <v>320</v>
      </c>
      <c r="DV170" s="228">
        <v>300</v>
      </c>
      <c r="DW170" s="228">
        <v>0.59</v>
      </c>
      <c r="DX170" s="228">
        <v>0.34</v>
      </c>
      <c r="DY170" s="228">
        <v>0.25</v>
      </c>
      <c r="DZ170" s="229">
        <v>0.73529999999999995</v>
      </c>
      <c r="EA170" s="229">
        <v>9.4000000000000004E-3</v>
      </c>
      <c r="EB170" s="230">
        <v>641350</v>
      </c>
      <c r="EC170" s="229">
        <v>5.4999999999999997E-3</v>
      </c>
      <c r="ED170" s="229">
        <v>9.4000000000000004E-3</v>
      </c>
      <c r="EE170" s="228">
        <v>0.68</v>
      </c>
      <c r="EF170" s="229">
        <v>2.0999999999999999E-3</v>
      </c>
      <c r="EG170" s="230">
        <v>5989535</v>
      </c>
      <c r="EH170" s="230">
        <v>7590458</v>
      </c>
      <c r="EI170" s="229">
        <v>-0.2109</v>
      </c>
      <c r="EJ170" s="229">
        <v>0.5857</v>
      </c>
      <c r="EK170" s="228">
        <v>501.81</v>
      </c>
      <c r="EL170" s="228">
        <v>279.35000000000002</v>
      </c>
      <c r="EM170" s="228">
        <v>397.85</v>
      </c>
      <c r="EN170" s="228">
        <v>48.64</v>
      </c>
      <c r="EO170" s="231">
        <v>1179.02</v>
      </c>
      <c r="EP170" s="231">
        <v>1400.34</v>
      </c>
      <c r="EQ170" s="228">
        <v>-221.32</v>
      </c>
      <c r="ER170" s="229">
        <v>-0.158</v>
      </c>
      <c r="ES170" s="228">
        <v>575.01</v>
      </c>
      <c r="ET170" s="228">
        <v>352.98</v>
      </c>
      <c r="EU170" s="231">
        <v>2241.15</v>
      </c>
      <c r="EV170" s="231">
        <v>91953095</v>
      </c>
      <c r="EW170" s="231">
        <v>3169.14</v>
      </c>
      <c r="EX170" s="231">
        <v>3221.34</v>
      </c>
      <c r="EY170" s="228">
        <v>-52.2</v>
      </c>
      <c r="EZ170" s="229">
        <v>-1.6199999999999999E-2</v>
      </c>
      <c r="FA170" s="229">
        <v>1.0822000000000001</v>
      </c>
      <c r="FB170" s="227" t="s">
        <v>568</v>
      </c>
      <c r="FC170">
        <f t="shared" si="3"/>
        <v>0</v>
      </c>
    </row>
    <row r="171" spans="1:159" ht="17.25" thickBot="1" x14ac:dyDescent="0.3">
      <c r="A171" s="226">
        <v>46029</v>
      </c>
      <c r="B171" s="227" t="s">
        <v>175</v>
      </c>
      <c r="C171" s="227" t="s">
        <v>280</v>
      </c>
      <c r="D171" s="228">
        <v>1400</v>
      </c>
      <c r="E171" s="228">
        <v>20</v>
      </c>
      <c r="F171" s="228">
        <v>385.45</v>
      </c>
      <c r="G171" s="228">
        <v>383.2</v>
      </c>
      <c r="H171" s="228">
        <v>2.25</v>
      </c>
      <c r="I171" s="229">
        <v>5.8999999999999999E-3</v>
      </c>
      <c r="J171" s="228">
        <v>385.25</v>
      </c>
      <c r="K171" s="228">
        <v>382.85</v>
      </c>
      <c r="L171" s="228">
        <v>2.4</v>
      </c>
      <c r="M171" s="229">
        <v>6.3E-3</v>
      </c>
      <c r="N171" s="228">
        <v>385.45</v>
      </c>
      <c r="O171" s="228">
        <v>383.2</v>
      </c>
      <c r="P171" s="228">
        <v>2.25</v>
      </c>
      <c r="Q171" s="229">
        <v>5.8999999999999999E-3</v>
      </c>
      <c r="R171" s="228">
        <v>385.95</v>
      </c>
      <c r="S171" s="228">
        <v>383.45</v>
      </c>
      <c r="T171" s="228">
        <v>2.5</v>
      </c>
      <c r="U171" s="229">
        <v>6.4999999999999997E-3</v>
      </c>
      <c r="V171" s="228">
        <v>386.25</v>
      </c>
      <c r="W171" s="228">
        <v>384.3</v>
      </c>
      <c r="X171" s="228">
        <v>1.95</v>
      </c>
      <c r="Y171" s="229">
        <v>5.1000000000000004E-3</v>
      </c>
      <c r="Z171" s="228">
        <v>0.2</v>
      </c>
      <c r="AA171" s="228">
        <v>0.35</v>
      </c>
      <c r="AB171" s="228">
        <v>-0.15</v>
      </c>
      <c r="AC171" s="229">
        <v>5.0000000000000001E-4</v>
      </c>
      <c r="AD171" s="228">
        <v>0.2</v>
      </c>
      <c r="AE171" s="228">
        <v>0.35</v>
      </c>
      <c r="AF171" s="228">
        <v>-0.15</v>
      </c>
      <c r="AG171" s="229">
        <v>5.0000000000000001E-4</v>
      </c>
      <c r="AH171" s="228">
        <v>0.7</v>
      </c>
      <c r="AI171" s="228">
        <v>0.6</v>
      </c>
      <c r="AJ171" s="228">
        <v>0.1</v>
      </c>
      <c r="AK171" s="229">
        <v>1.8E-3</v>
      </c>
      <c r="AL171" s="228">
        <v>1</v>
      </c>
      <c r="AM171" s="228">
        <v>1.45</v>
      </c>
      <c r="AN171" s="228">
        <v>-0.45</v>
      </c>
      <c r="AO171" s="229">
        <v>2.5999999999999999E-3</v>
      </c>
      <c r="AP171" s="228">
        <v>384.61</v>
      </c>
      <c r="AQ171" s="228">
        <v>384.97</v>
      </c>
      <c r="AR171" s="228">
        <v>0</v>
      </c>
      <c r="AS171" s="228">
        <v>592</v>
      </c>
      <c r="AT171" s="228">
        <v>658</v>
      </c>
      <c r="AU171" s="228">
        <v>-65</v>
      </c>
      <c r="AV171" s="229">
        <v>-9.9299999999999999E-2</v>
      </c>
      <c r="AW171" s="228">
        <v>488</v>
      </c>
      <c r="AX171" s="228">
        <v>586</v>
      </c>
      <c r="AY171" s="228">
        <v>-98</v>
      </c>
      <c r="AZ171" s="229">
        <v>-0.16750000000000001</v>
      </c>
      <c r="BA171" s="228">
        <v>95</v>
      </c>
      <c r="BB171" s="228">
        <v>57</v>
      </c>
      <c r="BC171" s="228">
        <v>39</v>
      </c>
      <c r="BD171" s="229">
        <v>0.67810000000000004</v>
      </c>
      <c r="BE171" s="228">
        <v>9</v>
      </c>
      <c r="BF171" s="228">
        <v>15</v>
      </c>
      <c r="BG171" s="228">
        <v>-6</v>
      </c>
      <c r="BH171" s="229">
        <v>-0.38519999999999999</v>
      </c>
      <c r="BI171" s="230">
        <v>1642</v>
      </c>
      <c r="BJ171" s="230">
        <v>2449</v>
      </c>
      <c r="BK171" s="228">
        <v>-807</v>
      </c>
      <c r="BL171" s="229">
        <v>-0.3296</v>
      </c>
      <c r="BM171" s="228">
        <v>801</v>
      </c>
      <c r="BN171" s="228">
        <v>862</v>
      </c>
      <c r="BO171" s="228">
        <v>-61</v>
      </c>
      <c r="BP171" s="229">
        <v>-7.0400000000000004E-2</v>
      </c>
      <c r="BQ171" s="230">
        <v>3035</v>
      </c>
      <c r="BR171" s="230">
        <v>3968</v>
      </c>
      <c r="BS171" s="228">
        <v>-933</v>
      </c>
      <c r="BT171" s="229">
        <v>-0.23519999999999999</v>
      </c>
      <c r="BU171" s="230">
        <v>9868963</v>
      </c>
      <c r="BV171" s="230">
        <v>10752363</v>
      </c>
      <c r="BW171" s="230">
        <v>-883400</v>
      </c>
      <c r="BX171" s="229">
        <v>-8.2199999999999995E-2</v>
      </c>
      <c r="BY171" s="230">
        <v>3329</v>
      </c>
      <c r="BZ171" s="230">
        <v>3284</v>
      </c>
      <c r="CA171" s="228">
        <v>45</v>
      </c>
      <c r="CB171" s="229">
        <v>1.37E-2</v>
      </c>
      <c r="CC171" s="230">
        <v>2976</v>
      </c>
      <c r="CD171" s="230">
        <v>2988</v>
      </c>
      <c r="CE171" s="228">
        <v>-11</v>
      </c>
      <c r="CF171" s="229">
        <v>-3.8E-3</v>
      </c>
      <c r="CG171" s="228">
        <v>316</v>
      </c>
      <c r="CH171" s="228">
        <v>262</v>
      </c>
      <c r="CI171" s="228">
        <v>55</v>
      </c>
      <c r="CJ171" s="229">
        <v>0.20810000000000001</v>
      </c>
      <c r="CK171" s="228">
        <v>36</v>
      </c>
      <c r="CL171" s="228">
        <v>34</v>
      </c>
      <c r="CM171" s="228">
        <v>2</v>
      </c>
      <c r="CN171" s="229">
        <v>5.8500000000000003E-2</v>
      </c>
      <c r="CO171" s="230">
        <v>1479</v>
      </c>
      <c r="CP171" s="230">
        <v>1458</v>
      </c>
      <c r="CQ171" s="228">
        <v>22</v>
      </c>
      <c r="CR171" s="229">
        <v>1.4999999999999999E-2</v>
      </c>
      <c r="CS171" s="230">
        <v>1182</v>
      </c>
      <c r="CT171" s="230">
        <v>1092</v>
      </c>
      <c r="CU171" s="228">
        <v>91</v>
      </c>
      <c r="CV171" s="229">
        <v>8.3199999999999996E-2</v>
      </c>
      <c r="CW171" s="230">
        <v>5991</v>
      </c>
      <c r="CX171" s="230">
        <v>5833</v>
      </c>
      <c r="CY171" s="228">
        <v>158</v>
      </c>
      <c r="CZ171" s="229">
        <v>2.7E-2</v>
      </c>
      <c r="DA171" s="228">
        <v>27.05</v>
      </c>
      <c r="DB171" s="228">
        <v>27.52</v>
      </c>
      <c r="DC171" s="228">
        <v>-0.47</v>
      </c>
      <c r="DD171" s="228">
        <v>-0.47</v>
      </c>
      <c r="DE171" s="228">
        <v>41.44</v>
      </c>
      <c r="DF171" s="228">
        <v>41.54</v>
      </c>
      <c r="DG171" s="228">
        <v>-14.39</v>
      </c>
      <c r="DH171" s="228">
        <v>-0.1</v>
      </c>
      <c r="DI171" s="228">
        <v>26.98</v>
      </c>
      <c r="DJ171" s="228">
        <v>27.54</v>
      </c>
      <c r="DK171" s="228">
        <v>-0.56000000000000005</v>
      </c>
      <c r="DL171" s="228">
        <v>-0.56000000000000005</v>
      </c>
      <c r="DM171" s="228">
        <v>27.2</v>
      </c>
      <c r="DN171" s="228">
        <v>27.46</v>
      </c>
      <c r="DO171" s="228">
        <v>-0.26</v>
      </c>
      <c r="DP171" s="228">
        <v>-0.26</v>
      </c>
      <c r="DQ171" s="228">
        <v>0.8</v>
      </c>
      <c r="DR171" s="228">
        <v>0.75</v>
      </c>
      <c r="DS171" s="228">
        <v>0.05</v>
      </c>
      <c r="DT171" s="229">
        <v>6.6699999999999995E-2</v>
      </c>
      <c r="DU171" s="228">
        <v>400</v>
      </c>
      <c r="DV171" s="228">
        <v>360</v>
      </c>
      <c r="DW171" s="228">
        <v>0.49</v>
      </c>
      <c r="DX171" s="228">
        <v>0.35</v>
      </c>
      <c r="DY171" s="228">
        <v>0.14000000000000001</v>
      </c>
      <c r="DZ171" s="229">
        <v>0.4</v>
      </c>
      <c r="EA171" s="229">
        <v>0.10589999999999999</v>
      </c>
      <c r="EB171" s="230">
        <v>7681800</v>
      </c>
      <c r="EC171" s="229">
        <v>1.2999999999999999E-3</v>
      </c>
      <c r="ED171" s="229">
        <v>0.10589999999999999</v>
      </c>
      <c r="EE171" s="228">
        <v>0.36</v>
      </c>
      <c r="EF171" s="229">
        <v>8.9999999999999998E-4</v>
      </c>
      <c r="EG171" s="230">
        <v>5501182</v>
      </c>
      <c r="EH171" s="230">
        <v>5030679</v>
      </c>
      <c r="EI171" s="229">
        <v>9.35E-2</v>
      </c>
      <c r="EJ171" s="229">
        <v>0.55740000000000001</v>
      </c>
      <c r="EK171" s="231">
        <v>1704.32</v>
      </c>
      <c r="EL171" s="228">
        <v>788.49</v>
      </c>
      <c r="EM171" s="228">
        <v>591.23</v>
      </c>
      <c r="EN171" s="228">
        <v>156.53</v>
      </c>
      <c r="EO171" s="231">
        <v>3084.04</v>
      </c>
      <c r="EP171" s="231">
        <v>4050.55</v>
      </c>
      <c r="EQ171" s="228">
        <v>-966.51</v>
      </c>
      <c r="ER171" s="229">
        <v>-0.23860000000000001</v>
      </c>
      <c r="ES171" s="231">
        <v>1480.42</v>
      </c>
      <c r="ET171" s="231">
        <v>1118.77</v>
      </c>
      <c r="EU171" s="231">
        <v>3329.57</v>
      </c>
      <c r="EV171" s="231">
        <v>187084550</v>
      </c>
      <c r="EW171" s="231">
        <v>5928.76</v>
      </c>
      <c r="EX171" s="231">
        <v>5751.74</v>
      </c>
      <c r="EY171" s="228">
        <v>177.02</v>
      </c>
      <c r="EZ171" s="229">
        <v>3.0800000000000001E-2</v>
      </c>
      <c r="FA171" s="229">
        <v>0.83079999999999998</v>
      </c>
      <c r="FB171" s="227" t="s">
        <v>555</v>
      </c>
      <c r="FC171">
        <f t="shared" si="3"/>
        <v>0</v>
      </c>
    </row>
    <row r="172" spans="1:159" ht="17.25" thickBot="1" x14ac:dyDescent="0.3">
      <c r="A172" s="226">
        <v>46029</v>
      </c>
      <c r="B172" s="227" t="s">
        <v>193</v>
      </c>
      <c r="C172" s="227" t="s">
        <v>281</v>
      </c>
      <c r="D172" s="228">
        <v>500</v>
      </c>
      <c r="E172" s="228">
        <v>20</v>
      </c>
      <c r="F172" s="231">
        <v>1511.5</v>
      </c>
      <c r="G172" s="231">
        <v>1514.1</v>
      </c>
      <c r="H172" s="228">
        <v>-2.6</v>
      </c>
      <c r="I172" s="229">
        <v>-1.6999999999999999E-3</v>
      </c>
      <c r="J172" s="231">
        <v>1504.2</v>
      </c>
      <c r="K172" s="231">
        <v>1507.6</v>
      </c>
      <c r="L172" s="228">
        <v>-3.4</v>
      </c>
      <c r="M172" s="229">
        <v>-2.3E-3</v>
      </c>
      <c r="N172" s="231">
        <v>1511.5</v>
      </c>
      <c r="O172" s="231">
        <v>1514.1</v>
      </c>
      <c r="P172" s="228">
        <v>-2.6</v>
      </c>
      <c r="Q172" s="229">
        <v>-1.6999999999999999E-3</v>
      </c>
      <c r="R172" s="231">
        <v>1520.1</v>
      </c>
      <c r="S172" s="231">
        <v>1523.4</v>
      </c>
      <c r="T172" s="228">
        <v>-3.3</v>
      </c>
      <c r="U172" s="229">
        <v>-2.2000000000000001E-3</v>
      </c>
      <c r="V172" s="231">
        <v>1529.7</v>
      </c>
      <c r="W172" s="231">
        <v>1533.1</v>
      </c>
      <c r="X172" s="228">
        <v>-3.4</v>
      </c>
      <c r="Y172" s="229">
        <v>-2.2000000000000001E-3</v>
      </c>
      <c r="Z172" s="228">
        <v>7.3</v>
      </c>
      <c r="AA172" s="228">
        <v>6.5</v>
      </c>
      <c r="AB172" s="228">
        <v>0.8</v>
      </c>
      <c r="AC172" s="229">
        <v>4.8999999999999998E-3</v>
      </c>
      <c r="AD172" s="228">
        <v>7.3</v>
      </c>
      <c r="AE172" s="228">
        <v>6.5</v>
      </c>
      <c r="AF172" s="228">
        <v>0.8</v>
      </c>
      <c r="AG172" s="229">
        <v>4.8999999999999998E-3</v>
      </c>
      <c r="AH172" s="228">
        <v>15.9</v>
      </c>
      <c r="AI172" s="228">
        <v>15.8</v>
      </c>
      <c r="AJ172" s="228">
        <v>0.1</v>
      </c>
      <c r="AK172" s="229">
        <v>1.06E-2</v>
      </c>
      <c r="AL172" s="228">
        <v>25.5</v>
      </c>
      <c r="AM172" s="228">
        <v>25.5</v>
      </c>
      <c r="AN172" s="228">
        <v>0</v>
      </c>
      <c r="AO172" s="229">
        <v>1.7000000000000001E-2</v>
      </c>
      <c r="AP172" s="231">
        <v>1513.61</v>
      </c>
      <c r="AQ172" s="231">
        <v>1522.5</v>
      </c>
      <c r="AR172" s="228">
        <v>0</v>
      </c>
      <c r="AS172" s="230">
        <v>2190</v>
      </c>
      <c r="AT172" s="230">
        <v>6664</v>
      </c>
      <c r="AU172" s="230">
        <v>-4474</v>
      </c>
      <c r="AV172" s="229">
        <v>-0.6714</v>
      </c>
      <c r="AW172" s="230">
        <v>1882</v>
      </c>
      <c r="AX172" s="230">
        <v>6017</v>
      </c>
      <c r="AY172" s="230">
        <v>-4135</v>
      </c>
      <c r="AZ172" s="229">
        <v>-0.68720000000000003</v>
      </c>
      <c r="BA172" s="228">
        <v>199</v>
      </c>
      <c r="BB172" s="228">
        <v>513</v>
      </c>
      <c r="BC172" s="228">
        <v>-314</v>
      </c>
      <c r="BD172" s="229">
        <v>-0.61180000000000001</v>
      </c>
      <c r="BE172" s="228">
        <v>108</v>
      </c>
      <c r="BF172" s="228">
        <v>133</v>
      </c>
      <c r="BG172" s="228">
        <v>-25</v>
      </c>
      <c r="BH172" s="229">
        <v>-0.1883</v>
      </c>
      <c r="BI172" s="230">
        <v>12199</v>
      </c>
      <c r="BJ172" s="230">
        <v>34360</v>
      </c>
      <c r="BK172" s="230">
        <v>-22161</v>
      </c>
      <c r="BL172" s="229">
        <v>-0.64500000000000002</v>
      </c>
      <c r="BM172" s="230">
        <v>6933</v>
      </c>
      <c r="BN172" s="230">
        <v>23057</v>
      </c>
      <c r="BO172" s="230">
        <v>-16124</v>
      </c>
      <c r="BP172" s="229">
        <v>-0.69930000000000003</v>
      </c>
      <c r="BQ172" s="230">
        <v>21322</v>
      </c>
      <c r="BR172" s="230">
        <v>64081</v>
      </c>
      <c r="BS172" s="230">
        <v>-42759</v>
      </c>
      <c r="BT172" s="229">
        <v>-0.6673</v>
      </c>
      <c r="BU172" s="230">
        <v>11909939</v>
      </c>
      <c r="BV172" s="230">
        <v>28373153</v>
      </c>
      <c r="BW172" s="230">
        <v>-16463214</v>
      </c>
      <c r="BX172" s="229">
        <v>-0.58020000000000005</v>
      </c>
      <c r="BY172" s="230">
        <v>16330</v>
      </c>
      <c r="BZ172" s="230">
        <v>15951</v>
      </c>
      <c r="CA172" s="228">
        <v>379</v>
      </c>
      <c r="CB172" s="229">
        <v>2.3800000000000002E-2</v>
      </c>
      <c r="CC172" s="230">
        <v>15502</v>
      </c>
      <c r="CD172" s="230">
        <v>15303</v>
      </c>
      <c r="CE172" s="228">
        <v>199</v>
      </c>
      <c r="CF172" s="229">
        <v>1.2999999999999999E-2</v>
      </c>
      <c r="CG172" s="228">
        <v>630</v>
      </c>
      <c r="CH172" s="228">
        <v>531</v>
      </c>
      <c r="CI172" s="228">
        <v>99</v>
      </c>
      <c r="CJ172" s="229">
        <v>0.18659999999999999</v>
      </c>
      <c r="CK172" s="228">
        <v>198</v>
      </c>
      <c r="CL172" s="228">
        <v>117</v>
      </c>
      <c r="CM172" s="228">
        <v>81</v>
      </c>
      <c r="CN172" s="229">
        <v>0.69040000000000001</v>
      </c>
      <c r="CO172" s="230">
        <v>12214</v>
      </c>
      <c r="CP172" s="230">
        <v>11430</v>
      </c>
      <c r="CQ172" s="228">
        <v>784</v>
      </c>
      <c r="CR172" s="229">
        <v>6.8599999999999994E-2</v>
      </c>
      <c r="CS172" s="230">
        <v>5102</v>
      </c>
      <c r="CT172" s="230">
        <v>4764</v>
      </c>
      <c r="CU172" s="228">
        <v>338</v>
      </c>
      <c r="CV172" s="229">
        <v>7.0900000000000005E-2</v>
      </c>
      <c r="CW172" s="230">
        <v>33646</v>
      </c>
      <c r="CX172" s="230">
        <v>32146</v>
      </c>
      <c r="CY172" s="230">
        <v>1500</v>
      </c>
      <c r="CZ172" s="229">
        <v>4.6699999999999998E-2</v>
      </c>
      <c r="DA172" s="228">
        <v>21.34</v>
      </c>
      <c r="DB172" s="228">
        <v>21.41</v>
      </c>
      <c r="DC172" s="228">
        <v>-7.0000000000000007E-2</v>
      </c>
      <c r="DD172" s="228">
        <v>-7.0000000000000007E-2</v>
      </c>
      <c r="DE172" s="228">
        <v>23.73</v>
      </c>
      <c r="DF172" s="228">
        <v>23.78</v>
      </c>
      <c r="DG172" s="228">
        <v>-2.39</v>
      </c>
      <c r="DH172" s="228">
        <v>-0.05</v>
      </c>
      <c r="DI172" s="228">
        <v>21.06</v>
      </c>
      <c r="DJ172" s="228">
        <v>20.97</v>
      </c>
      <c r="DK172" s="228">
        <v>0.09</v>
      </c>
      <c r="DL172" s="228">
        <v>0.09</v>
      </c>
      <c r="DM172" s="228">
        <v>21.84</v>
      </c>
      <c r="DN172" s="228">
        <v>22.07</v>
      </c>
      <c r="DO172" s="228">
        <v>-0.23</v>
      </c>
      <c r="DP172" s="228">
        <v>-0.23</v>
      </c>
      <c r="DQ172" s="228">
        <v>0.42</v>
      </c>
      <c r="DR172" s="228">
        <v>0.42</v>
      </c>
      <c r="DS172" s="228">
        <v>0</v>
      </c>
      <c r="DT172" s="229">
        <v>0</v>
      </c>
      <c r="DU172" s="231">
        <v>1600</v>
      </c>
      <c r="DV172" s="231">
        <v>1500</v>
      </c>
      <c r="DW172" s="228">
        <v>0.56999999999999995</v>
      </c>
      <c r="DX172" s="228">
        <v>0.67</v>
      </c>
      <c r="DY172" s="228">
        <v>-0.1</v>
      </c>
      <c r="DZ172" s="229">
        <v>-0.14929999999999999</v>
      </c>
      <c r="EA172" s="229">
        <v>5.0700000000000002E-2</v>
      </c>
      <c r="EB172" s="230">
        <v>4286500</v>
      </c>
      <c r="EC172" s="229">
        <v>5.7000000000000002E-3</v>
      </c>
      <c r="ED172" s="229">
        <v>5.0700000000000002E-2</v>
      </c>
      <c r="EE172" s="228">
        <v>8.89</v>
      </c>
      <c r="EF172" s="229">
        <v>5.8999999999999999E-3</v>
      </c>
      <c r="EG172" s="230">
        <v>7110841</v>
      </c>
      <c r="EH172" s="230">
        <v>14310714</v>
      </c>
      <c r="EI172" s="229">
        <v>-0.50309999999999999</v>
      </c>
      <c r="EJ172" s="229">
        <v>0.59709999999999996</v>
      </c>
      <c r="EK172" s="231">
        <v>12721.16</v>
      </c>
      <c r="EL172" s="231">
        <v>6853.08</v>
      </c>
      <c r="EM172" s="231">
        <v>2195.04</v>
      </c>
      <c r="EN172" s="228">
        <v>342.5</v>
      </c>
      <c r="EO172" s="231">
        <v>21769.279999999999</v>
      </c>
      <c r="EP172" s="231">
        <v>65910.97</v>
      </c>
      <c r="EQ172" s="231">
        <v>-44141.69</v>
      </c>
      <c r="ER172" s="229">
        <v>-0.66969999999999996</v>
      </c>
      <c r="ES172" s="231">
        <v>12777.36</v>
      </c>
      <c r="ET172" s="231">
        <v>5070.05</v>
      </c>
      <c r="EU172" s="231">
        <v>16335.68</v>
      </c>
      <c r="EV172" s="231">
        <v>664266681</v>
      </c>
      <c r="EW172" s="231">
        <v>34183.089999999997</v>
      </c>
      <c r="EX172" s="231">
        <v>32701.200000000001</v>
      </c>
      <c r="EY172" s="231">
        <v>1481.89</v>
      </c>
      <c r="EZ172" s="229">
        <v>4.53E-2</v>
      </c>
      <c r="FA172" s="229">
        <v>0.33510000000000001</v>
      </c>
      <c r="FB172" s="227" t="s">
        <v>567</v>
      </c>
      <c r="FC172">
        <f t="shared" si="3"/>
        <v>0</v>
      </c>
    </row>
    <row r="173" spans="1:159" ht="17.25" thickBot="1" x14ac:dyDescent="0.3">
      <c r="A173" s="226">
        <v>46029</v>
      </c>
      <c r="B173" s="227" t="s">
        <v>215</v>
      </c>
      <c r="C173" s="227" t="s">
        <v>675</v>
      </c>
      <c r="D173" s="228">
        <v>1525</v>
      </c>
      <c r="E173" s="228">
        <v>20</v>
      </c>
      <c r="F173" s="228">
        <v>357.65</v>
      </c>
      <c r="G173" s="228">
        <v>356.25</v>
      </c>
      <c r="H173" s="228">
        <v>1.4</v>
      </c>
      <c r="I173" s="229">
        <v>3.8999999999999998E-3</v>
      </c>
      <c r="J173" s="228">
        <v>357.4</v>
      </c>
      <c r="K173" s="228">
        <v>358.3</v>
      </c>
      <c r="L173" s="228">
        <v>-0.9</v>
      </c>
      <c r="M173" s="229">
        <v>-2.5000000000000001E-3</v>
      </c>
      <c r="N173" s="228">
        <v>357.65</v>
      </c>
      <c r="O173" s="228">
        <v>356.25</v>
      </c>
      <c r="P173" s="228">
        <v>1.4</v>
      </c>
      <c r="Q173" s="229">
        <v>3.8999999999999998E-3</v>
      </c>
      <c r="R173" s="228">
        <v>352.4</v>
      </c>
      <c r="S173" s="228">
        <v>350.3</v>
      </c>
      <c r="T173" s="228">
        <v>2.1</v>
      </c>
      <c r="U173" s="229">
        <v>6.0000000000000001E-3</v>
      </c>
      <c r="V173" s="228">
        <v>350.4</v>
      </c>
      <c r="W173" s="228">
        <v>347.4</v>
      </c>
      <c r="X173" s="228">
        <v>3</v>
      </c>
      <c r="Y173" s="229">
        <v>8.6E-3</v>
      </c>
      <c r="Z173" s="228">
        <v>0.25</v>
      </c>
      <c r="AA173" s="228">
        <v>-2.0499999999999998</v>
      </c>
      <c r="AB173" s="228">
        <v>2.2999999999999998</v>
      </c>
      <c r="AC173" s="229">
        <v>6.9999999999999999E-4</v>
      </c>
      <c r="AD173" s="228">
        <v>0.25</v>
      </c>
      <c r="AE173" s="228">
        <v>-2.0499999999999998</v>
      </c>
      <c r="AF173" s="228">
        <v>2.2999999999999998</v>
      </c>
      <c r="AG173" s="229">
        <v>6.9999999999999999E-4</v>
      </c>
      <c r="AH173" s="228">
        <v>-5</v>
      </c>
      <c r="AI173" s="228">
        <v>-8</v>
      </c>
      <c r="AJ173" s="228">
        <v>3</v>
      </c>
      <c r="AK173" s="229">
        <v>-1.4E-2</v>
      </c>
      <c r="AL173" s="228">
        <v>-7</v>
      </c>
      <c r="AM173" s="228">
        <v>-10.9</v>
      </c>
      <c r="AN173" s="228">
        <v>3.9</v>
      </c>
      <c r="AO173" s="229">
        <v>-1.9599999999999999E-2</v>
      </c>
      <c r="AP173" s="228">
        <v>358.26</v>
      </c>
      <c r="AQ173" s="228">
        <v>352.79</v>
      </c>
      <c r="AR173" s="228">
        <v>0</v>
      </c>
      <c r="AS173" s="228">
        <v>306</v>
      </c>
      <c r="AT173" s="228">
        <v>233</v>
      </c>
      <c r="AU173" s="228">
        <v>73</v>
      </c>
      <c r="AV173" s="229">
        <v>0.31369999999999998</v>
      </c>
      <c r="AW173" s="228">
        <v>231</v>
      </c>
      <c r="AX173" s="228">
        <v>194</v>
      </c>
      <c r="AY173" s="228">
        <v>37</v>
      </c>
      <c r="AZ173" s="229">
        <v>0.1928</v>
      </c>
      <c r="BA173" s="228">
        <v>72</v>
      </c>
      <c r="BB173" s="228">
        <v>35</v>
      </c>
      <c r="BC173" s="228">
        <v>37</v>
      </c>
      <c r="BD173" s="229">
        <v>1.0661</v>
      </c>
      <c r="BE173" s="228">
        <v>3</v>
      </c>
      <c r="BF173" s="228">
        <v>4</v>
      </c>
      <c r="BG173" s="228">
        <v>-1</v>
      </c>
      <c r="BH173" s="229">
        <v>-0.30769999999999997</v>
      </c>
      <c r="BI173" s="228">
        <v>834</v>
      </c>
      <c r="BJ173" s="230">
        <v>1053</v>
      </c>
      <c r="BK173" s="228">
        <v>-219</v>
      </c>
      <c r="BL173" s="229">
        <v>-0.20830000000000001</v>
      </c>
      <c r="BM173" s="228">
        <v>251</v>
      </c>
      <c r="BN173" s="228">
        <v>303</v>
      </c>
      <c r="BO173" s="228">
        <v>-52</v>
      </c>
      <c r="BP173" s="229">
        <v>-0.17130000000000001</v>
      </c>
      <c r="BQ173" s="230">
        <v>1391</v>
      </c>
      <c r="BR173" s="230">
        <v>1589</v>
      </c>
      <c r="BS173" s="228">
        <v>-198</v>
      </c>
      <c r="BT173" s="229">
        <v>-0.12479999999999999</v>
      </c>
      <c r="BU173" s="230">
        <v>8366544</v>
      </c>
      <c r="BV173" s="230">
        <v>5981059</v>
      </c>
      <c r="BW173" s="230">
        <v>2385485</v>
      </c>
      <c r="BX173" s="229">
        <v>0.39879999999999999</v>
      </c>
      <c r="BY173" s="230">
        <v>1646</v>
      </c>
      <c r="BZ173" s="230">
        <v>1581</v>
      </c>
      <c r="CA173" s="228">
        <v>66</v>
      </c>
      <c r="CB173" s="229">
        <v>4.1399999999999999E-2</v>
      </c>
      <c r="CC173" s="230">
        <v>1475</v>
      </c>
      <c r="CD173" s="230">
        <v>1451</v>
      </c>
      <c r="CE173" s="228">
        <v>24</v>
      </c>
      <c r="CF173" s="229">
        <v>1.6400000000000001E-2</v>
      </c>
      <c r="CG173" s="228">
        <v>158</v>
      </c>
      <c r="CH173" s="228">
        <v>117</v>
      </c>
      <c r="CI173" s="228">
        <v>40</v>
      </c>
      <c r="CJ173" s="229">
        <v>0.34320000000000001</v>
      </c>
      <c r="CK173" s="228">
        <v>14</v>
      </c>
      <c r="CL173" s="228">
        <v>12</v>
      </c>
      <c r="CM173" s="228">
        <v>1</v>
      </c>
      <c r="CN173" s="229">
        <v>0.1106</v>
      </c>
      <c r="CO173" s="230">
        <v>1627</v>
      </c>
      <c r="CP173" s="230">
        <v>1599</v>
      </c>
      <c r="CQ173" s="228">
        <v>27</v>
      </c>
      <c r="CR173" s="229">
        <v>1.7000000000000001E-2</v>
      </c>
      <c r="CS173" s="228">
        <v>581</v>
      </c>
      <c r="CT173" s="228">
        <v>567</v>
      </c>
      <c r="CU173" s="228">
        <v>14</v>
      </c>
      <c r="CV173" s="229">
        <v>2.4199999999999999E-2</v>
      </c>
      <c r="CW173" s="230">
        <v>3854</v>
      </c>
      <c r="CX173" s="230">
        <v>3747</v>
      </c>
      <c r="CY173" s="228">
        <v>106</v>
      </c>
      <c r="CZ173" s="229">
        <v>2.8400000000000002E-2</v>
      </c>
      <c r="DA173" s="228">
        <v>47.37</v>
      </c>
      <c r="DB173" s="228">
        <v>47.34</v>
      </c>
      <c r="DC173" s="228">
        <v>0.03</v>
      </c>
      <c r="DD173" s="228">
        <v>0.03</v>
      </c>
      <c r="DE173" s="228">
        <v>55.77</v>
      </c>
      <c r="DF173" s="228">
        <v>55.9</v>
      </c>
      <c r="DG173" s="228">
        <v>-8.4</v>
      </c>
      <c r="DH173" s="228">
        <v>-0.13</v>
      </c>
      <c r="DI173" s="228">
        <v>47.82</v>
      </c>
      <c r="DJ173" s="228">
        <v>47.79</v>
      </c>
      <c r="DK173" s="228">
        <v>0.03</v>
      </c>
      <c r="DL173" s="228">
        <v>0.03</v>
      </c>
      <c r="DM173" s="228">
        <v>45.86</v>
      </c>
      <c r="DN173" s="228">
        <v>45.76</v>
      </c>
      <c r="DO173" s="228">
        <v>0.1</v>
      </c>
      <c r="DP173" s="228">
        <v>0.1</v>
      </c>
      <c r="DQ173" s="228">
        <v>0.36</v>
      </c>
      <c r="DR173" s="228">
        <v>0.35</v>
      </c>
      <c r="DS173" s="228">
        <v>0.01</v>
      </c>
      <c r="DT173" s="229">
        <v>2.86E-2</v>
      </c>
      <c r="DU173" s="228">
        <v>400</v>
      </c>
      <c r="DV173" s="228">
        <v>340</v>
      </c>
      <c r="DW173" s="228">
        <v>0.3</v>
      </c>
      <c r="DX173" s="228">
        <v>0.28999999999999998</v>
      </c>
      <c r="DY173" s="228">
        <v>0.01</v>
      </c>
      <c r="DZ173" s="229">
        <v>3.4500000000000003E-2</v>
      </c>
      <c r="EA173" s="229">
        <v>0.1041</v>
      </c>
      <c r="EB173" s="230">
        <v>3627975</v>
      </c>
      <c r="EC173" s="229">
        <v>-1.47E-2</v>
      </c>
      <c r="ED173" s="229">
        <v>0.1041</v>
      </c>
      <c r="EE173" s="228">
        <v>-5.47</v>
      </c>
      <c r="EF173" s="229">
        <v>-1.5299999999999999E-2</v>
      </c>
      <c r="EG173" s="230">
        <v>2791379</v>
      </c>
      <c r="EH173" s="230">
        <v>1414720</v>
      </c>
      <c r="EI173" s="229">
        <v>0.97309999999999997</v>
      </c>
      <c r="EJ173" s="229">
        <v>0.33360000000000001</v>
      </c>
      <c r="EK173" s="228">
        <v>908.96</v>
      </c>
      <c r="EL173" s="228">
        <v>247.6</v>
      </c>
      <c r="EM173" s="228">
        <v>304.95999999999998</v>
      </c>
      <c r="EN173" s="228">
        <v>47.58</v>
      </c>
      <c r="EO173" s="231">
        <v>1461.52</v>
      </c>
      <c r="EP173" s="231">
        <v>1681.14</v>
      </c>
      <c r="EQ173" s="228">
        <v>-219.62</v>
      </c>
      <c r="ER173" s="229">
        <v>-0.13059999999999999</v>
      </c>
      <c r="ES173" s="231">
        <v>1764.55</v>
      </c>
      <c r="ET173" s="228">
        <v>550.24</v>
      </c>
      <c r="EU173" s="231">
        <v>1643.64</v>
      </c>
      <c r="EV173" s="231">
        <v>84941460</v>
      </c>
      <c r="EW173" s="231">
        <v>3958.43</v>
      </c>
      <c r="EX173" s="231">
        <v>3845.05</v>
      </c>
      <c r="EY173" s="228">
        <v>113.38</v>
      </c>
      <c r="EZ173" s="229">
        <v>2.9499999999999998E-2</v>
      </c>
      <c r="FA173" s="229">
        <v>1.2685</v>
      </c>
      <c r="FB173" s="227" t="s">
        <v>555</v>
      </c>
      <c r="FC173">
        <f t="shared" si="3"/>
        <v>0</v>
      </c>
    </row>
    <row r="174" spans="1:159" ht="17.25" thickBot="1" x14ac:dyDescent="0.3">
      <c r="A174" s="226">
        <v>46029</v>
      </c>
      <c r="B174" s="227" t="s">
        <v>227</v>
      </c>
      <c r="C174" s="227" t="s">
        <v>282</v>
      </c>
      <c r="D174" s="228">
        <v>4700</v>
      </c>
      <c r="E174" s="228">
        <v>20</v>
      </c>
      <c r="F174" s="228">
        <v>150.61000000000001</v>
      </c>
      <c r="G174" s="228">
        <v>147.87</v>
      </c>
      <c r="H174" s="228">
        <v>2.74</v>
      </c>
      <c r="I174" s="229">
        <v>1.8499999999999999E-2</v>
      </c>
      <c r="J174" s="228">
        <v>150.37</v>
      </c>
      <c r="K174" s="228">
        <v>146.44</v>
      </c>
      <c r="L174" s="228">
        <v>3.93</v>
      </c>
      <c r="M174" s="229">
        <v>2.6800000000000001E-2</v>
      </c>
      <c r="N174" s="228">
        <v>150.61000000000001</v>
      </c>
      <c r="O174" s="228">
        <v>147.87</v>
      </c>
      <c r="P174" s="228">
        <v>2.74</v>
      </c>
      <c r="Q174" s="229">
        <v>1.8499999999999999E-2</v>
      </c>
      <c r="R174" s="228">
        <v>149.04</v>
      </c>
      <c r="S174" s="228">
        <v>147.82</v>
      </c>
      <c r="T174" s="228">
        <v>1.22</v>
      </c>
      <c r="U174" s="229">
        <v>8.3000000000000001E-3</v>
      </c>
      <c r="V174" s="228">
        <v>149.66</v>
      </c>
      <c r="W174" s="228">
        <v>148.80000000000001</v>
      </c>
      <c r="X174" s="228">
        <v>0.86</v>
      </c>
      <c r="Y174" s="229">
        <v>5.7999999999999996E-3</v>
      </c>
      <c r="Z174" s="228">
        <v>0.24</v>
      </c>
      <c r="AA174" s="228">
        <v>1.43</v>
      </c>
      <c r="AB174" s="228">
        <v>-1.19</v>
      </c>
      <c r="AC174" s="229">
        <v>1.6000000000000001E-3</v>
      </c>
      <c r="AD174" s="228">
        <v>0.24</v>
      </c>
      <c r="AE174" s="228">
        <v>1.43</v>
      </c>
      <c r="AF174" s="228">
        <v>-1.19</v>
      </c>
      <c r="AG174" s="229">
        <v>1.6000000000000001E-3</v>
      </c>
      <c r="AH174" s="228">
        <v>-1.33</v>
      </c>
      <c r="AI174" s="228">
        <v>1.38</v>
      </c>
      <c r="AJ174" s="228">
        <v>-2.71</v>
      </c>
      <c r="AK174" s="229">
        <v>-8.8000000000000005E-3</v>
      </c>
      <c r="AL174" s="228">
        <v>-0.71</v>
      </c>
      <c r="AM174" s="228">
        <v>2.36</v>
      </c>
      <c r="AN174" s="228">
        <v>-3.07</v>
      </c>
      <c r="AO174" s="229">
        <v>-4.7000000000000002E-3</v>
      </c>
      <c r="AP174" s="228">
        <v>149.94999999999999</v>
      </c>
      <c r="AQ174" s="228">
        <v>148.47999999999999</v>
      </c>
      <c r="AR174" s="228">
        <v>0</v>
      </c>
      <c r="AS174" s="228">
        <v>30</v>
      </c>
      <c r="AT174" s="228">
        <v>41</v>
      </c>
      <c r="AU174" s="228">
        <v>-10</v>
      </c>
      <c r="AV174" s="229">
        <v>-0.25650000000000001</v>
      </c>
      <c r="AW174" s="228">
        <v>29</v>
      </c>
      <c r="AX174" s="228">
        <v>37</v>
      </c>
      <c r="AY174" s="228">
        <v>-8</v>
      </c>
      <c r="AZ174" s="229">
        <v>-0.21820000000000001</v>
      </c>
      <c r="BA174" s="228">
        <v>1</v>
      </c>
      <c r="BB174" s="228">
        <v>3</v>
      </c>
      <c r="BC174" s="228">
        <v>-2</v>
      </c>
      <c r="BD174" s="229">
        <v>-0.61899999999999999</v>
      </c>
      <c r="BE174" s="228">
        <v>0</v>
      </c>
      <c r="BF174" s="228">
        <v>1</v>
      </c>
      <c r="BG174" s="228">
        <v>0</v>
      </c>
      <c r="BH174" s="229">
        <v>-0.875</v>
      </c>
      <c r="BI174" s="228">
        <v>15</v>
      </c>
      <c r="BJ174" s="228">
        <v>35</v>
      </c>
      <c r="BK174" s="228">
        <v>-21</v>
      </c>
      <c r="BL174" s="229">
        <v>-0.58550000000000002</v>
      </c>
      <c r="BM174" s="228">
        <v>14</v>
      </c>
      <c r="BN174" s="228">
        <v>36</v>
      </c>
      <c r="BO174" s="228">
        <v>-22</v>
      </c>
      <c r="BP174" s="229">
        <v>-0.61570000000000003</v>
      </c>
      <c r="BQ174" s="228">
        <v>59</v>
      </c>
      <c r="BR174" s="228">
        <v>112</v>
      </c>
      <c r="BS174" s="228">
        <v>-53</v>
      </c>
      <c r="BT174" s="229">
        <v>-0.47539999999999999</v>
      </c>
      <c r="BU174" s="230">
        <v>17283462</v>
      </c>
      <c r="BV174" s="230">
        <v>29792602</v>
      </c>
      <c r="BW174" s="230">
        <v>-12509140</v>
      </c>
      <c r="BX174" s="229">
        <v>-0.4199</v>
      </c>
      <c r="BY174" s="230">
        <v>2943</v>
      </c>
      <c r="BZ174" s="230">
        <v>2964</v>
      </c>
      <c r="CA174" s="228">
        <v>-22</v>
      </c>
      <c r="CB174" s="229">
        <v>-7.4000000000000003E-3</v>
      </c>
      <c r="CC174" s="230">
        <v>2840</v>
      </c>
      <c r="CD174" s="230">
        <v>2861</v>
      </c>
      <c r="CE174" s="228">
        <v>-21</v>
      </c>
      <c r="CF174" s="229">
        <v>-7.3000000000000001E-3</v>
      </c>
      <c r="CG174" s="228">
        <v>92</v>
      </c>
      <c r="CH174" s="228">
        <v>93</v>
      </c>
      <c r="CI174" s="228">
        <v>-1</v>
      </c>
      <c r="CJ174" s="229">
        <v>-8.3999999999999995E-3</v>
      </c>
      <c r="CK174" s="228">
        <v>11</v>
      </c>
      <c r="CL174" s="228">
        <v>11</v>
      </c>
      <c r="CM174" s="228">
        <v>0</v>
      </c>
      <c r="CN174" s="229">
        <v>-6.7000000000000002E-3</v>
      </c>
      <c r="CO174" s="228">
        <v>715</v>
      </c>
      <c r="CP174" s="228">
        <v>721</v>
      </c>
      <c r="CQ174" s="228">
        <v>-6</v>
      </c>
      <c r="CR174" s="229">
        <v>-8.8999999999999999E-3</v>
      </c>
      <c r="CS174" s="228">
        <v>551</v>
      </c>
      <c r="CT174" s="228">
        <v>558</v>
      </c>
      <c r="CU174" s="228">
        <v>-7</v>
      </c>
      <c r="CV174" s="229">
        <v>-1.26E-2</v>
      </c>
      <c r="CW174" s="230">
        <v>4208</v>
      </c>
      <c r="CX174" s="230">
        <v>4244</v>
      </c>
      <c r="CY174" s="228">
        <v>-35</v>
      </c>
      <c r="CZ174" s="229">
        <v>-8.3000000000000001E-3</v>
      </c>
      <c r="DA174" s="228">
        <v>31.87</v>
      </c>
      <c r="DB174" s="228">
        <v>30.21</v>
      </c>
      <c r="DC174" s="228">
        <v>1.66</v>
      </c>
      <c r="DD174" s="228">
        <v>1.66</v>
      </c>
      <c r="DE174" s="228">
        <v>43.42</v>
      </c>
      <c r="DF174" s="228">
        <v>43.46</v>
      </c>
      <c r="DG174" s="228">
        <v>-11.55</v>
      </c>
      <c r="DH174" s="228">
        <v>-0.04</v>
      </c>
      <c r="DI174" s="228">
        <v>31.1</v>
      </c>
      <c r="DJ174" s="228">
        <v>30.35</v>
      </c>
      <c r="DK174" s="228">
        <v>0.75</v>
      </c>
      <c r="DL174" s="228">
        <v>0.75</v>
      </c>
      <c r="DM174" s="228">
        <v>32.68</v>
      </c>
      <c r="DN174" s="228">
        <v>30.06</v>
      </c>
      <c r="DO174" s="228">
        <v>2.62</v>
      </c>
      <c r="DP174" s="228">
        <v>2.62</v>
      </c>
      <c r="DQ174" s="228">
        <v>0.77</v>
      </c>
      <c r="DR174" s="228">
        <v>0.77</v>
      </c>
      <c r="DS174" s="228">
        <v>0</v>
      </c>
      <c r="DT174" s="229">
        <v>0</v>
      </c>
      <c r="DU174" s="228">
        <v>150</v>
      </c>
      <c r="DV174" s="228">
        <v>140</v>
      </c>
      <c r="DW174" s="228">
        <v>0.95</v>
      </c>
      <c r="DX174" s="228">
        <v>1.03</v>
      </c>
      <c r="DY174" s="228">
        <v>-0.08</v>
      </c>
      <c r="DZ174" s="229">
        <v>-7.7700000000000005E-2</v>
      </c>
      <c r="EA174" s="229">
        <v>3.4799999999999998E-2</v>
      </c>
      <c r="EB174" s="230">
        <v>6852600</v>
      </c>
      <c r="EC174" s="229">
        <v>-1.04E-2</v>
      </c>
      <c r="ED174" s="229">
        <v>3.4799999999999998E-2</v>
      </c>
      <c r="EE174" s="228">
        <v>-1.47</v>
      </c>
      <c r="EF174" s="229">
        <v>-9.7999999999999997E-3</v>
      </c>
      <c r="EG174" s="230">
        <v>6424254</v>
      </c>
      <c r="EH174" s="230">
        <v>13827603</v>
      </c>
      <c r="EI174" s="229">
        <v>-0.53539999999999999</v>
      </c>
      <c r="EJ174" s="229">
        <v>0.37169999999999997</v>
      </c>
      <c r="EK174" s="228">
        <v>14.98</v>
      </c>
      <c r="EL174" s="228">
        <v>12.56</v>
      </c>
      <c r="EM174" s="228">
        <v>30.22</v>
      </c>
      <c r="EN174" s="228">
        <v>66.09</v>
      </c>
      <c r="EO174" s="228">
        <v>57.76</v>
      </c>
      <c r="EP174" s="228">
        <v>109.8</v>
      </c>
      <c r="EQ174" s="228">
        <v>-52.03</v>
      </c>
      <c r="ER174" s="229">
        <v>-0.47389999999999999</v>
      </c>
      <c r="ES174" s="228">
        <v>704.66</v>
      </c>
      <c r="ET174" s="228">
        <v>495.1</v>
      </c>
      <c r="EU174" s="231">
        <v>2941.58</v>
      </c>
      <c r="EV174" s="231">
        <v>216861410</v>
      </c>
      <c r="EW174" s="231">
        <v>4141.34</v>
      </c>
      <c r="EX174" s="231">
        <v>4122.95</v>
      </c>
      <c r="EY174" s="228">
        <v>18.39</v>
      </c>
      <c r="EZ174" s="229">
        <v>4.4999999999999997E-3</v>
      </c>
      <c r="FA174" s="229">
        <v>1.2885</v>
      </c>
      <c r="FB174" s="227" t="s">
        <v>556</v>
      </c>
      <c r="FC174">
        <f t="shared" si="3"/>
        <v>0</v>
      </c>
    </row>
    <row r="175" spans="1:159" ht="17.25" thickBot="1" x14ac:dyDescent="0.3">
      <c r="A175" s="226">
        <v>46029</v>
      </c>
      <c r="B175" s="227" t="s">
        <v>175</v>
      </c>
      <c r="C175" s="227" t="s">
        <v>686</v>
      </c>
      <c r="D175" s="228">
        <v>4300</v>
      </c>
      <c r="E175" s="228">
        <v>20</v>
      </c>
      <c r="F175" s="228">
        <v>150.74</v>
      </c>
      <c r="G175" s="228">
        <v>150.51</v>
      </c>
      <c r="H175" s="228">
        <v>0.23</v>
      </c>
      <c r="I175" s="229">
        <v>1.5E-3</v>
      </c>
      <c r="J175" s="228">
        <v>149.94999999999999</v>
      </c>
      <c r="K175" s="228">
        <v>149.1</v>
      </c>
      <c r="L175" s="228">
        <v>0.85</v>
      </c>
      <c r="M175" s="229">
        <v>5.7000000000000002E-3</v>
      </c>
      <c r="N175" s="228">
        <v>150.74</v>
      </c>
      <c r="O175" s="228">
        <v>150.51</v>
      </c>
      <c r="P175" s="228">
        <v>0.23</v>
      </c>
      <c r="Q175" s="229">
        <v>1.5E-3</v>
      </c>
      <c r="R175" s="228">
        <v>151.27000000000001</v>
      </c>
      <c r="S175" s="228">
        <v>149.59</v>
      </c>
      <c r="T175" s="228">
        <v>1.68</v>
      </c>
      <c r="U175" s="229">
        <v>1.12E-2</v>
      </c>
      <c r="V175" s="228">
        <v>152.56</v>
      </c>
      <c r="W175" s="228">
        <v>152.84</v>
      </c>
      <c r="X175" s="228">
        <v>-0.28000000000000003</v>
      </c>
      <c r="Y175" s="229">
        <v>-1.8E-3</v>
      </c>
      <c r="Z175" s="228">
        <v>0.79</v>
      </c>
      <c r="AA175" s="228">
        <v>1.41</v>
      </c>
      <c r="AB175" s="228">
        <v>-0.62</v>
      </c>
      <c r="AC175" s="229">
        <v>5.3E-3</v>
      </c>
      <c r="AD175" s="228">
        <v>0.79</v>
      </c>
      <c r="AE175" s="228">
        <v>1.41</v>
      </c>
      <c r="AF175" s="228">
        <v>-0.62</v>
      </c>
      <c r="AG175" s="229">
        <v>5.3E-3</v>
      </c>
      <c r="AH175" s="228">
        <v>1.32</v>
      </c>
      <c r="AI175" s="228">
        <v>0.49</v>
      </c>
      <c r="AJ175" s="228">
        <v>0.83</v>
      </c>
      <c r="AK175" s="229">
        <v>8.8000000000000005E-3</v>
      </c>
      <c r="AL175" s="228">
        <v>2.61</v>
      </c>
      <c r="AM175" s="228">
        <v>3.74</v>
      </c>
      <c r="AN175" s="228">
        <v>-1.1299999999999999</v>
      </c>
      <c r="AO175" s="229">
        <v>1.7399999999999999E-2</v>
      </c>
      <c r="AP175" s="228">
        <v>150.24</v>
      </c>
      <c r="AQ175" s="228">
        <v>150.6</v>
      </c>
      <c r="AR175" s="228">
        <v>0</v>
      </c>
      <c r="AS175" s="228">
        <v>10</v>
      </c>
      <c r="AT175" s="228">
        <v>41</v>
      </c>
      <c r="AU175" s="228">
        <v>-30</v>
      </c>
      <c r="AV175" s="229">
        <v>-0.74680000000000002</v>
      </c>
      <c r="AW175" s="228">
        <v>10</v>
      </c>
      <c r="AX175" s="228">
        <v>39</v>
      </c>
      <c r="AY175" s="228">
        <v>-29</v>
      </c>
      <c r="AZ175" s="229">
        <v>-0.74709999999999999</v>
      </c>
      <c r="BA175" s="228">
        <v>0</v>
      </c>
      <c r="BB175" s="228">
        <v>2</v>
      </c>
      <c r="BC175" s="228">
        <v>-1</v>
      </c>
      <c r="BD175" s="229">
        <v>-0.74070000000000003</v>
      </c>
      <c r="BE175" s="228">
        <v>0</v>
      </c>
      <c r="BF175" s="228">
        <v>0</v>
      </c>
      <c r="BG175" s="228">
        <v>0</v>
      </c>
      <c r="BH175" s="229">
        <v>-0.75</v>
      </c>
      <c r="BI175" s="228">
        <v>5</v>
      </c>
      <c r="BJ175" s="228">
        <v>28</v>
      </c>
      <c r="BK175" s="228">
        <v>-23</v>
      </c>
      <c r="BL175" s="229">
        <v>-0.81379999999999997</v>
      </c>
      <c r="BM175" s="228">
        <v>3</v>
      </c>
      <c r="BN175" s="228">
        <v>12</v>
      </c>
      <c r="BO175" s="228">
        <v>-9</v>
      </c>
      <c r="BP175" s="229">
        <v>-0.7611</v>
      </c>
      <c r="BQ175" s="228">
        <v>18</v>
      </c>
      <c r="BR175" s="228">
        <v>81</v>
      </c>
      <c r="BS175" s="228">
        <v>-62</v>
      </c>
      <c r="BT175" s="229">
        <v>-0.77229999999999999</v>
      </c>
      <c r="BU175" s="230">
        <v>6524194</v>
      </c>
      <c r="BV175" s="230">
        <v>6811573</v>
      </c>
      <c r="BW175" s="230">
        <v>-287379</v>
      </c>
      <c r="BX175" s="229">
        <v>-4.2200000000000001E-2</v>
      </c>
      <c r="BY175" s="230">
        <v>1864</v>
      </c>
      <c r="BZ175" s="230">
        <v>1871</v>
      </c>
      <c r="CA175" s="228">
        <v>-7</v>
      </c>
      <c r="CB175" s="229">
        <v>-3.7000000000000002E-3</v>
      </c>
      <c r="CC175" s="230">
        <v>1754</v>
      </c>
      <c r="CD175" s="230">
        <v>1761</v>
      </c>
      <c r="CE175" s="228">
        <v>-7</v>
      </c>
      <c r="CF175" s="229">
        <v>-3.7000000000000002E-3</v>
      </c>
      <c r="CG175" s="228">
        <v>103</v>
      </c>
      <c r="CH175" s="228">
        <v>104</v>
      </c>
      <c r="CI175" s="228">
        <v>0</v>
      </c>
      <c r="CJ175" s="229">
        <v>-3.8E-3</v>
      </c>
      <c r="CK175" s="228">
        <v>6</v>
      </c>
      <c r="CL175" s="228">
        <v>6</v>
      </c>
      <c r="CM175" s="228">
        <v>0</v>
      </c>
      <c r="CN175" s="229">
        <v>0</v>
      </c>
      <c r="CO175" s="228">
        <v>492</v>
      </c>
      <c r="CP175" s="228">
        <v>497</v>
      </c>
      <c r="CQ175" s="228">
        <v>-4</v>
      </c>
      <c r="CR175" s="229">
        <v>-8.8999999999999999E-3</v>
      </c>
      <c r="CS175" s="228">
        <v>359</v>
      </c>
      <c r="CT175" s="228">
        <v>360</v>
      </c>
      <c r="CU175" s="228">
        <v>-1</v>
      </c>
      <c r="CV175" s="229">
        <v>-3.5999999999999999E-3</v>
      </c>
      <c r="CW175" s="230">
        <v>2715</v>
      </c>
      <c r="CX175" s="230">
        <v>2727</v>
      </c>
      <c r="CY175" s="228">
        <v>-13</v>
      </c>
      <c r="CZ175" s="229">
        <v>-4.5999999999999999E-3</v>
      </c>
      <c r="DA175" s="228">
        <v>36.07</v>
      </c>
      <c r="DB175" s="228">
        <v>39.22</v>
      </c>
      <c r="DC175" s="228">
        <v>-3.15</v>
      </c>
      <c r="DD175" s="228">
        <v>-3.15</v>
      </c>
      <c r="DE175" s="228">
        <v>56.15</v>
      </c>
      <c r="DF175" s="228">
        <v>56.28</v>
      </c>
      <c r="DG175" s="228">
        <v>-20.079999999999998</v>
      </c>
      <c r="DH175" s="228">
        <v>-0.13</v>
      </c>
      <c r="DI175" s="228">
        <v>34.869999999999997</v>
      </c>
      <c r="DJ175" s="228">
        <v>39.130000000000003</v>
      </c>
      <c r="DK175" s="228">
        <v>-4.26</v>
      </c>
      <c r="DL175" s="228">
        <v>-4.26</v>
      </c>
      <c r="DM175" s="228">
        <v>38.33</v>
      </c>
      <c r="DN175" s="228">
        <v>39.44</v>
      </c>
      <c r="DO175" s="228">
        <v>-1.1100000000000001</v>
      </c>
      <c r="DP175" s="228">
        <v>-1.1100000000000001</v>
      </c>
      <c r="DQ175" s="228">
        <v>0.73</v>
      </c>
      <c r="DR175" s="228">
        <v>0.72</v>
      </c>
      <c r="DS175" s="228">
        <v>0.01</v>
      </c>
      <c r="DT175" s="229">
        <v>1.3899999999999999E-2</v>
      </c>
      <c r="DU175" s="228">
        <v>160</v>
      </c>
      <c r="DV175" s="228">
        <v>140</v>
      </c>
      <c r="DW175" s="228">
        <v>0.53</v>
      </c>
      <c r="DX175" s="228">
        <v>0.41</v>
      </c>
      <c r="DY175" s="228">
        <v>0.12</v>
      </c>
      <c r="DZ175" s="229">
        <v>0.29270000000000002</v>
      </c>
      <c r="EA175" s="229">
        <v>5.8799999999999998E-2</v>
      </c>
      <c r="EB175" s="230">
        <v>7292800</v>
      </c>
      <c r="EC175" s="229">
        <v>3.5000000000000001E-3</v>
      </c>
      <c r="ED175" s="229">
        <v>5.8799999999999998E-2</v>
      </c>
      <c r="EE175" s="228">
        <v>0.36</v>
      </c>
      <c r="EF175" s="229">
        <v>2.3999999999999998E-3</v>
      </c>
      <c r="EG175" s="230">
        <v>2864647</v>
      </c>
      <c r="EH175" s="230">
        <v>2400785</v>
      </c>
      <c r="EI175" s="229">
        <v>0.19320000000000001</v>
      </c>
      <c r="EJ175" s="229">
        <v>0.43909999999999999</v>
      </c>
      <c r="EK175" s="228">
        <v>5.51</v>
      </c>
      <c r="EL175" s="228">
        <v>2.67</v>
      </c>
      <c r="EM175" s="228">
        <v>10.27</v>
      </c>
      <c r="EN175" s="228">
        <v>59.32</v>
      </c>
      <c r="EO175" s="228">
        <v>18.45</v>
      </c>
      <c r="EP175" s="228">
        <v>81.89</v>
      </c>
      <c r="EQ175" s="228">
        <v>-63.44</v>
      </c>
      <c r="ER175" s="229">
        <v>-0.77470000000000006</v>
      </c>
      <c r="ES175" s="228">
        <v>513.29</v>
      </c>
      <c r="ET175" s="228">
        <v>340.56</v>
      </c>
      <c r="EU175" s="231">
        <v>1864.29</v>
      </c>
      <c r="EV175" s="231">
        <v>122326971</v>
      </c>
      <c r="EW175" s="231">
        <v>2718.14</v>
      </c>
      <c r="EX175" s="231">
        <v>2726.98</v>
      </c>
      <c r="EY175" s="228">
        <v>-8.84</v>
      </c>
      <c r="EZ175" s="229">
        <v>-3.2000000000000002E-3</v>
      </c>
      <c r="FA175" s="229">
        <v>1.4722</v>
      </c>
      <c r="FB175" s="227" t="s">
        <v>556</v>
      </c>
      <c r="FC175">
        <f t="shared" si="3"/>
        <v>0</v>
      </c>
    </row>
    <row r="176" spans="1:159" ht="17.25" thickBot="1" x14ac:dyDescent="0.3">
      <c r="A176" s="226">
        <v>46029</v>
      </c>
      <c r="B176" s="227" t="s">
        <v>175</v>
      </c>
      <c r="C176" s="227" t="s">
        <v>536</v>
      </c>
      <c r="D176" s="228">
        <v>800</v>
      </c>
      <c r="E176" s="228">
        <v>20</v>
      </c>
      <c r="F176" s="228">
        <v>886.9</v>
      </c>
      <c r="G176" s="228">
        <v>902.55</v>
      </c>
      <c r="H176" s="228">
        <v>-15.65</v>
      </c>
      <c r="I176" s="229">
        <v>-1.7299999999999999E-2</v>
      </c>
      <c r="J176" s="228">
        <v>885.6</v>
      </c>
      <c r="K176" s="228">
        <v>901.55</v>
      </c>
      <c r="L176" s="228">
        <v>-15.95</v>
      </c>
      <c r="M176" s="229">
        <v>-1.77E-2</v>
      </c>
      <c r="N176" s="228">
        <v>886.9</v>
      </c>
      <c r="O176" s="228">
        <v>902.55</v>
      </c>
      <c r="P176" s="228">
        <v>-15.65</v>
      </c>
      <c r="Q176" s="229">
        <v>-1.7299999999999999E-2</v>
      </c>
      <c r="R176" s="228">
        <v>884.35</v>
      </c>
      <c r="S176" s="228">
        <v>896.25</v>
      </c>
      <c r="T176" s="228">
        <v>-11.9</v>
      </c>
      <c r="U176" s="229">
        <v>-1.3299999999999999E-2</v>
      </c>
      <c r="V176" s="228">
        <v>882.85</v>
      </c>
      <c r="W176" s="228">
        <v>898.6</v>
      </c>
      <c r="X176" s="228">
        <v>-15.75</v>
      </c>
      <c r="Y176" s="229">
        <v>-1.7500000000000002E-2</v>
      </c>
      <c r="Z176" s="228">
        <v>1.3</v>
      </c>
      <c r="AA176" s="228">
        <v>1</v>
      </c>
      <c r="AB176" s="228">
        <v>0.3</v>
      </c>
      <c r="AC176" s="229">
        <v>1.5E-3</v>
      </c>
      <c r="AD176" s="228">
        <v>1.3</v>
      </c>
      <c r="AE176" s="228">
        <v>1</v>
      </c>
      <c r="AF176" s="228">
        <v>0.3</v>
      </c>
      <c r="AG176" s="229">
        <v>1.5E-3</v>
      </c>
      <c r="AH176" s="228">
        <v>-1.25</v>
      </c>
      <c r="AI176" s="228">
        <v>-5.3</v>
      </c>
      <c r="AJ176" s="228">
        <v>4.05</v>
      </c>
      <c r="AK176" s="229">
        <v>-1.4E-3</v>
      </c>
      <c r="AL176" s="228">
        <v>-2.75</v>
      </c>
      <c r="AM176" s="228">
        <v>-2.95</v>
      </c>
      <c r="AN176" s="228">
        <v>0.2</v>
      </c>
      <c r="AO176" s="229">
        <v>-3.0999999999999999E-3</v>
      </c>
      <c r="AP176" s="228">
        <v>892.95</v>
      </c>
      <c r="AQ176" s="228">
        <v>889.69</v>
      </c>
      <c r="AR176" s="228">
        <v>0</v>
      </c>
      <c r="AS176" s="228">
        <v>239</v>
      </c>
      <c r="AT176" s="228">
        <v>547</v>
      </c>
      <c r="AU176" s="228">
        <v>-308</v>
      </c>
      <c r="AV176" s="229">
        <v>-0.56230000000000002</v>
      </c>
      <c r="AW176" s="228">
        <v>216</v>
      </c>
      <c r="AX176" s="228">
        <v>518</v>
      </c>
      <c r="AY176" s="228">
        <v>-302</v>
      </c>
      <c r="AZ176" s="229">
        <v>-0.58250000000000002</v>
      </c>
      <c r="BA176" s="228">
        <v>21</v>
      </c>
      <c r="BB176" s="228">
        <v>26</v>
      </c>
      <c r="BC176" s="228">
        <v>-5</v>
      </c>
      <c r="BD176" s="229">
        <v>-0.18129999999999999</v>
      </c>
      <c r="BE176" s="228">
        <v>2</v>
      </c>
      <c r="BF176" s="228">
        <v>3</v>
      </c>
      <c r="BG176" s="228">
        <v>-1</v>
      </c>
      <c r="BH176" s="229">
        <v>-0.38300000000000001</v>
      </c>
      <c r="BI176" s="228">
        <v>636</v>
      </c>
      <c r="BJ176" s="230">
        <v>1348</v>
      </c>
      <c r="BK176" s="228">
        <v>-712</v>
      </c>
      <c r="BL176" s="229">
        <v>-0.52829999999999999</v>
      </c>
      <c r="BM176" s="228">
        <v>308</v>
      </c>
      <c r="BN176" s="228">
        <v>533</v>
      </c>
      <c r="BO176" s="228">
        <v>-225</v>
      </c>
      <c r="BP176" s="229">
        <v>-0.42259999999999998</v>
      </c>
      <c r="BQ176" s="230">
        <v>1183</v>
      </c>
      <c r="BR176" s="230">
        <v>2428</v>
      </c>
      <c r="BS176" s="230">
        <v>-1245</v>
      </c>
      <c r="BT176" s="229">
        <v>-0.51280000000000003</v>
      </c>
      <c r="BU176" s="230">
        <v>888952</v>
      </c>
      <c r="BV176" s="230">
        <v>1772445</v>
      </c>
      <c r="BW176" s="230">
        <v>-883493</v>
      </c>
      <c r="BX176" s="229">
        <v>-0.4985</v>
      </c>
      <c r="BY176" s="230">
        <v>1512</v>
      </c>
      <c r="BZ176" s="230">
        <v>1464</v>
      </c>
      <c r="CA176" s="228">
        <v>48</v>
      </c>
      <c r="CB176" s="229">
        <v>3.2800000000000003E-2</v>
      </c>
      <c r="CC176" s="230">
        <v>1453</v>
      </c>
      <c r="CD176" s="230">
        <v>1409</v>
      </c>
      <c r="CE176" s="228">
        <v>44</v>
      </c>
      <c r="CF176" s="229">
        <v>3.1300000000000001E-2</v>
      </c>
      <c r="CG176" s="228">
        <v>51</v>
      </c>
      <c r="CH176" s="228">
        <v>48</v>
      </c>
      <c r="CI176" s="228">
        <v>3</v>
      </c>
      <c r="CJ176" s="229">
        <v>5.7700000000000001E-2</v>
      </c>
      <c r="CK176" s="228">
        <v>8</v>
      </c>
      <c r="CL176" s="228">
        <v>7</v>
      </c>
      <c r="CM176" s="228">
        <v>1</v>
      </c>
      <c r="CN176" s="229">
        <v>0.16</v>
      </c>
      <c r="CO176" s="228">
        <v>477</v>
      </c>
      <c r="CP176" s="228">
        <v>415</v>
      </c>
      <c r="CQ176" s="228">
        <v>61</v>
      </c>
      <c r="CR176" s="229">
        <v>0.1477</v>
      </c>
      <c r="CS176" s="228">
        <v>346</v>
      </c>
      <c r="CT176" s="228">
        <v>328</v>
      </c>
      <c r="CU176" s="228">
        <v>18</v>
      </c>
      <c r="CV176" s="229">
        <v>5.4399999999999997E-2</v>
      </c>
      <c r="CW176" s="230">
        <v>2335</v>
      </c>
      <c r="CX176" s="230">
        <v>2208</v>
      </c>
      <c r="CY176" s="228">
        <v>127</v>
      </c>
      <c r="CZ176" s="229">
        <v>5.7700000000000001E-2</v>
      </c>
      <c r="DA176" s="228">
        <v>28.51</v>
      </c>
      <c r="DB176" s="228">
        <v>28.11</v>
      </c>
      <c r="DC176" s="228">
        <v>0.4</v>
      </c>
      <c r="DD176" s="228">
        <v>0.4</v>
      </c>
      <c r="DE176" s="228">
        <v>29.37</v>
      </c>
      <c r="DF176" s="228">
        <v>29.34</v>
      </c>
      <c r="DG176" s="228">
        <v>-0.86</v>
      </c>
      <c r="DH176" s="228">
        <v>0.03</v>
      </c>
      <c r="DI176" s="228">
        <v>28.65</v>
      </c>
      <c r="DJ176" s="228">
        <v>27.96</v>
      </c>
      <c r="DK176" s="228">
        <v>0.69</v>
      </c>
      <c r="DL176" s="228">
        <v>0.69</v>
      </c>
      <c r="DM176" s="228">
        <v>28.21</v>
      </c>
      <c r="DN176" s="228">
        <v>28.48</v>
      </c>
      <c r="DO176" s="228">
        <v>-0.27</v>
      </c>
      <c r="DP176" s="228">
        <v>-0.27</v>
      </c>
      <c r="DQ176" s="228">
        <v>0.73</v>
      </c>
      <c r="DR176" s="228">
        <v>0.79</v>
      </c>
      <c r="DS176" s="228">
        <v>-0.06</v>
      </c>
      <c r="DT176" s="229">
        <v>-7.5899999999999995E-2</v>
      </c>
      <c r="DU176" s="228">
        <v>900</v>
      </c>
      <c r="DV176" s="228">
        <v>800</v>
      </c>
      <c r="DW176" s="228">
        <v>0.48</v>
      </c>
      <c r="DX176" s="228">
        <v>0.4</v>
      </c>
      <c r="DY176" s="228">
        <v>0.08</v>
      </c>
      <c r="DZ176" s="229">
        <v>0.2</v>
      </c>
      <c r="EA176" s="229">
        <v>3.9E-2</v>
      </c>
      <c r="EB176" s="230">
        <v>620800</v>
      </c>
      <c r="EC176" s="229">
        <v>-2.8999999999999998E-3</v>
      </c>
      <c r="ED176" s="229">
        <v>3.9E-2</v>
      </c>
      <c r="EE176" s="228">
        <v>-3.26</v>
      </c>
      <c r="EF176" s="229">
        <v>-3.7000000000000002E-3</v>
      </c>
      <c r="EG176" s="230">
        <v>270327</v>
      </c>
      <c r="EH176" s="230">
        <v>747413</v>
      </c>
      <c r="EI176" s="229">
        <v>-0.63829999999999998</v>
      </c>
      <c r="EJ176" s="229">
        <v>0.30409999999999998</v>
      </c>
      <c r="EK176" s="228">
        <v>675.01</v>
      </c>
      <c r="EL176" s="228">
        <v>297.16000000000003</v>
      </c>
      <c r="EM176" s="228">
        <v>240.93</v>
      </c>
      <c r="EN176" s="228">
        <v>42.35</v>
      </c>
      <c r="EO176" s="231">
        <v>1213.1099999999999</v>
      </c>
      <c r="EP176" s="231">
        <v>2488.46</v>
      </c>
      <c r="EQ176" s="231">
        <v>-1275.3499999999999</v>
      </c>
      <c r="ER176" s="229">
        <v>-0.51249999999999996</v>
      </c>
      <c r="ES176" s="228">
        <v>501.11</v>
      </c>
      <c r="ET176" s="228">
        <v>323.3</v>
      </c>
      <c r="EU176" s="231">
        <v>1511.52</v>
      </c>
      <c r="EV176" s="231">
        <v>44836888</v>
      </c>
      <c r="EW176" s="231">
        <v>2335.9299999999998</v>
      </c>
      <c r="EX176" s="231">
        <v>2231.6799999999998</v>
      </c>
      <c r="EY176" s="228">
        <v>104.25</v>
      </c>
      <c r="EZ176" s="229">
        <v>4.6699999999999998E-2</v>
      </c>
      <c r="FA176" s="229">
        <v>0.58709999999999996</v>
      </c>
      <c r="FB176" s="227" t="s">
        <v>567</v>
      </c>
      <c r="FC176">
        <f t="shared" si="3"/>
        <v>0</v>
      </c>
    </row>
    <row r="177" spans="1:159" ht="17.25" thickBot="1" x14ac:dyDescent="0.3">
      <c r="A177" s="226">
        <v>46029</v>
      </c>
      <c r="B177" s="227" t="s">
        <v>175</v>
      </c>
      <c r="C177" s="227" t="s">
        <v>462</v>
      </c>
      <c r="D177" s="228">
        <v>375</v>
      </c>
      <c r="E177" s="228">
        <v>20</v>
      </c>
      <c r="F177" s="231">
        <v>2079.1999999999998</v>
      </c>
      <c r="G177" s="231">
        <v>2101.1</v>
      </c>
      <c r="H177" s="228">
        <v>-21.9</v>
      </c>
      <c r="I177" s="229">
        <v>-1.04E-2</v>
      </c>
      <c r="J177" s="231">
        <v>2070.8000000000002</v>
      </c>
      <c r="K177" s="231">
        <v>2095.8000000000002</v>
      </c>
      <c r="L177" s="228">
        <v>-25</v>
      </c>
      <c r="M177" s="229">
        <v>-1.1900000000000001E-2</v>
      </c>
      <c r="N177" s="231">
        <v>2079.1999999999998</v>
      </c>
      <c r="O177" s="231">
        <v>2101.1</v>
      </c>
      <c r="P177" s="228">
        <v>-21.9</v>
      </c>
      <c r="Q177" s="229">
        <v>-1.04E-2</v>
      </c>
      <c r="R177" s="231">
        <v>2089.1999999999998</v>
      </c>
      <c r="S177" s="231">
        <v>2111.5</v>
      </c>
      <c r="T177" s="228">
        <v>-22.3</v>
      </c>
      <c r="U177" s="229">
        <v>-1.06E-2</v>
      </c>
      <c r="V177" s="231">
        <v>2105.1</v>
      </c>
      <c r="W177" s="231">
        <v>2122</v>
      </c>
      <c r="X177" s="228">
        <v>-16.899999999999999</v>
      </c>
      <c r="Y177" s="229">
        <v>-8.0000000000000002E-3</v>
      </c>
      <c r="Z177" s="228">
        <v>8.4</v>
      </c>
      <c r="AA177" s="228">
        <v>5.3</v>
      </c>
      <c r="AB177" s="228">
        <v>3.1</v>
      </c>
      <c r="AC177" s="229">
        <v>4.1000000000000003E-3</v>
      </c>
      <c r="AD177" s="228">
        <v>8.4</v>
      </c>
      <c r="AE177" s="228">
        <v>5.3</v>
      </c>
      <c r="AF177" s="228">
        <v>3.1</v>
      </c>
      <c r="AG177" s="229">
        <v>4.1000000000000003E-3</v>
      </c>
      <c r="AH177" s="228">
        <v>18.399999999999999</v>
      </c>
      <c r="AI177" s="228">
        <v>15.7</v>
      </c>
      <c r="AJ177" s="228">
        <v>2.7</v>
      </c>
      <c r="AK177" s="229">
        <v>8.8999999999999999E-3</v>
      </c>
      <c r="AL177" s="228">
        <v>34.299999999999997</v>
      </c>
      <c r="AM177" s="228">
        <v>26.2</v>
      </c>
      <c r="AN177" s="228">
        <v>8.1</v>
      </c>
      <c r="AO177" s="229">
        <v>1.66E-2</v>
      </c>
      <c r="AP177" s="231">
        <v>2095.4499999999998</v>
      </c>
      <c r="AQ177" s="231">
        <v>2106.23</v>
      </c>
      <c r="AR177" s="228">
        <v>0</v>
      </c>
      <c r="AS177" s="228">
        <v>328</v>
      </c>
      <c r="AT177" s="228">
        <v>211</v>
      </c>
      <c r="AU177" s="228">
        <v>117</v>
      </c>
      <c r="AV177" s="229">
        <v>0.55700000000000005</v>
      </c>
      <c r="AW177" s="228">
        <v>320</v>
      </c>
      <c r="AX177" s="228">
        <v>202</v>
      </c>
      <c r="AY177" s="228">
        <v>117</v>
      </c>
      <c r="AZ177" s="229">
        <v>0.5806</v>
      </c>
      <c r="BA177" s="228">
        <v>8</v>
      </c>
      <c r="BB177" s="228">
        <v>7</v>
      </c>
      <c r="BC177" s="228">
        <v>0</v>
      </c>
      <c r="BD177" s="229">
        <v>5.4300000000000001E-2</v>
      </c>
      <c r="BE177" s="228">
        <v>1</v>
      </c>
      <c r="BF177" s="228">
        <v>1</v>
      </c>
      <c r="BG177" s="228">
        <v>-1</v>
      </c>
      <c r="BH177" s="229">
        <v>-0.5</v>
      </c>
      <c r="BI177" s="230">
        <v>1232</v>
      </c>
      <c r="BJ177" s="230">
        <v>1042</v>
      </c>
      <c r="BK177" s="228">
        <v>190</v>
      </c>
      <c r="BL177" s="229">
        <v>0.18229999999999999</v>
      </c>
      <c r="BM177" s="228">
        <v>455</v>
      </c>
      <c r="BN177" s="228">
        <v>374</v>
      </c>
      <c r="BO177" s="228">
        <v>82</v>
      </c>
      <c r="BP177" s="229">
        <v>0.2185</v>
      </c>
      <c r="BQ177" s="230">
        <v>2015</v>
      </c>
      <c r="BR177" s="230">
        <v>1626</v>
      </c>
      <c r="BS177" s="228">
        <v>389</v>
      </c>
      <c r="BT177" s="229">
        <v>0.23910000000000001</v>
      </c>
      <c r="BU177" s="230">
        <v>1674889</v>
      </c>
      <c r="BV177" s="230">
        <v>750738</v>
      </c>
      <c r="BW177" s="230">
        <v>924151</v>
      </c>
      <c r="BX177" s="229">
        <v>1.2310000000000001</v>
      </c>
      <c r="BY177" s="230">
        <v>1890</v>
      </c>
      <c r="BZ177" s="230">
        <v>1802</v>
      </c>
      <c r="CA177" s="228">
        <v>88</v>
      </c>
      <c r="CB177" s="229">
        <v>4.8899999999999999E-2</v>
      </c>
      <c r="CC177" s="230">
        <v>1858</v>
      </c>
      <c r="CD177" s="230">
        <v>1771</v>
      </c>
      <c r="CE177" s="228">
        <v>87</v>
      </c>
      <c r="CF177" s="229">
        <v>4.9099999999999998E-2</v>
      </c>
      <c r="CG177" s="228">
        <v>29</v>
      </c>
      <c r="CH177" s="228">
        <v>28</v>
      </c>
      <c r="CI177" s="228">
        <v>1</v>
      </c>
      <c r="CJ177" s="229">
        <v>3.3000000000000002E-2</v>
      </c>
      <c r="CK177" s="228">
        <v>3</v>
      </c>
      <c r="CL177" s="228">
        <v>3</v>
      </c>
      <c r="CM177" s="228">
        <v>0</v>
      </c>
      <c r="CN177" s="229">
        <v>5.4100000000000002E-2</v>
      </c>
      <c r="CO177" s="230">
        <v>1272</v>
      </c>
      <c r="CP177" s="228">
        <v>968</v>
      </c>
      <c r="CQ177" s="228">
        <v>304</v>
      </c>
      <c r="CR177" s="229">
        <v>0.31419999999999998</v>
      </c>
      <c r="CS177" s="228">
        <v>465</v>
      </c>
      <c r="CT177" s="228">
        <v>443</v>
      </c>
      <c r="CU177" s="228">
        <v>22</v>
      </c>
      <c r="CV177" s="229">
        <v>4.9599999999999998E-2</v>
      </c>
      <c r="CW177" s="230">
        <v>3627</v>
      </c>
      <c r="CX177" s="230">
        <v>3213</v>
      </c>
      <c r="CY177" s="228">
        <v>414</v>
      </c>
      <c r="CZ177" s="229">
        <v>0.12889999999999999</v>
      </c>
      <c r="DA177" s="228">
        <v>17.32</v>
      </c>
      <c r="DB177" s="228">
        <v>17.3</v>
      </c>
      <c r="DC177" s="228">
        <v>0.02</v>
      </c>
      <c r="DD177" s="228">
        <v>0.02</v>
      </c>
      <c r="DE177" s="228">
        <v>23.9</v>
      </c>
      <c r="DF177" s="228">
        <v>23.91</v>
      </c>
      <c r="DG177" s="228">
        <v>-6.58</v>
      </c>
      <c r="DH177" s="228">
        <v>-0.01</v>
      </c>
      <c r="DI177" s="228">
        <v>17.05</v>
      </c>
      <c r="DJ177" s="228">
        <v>16.77</v>
      </c>
      <c r="DK177" s="228">
        <v>0.28000000000000003</v>
      </c>
      <c r="DL177" s="228">
        <v>0.28000000000000003</v>
      </c>
      <c r="DM177" s="228">
        <v>18.04</v>
      </c>
      <c r="DN177" s="228">
        <v>18.78</v>
      </c>
      <c r="DO177" s="228">
        <v>-0.74</v>
      </c>
      <c r="DP177" s="228">
        <v>-0.74</v>
      </c>
      <c r="DQ177" s="228">
        <v>0.37</v>
      </c>
      <c r="DR177" s="228">
        <v>0.46</v>
      </c>
      <c r="DS177" s="228">
        <v>-0.09</v>
      </c>
      <c r="DT177" s="229">
        <v>-0.19570000000000001</v>
      </c>
      <c r="DU177" s="231">
        <v>2140</v>
      </c>
      <c r="DV177" s="231">
        <v>2100</v>
      </c>
      <c r="DW177" s="228">
        <v>0.37</v>
      </c>
      <c r="DX177" s="228">
        <v>0.36</v>
      </c>
      <c r="DY177" s="228">
        <v>0.01</v>
      </c>
      <c r="DZ177" s="229">
        <v>2.7799999999999998E-2</v>
      </c>
      <c r="EA177" s="229">
        <v>1.7100000000000001E-2</v>
      </c>
      <c r="EB177" s="230">
        <v>150375</v>
      </c>
      <c r="EC177" s="229">
        <v>4.7999999999999996E-3</v>
      </c>
      <c r="ED177" s="229">
        <v>1.7100000000000001E-2</v>
      </c>
      <c r="EE177" s="228">
        <v>10.78</v>
      </c>
      <c r="EF177" s="229">
        <v>5.1000000000000004E-3</v>
      </c>
      <c r="EG177" s="230">
        <v>1354120</v>
      </c>
      <c r="EH177" s="230">
        <v>524073</v>
      </c>
      <c r="EI177" s="229">
        <v>1.5838000000000001</v>
      </c>
      <c r="EJ177" s="229">
        <v>0.8085</v>
      </c>
      <c r="EK177" s="231">
        <v>1280.48</v>
      </c>
      <c r="EL177" s="228">
        <v>455.61</v>
      </c>
      <c r="EM177" s="228">
        <v>330.39</v>
      </c>
      <c r="EN177" s="228">
        <v>22.77</v>
      </c>
      <c r="EO177" s="231">
        <v>2066.4699999999998</v>
      </c>
      <c r="EP177" s="231">
        <v>1670.3</v>
      </c>
      <c r="EQ177" s="228">
        <v>396.18</v>
      </c>
      <c r="ER177" s="229">
        <v>0.23719999999999999</v>
      </c>
      <c r="ES177" s="231">
        <v>1307.1099999999999</v>
      </c>
      <c r="ET177" s="228">
        <v>449.54</v>
      </c>
      <c r="EU177" s="231">
        <v>1890.17</v>
      </c>
      <c r="EV177" s="231">
        <v>44756800</v>
      </c>
      <c r="EW177" s="231">
        <v>3646.82</v>
      </c>
      <c r="EX177" s="231">
        <v>3242.31</v>
      </c>
      <c r="EY177" s="228">
        <v>404.51</v>
      </c>
      <c r="EZ177" s="229">
        <v>0.12479999999999999</v>
      </c>
      <c r="FA177" s="229">
        <v>0.38969999999999999</v>
      </c>
      <c r="FB177" s="227" t="s">
        <v>567</v>
      </c>
      <c r="FC177">
        <f t="shared" si="3"/>
        <v>0</v>
      </c>
    </row>
    <row r="178" spans="1:159" ht="17.25" thickBot="1" x14ac:dyDescent="0.3">
      <c r="A178" s="226">
        <v>46029</v>
      </c>
      <c r="B178" s="227" t="s">
        <v>172</v>
      </c>
      <c r="C178" s="227" t="s">
        <v>283</v>
      </c>
      <c r="D178" s="228">
        <v>750</v>
      </c>
      <c r="E178" s="228">
        <v>20</v>
      </c>
      <c r="F178" s="231">
        <v>1009.25</v>
      </c>
      <c r="G178" s="231">
        <v>1021.2</v>
      </c>
      <c r="H178" s="228">
        <v>-11.95</v>
      </c>
      <c r="I178" s="229">
        <v>-1.17E-2</v>
      </c>
      <c r="J178" s="231">
        <v>1007.15</v>
      </c>
      <c r="K178" s="231">
        <v>1018.9</v>
      </c>
      <c r="L178" s="228">
        <v>-11.75</v>
      </c>
      <c r="M178" s="229">
        <v>-1.15E-2</v>
      </c>
      <c r="N178" s="231">
        <v>1009.25</v>
      </c>
      <c r="O178" s="231">
        <v>1021.2</v>
      </c>
      <c r="P178" s="228">
        <v>-11.95</v>
      </c>
      <c r="Q178" s="229">
        <v>-1.17E-2</v>
      </c>
      <c r="R178" s="231">
        <v>1015.1</v>
      </c>
      <c r="S178" s="231">
        <v>1026.9000000000001</v>
      </c>
      <c r="T178" s="228">
        <v>-11.8</v>
      </c>
      <c r="U178" s="229">
        <v>-1.15E-2</v>
      </c>
      <c r="V178" s="231">
        <v>1021.4</v>
      </c>
      <c r="W178" s="231">
        <v>1033.1500000000001</v>
      </c>
      <c r="X178" s="228">
        <v>-11.75</v>
      </c>
      <c r="Y178" s="229">
        <v>-1.14E-2</v>
      </c>
      <c r="Z178" s="228">
        <v>2.1</v>
      </c>
      <c r="AA178" s="228">
        <v>2.2999999999999998</v>
      </c>
      <c r="AB178" s="228">
        <v>-0.2</v>
      </c>
      <c r="AC178" s="229">
        <v>2.0999999999999999E-3</v>
      </c>
      <c r="AD178" s="228">
        <v>2.1</v>
      </c>
      <c r="AE178" s="228">
        <v>2.2999999999999998</v>
      </c>
      <c r="AF178" s="228">
        <v>-0.2</v>
      </c>
      <c r="AG178" s="229">
        <v>2.0999999999999999E-3</v>
      </c>
      <c r="AH178" s="228">
        <v>7.95</v>
      </c>
      <c r="AI178" s="228">
        <v>8</v>
      </c>
      <c r="AJ178" s="228">
        <v>-0.05</v>
      </c>
      <c r="AK178" s="229">
        <v>7.9000000000000008E-3</v>
      </c>
      <c r="AL178" s="228">
        <v>14.25</v>
      </c>
      <c r="AM178" s="228">
        <v>14.25</v>
      </c>
      <c r="AN178" s="228">
        <v>0</v>
      </c>
      <c r="AO178" s="229">
        <v>1.41E-2</v>
      </c>
      <c r="AP178" s="231">
        <v>1011.96</v>
      </c>
      <c r="AQ178" s="231">
        <v>1018.04</v>
      </c>
      <c r="AR178" s="228">
        <v>0</v>
      </c>
      <c r="AS178" s="230">
        <v>1439</v>
      </c>
      <c r="AT178" s="230">
        <v>1539</v>
      </c>
      <c r="AU178" s="228">
        <v>-100</v>
      </c>
      <c r="AV178" s="229">
        <v>-6.4899999999999999E-2</v>
      </c>
      <c r="AW178" s="230">
        <v>1365</v>
      </c>
      <c r="AX178" s="230">
        <v>1429</v>
      </c>
      <c r="AY178" s="228">
        <v>-63</v>
      </c>
      <c r="AZ178" s="229">
        <v>-4.4400000000000002E-2</v>
      </c>
      <c r="BA178" s="228">
        <v>64</v>
      </c>
      <c r="BB178" s="228">
        <v>95</v>
      </c>
      <c r="BC178" s="228">
        <v>-31</v>
      </c>
      <c r="BD178" s="229">
        <v>-0.32290000000000002</v>
      </c>
      <c r="BE178" s="228">
        <v>10</v>
      </c>
      <c r="BF178" s="228">
        <v>16</v>
      </c>
      <c r="BG178" s="228">
        <v>-6</v>
      </c>
      <c r="BH178" s="229">
        <v>-0.3649</v>
      </c>
      <c r="BI178" s="230">
        <v>6564</v>
      </c>
      <c r="BJ178" s="230">
        <v>9840</v>
      </c>
      <c r="BK178" s="230">
        <v>-3276</v>
      </c>
      <c r="BL178" s="229">
        <v>-0.33300000000000002</v>
      </c>
      <c r="BM178" s="230">
        <v>5070</v>
      </c>
      <c r="BN178" s="230">
        <v>5757</v>
      </c>
      <c r="BO178" s="228">
        <v>-687</v>
      </c>
      <c r="BP178" s="229">
        <v>-0.1193</v>
      </c>
      <c r="BQ178" s="230">
        <v>13074</v>
      </c>
      <c r="BR178" s="230">
        <v>17137</v>
      </c>
      <c r="BS178" s="230">
        <v>-4063</v>
      </c>
      <c r="BT178" s="229">
        <v>-0.23710000000000001</v>
      </c>
      <c r="BU178" s="230">
        <v>8419411</v>
      </c>
      <c r="BV178" s="230">
        <v>10271764</v>
      </c>
      <c r="BW178" s="230">
        <v>-1852353</v>
      </c>
      <c r="BX178" s="229">
        <v>-0.18029999999999999</v>
      </c>
      <c r="BY178" s="230">
        <v>7545</v>
      </c>
      <c r="BZ178" s="230">
        <v>7817</v>
      </c>
      <c r="CA178" s="228">
        <v>-272</v>
      </c>
      <c r="CB178" s="229">
        <v>-3.4799999999999998E-2</v>
      </c>
      <c r="CC178" s="230">
        <v>7340</v>
      </c>
      <c r="CD178" s="230">
        <v>7622</v>
      </c>
      <c r="CE178" s="228">
        <v>-282</v>
      </c>
      <c r="CF178" s="229">
        <v>-3.6999999999999998E-2</v>
      </c>
      <c r="CG178" s="228">
        <v>181</v>
      </c>
      <c r="CH178" s="228">
        <v>175</v>
      </c>
      <c r="CI178" s="228">
        <v>7</v>
      </c>
      <c r="CJ178" s="229">
        <v>3.73E-2</v>
      </c>
      <c r="CK178" s="228">
        <v>24</v>
      </c>
      <c r="CL178" s="228">
        <v>21</v>
      </c>
      <c r="CM178" s="228">
        <v>3</v>
      </c>
      <c r="CN178" s="229">
        <v>0.1444</v>
      </c>
      <c r="CO178" s="230">
        <v>3898</v>
      </c>
      <c r="CP178" s="230">
        <v>3635</v>
      </c>
      <c r="CQ178" s="228">
        <v>264</v>
      </c>
      <c r="CR178" s="229">
        <v>7.2599999999999998E-2</v>
      </c>
      <c r="CS178" s="230">
        <v>2679</v>
      </c>
      <c r="CT178" s="230">
        <v>3143</v>
      </c>
      <c r="CU178" s="228">
        <v>-464</v>
      </c>
      <c r="CV178" s="229">
        <v>-0.14760000000000001</v>
      </c>
      <c r="CW178" s="230">
        <v>14122</v>
      </c>
      <c r="CX178" s="230">
        <v>14594</v>
      </c>
      <c r="CY178" s="228">
        <v>-472</v>
      </c>
      <c r="CZ178" s="229">
        <v>-3.2399999999999998E-2</v>
      </c>
      <c r="DA178" s="228">
        <v>16.54</v>
      </c>
      <c r="DB178" s="228">
        <v>16.670000000000002</v>
      </c>
      <c r="DC178" s="228">
        <v>-0.13</v>
      </c>
      <c r="DD178" s="228">
        <v>-0.13</v>
      </c>
      <c r="DE178" s="228">
        <v>24.26</v>
      </c>
      <c r="DF178" s="228">
        <v>24.27</v>
      </c>
      <c r="DG178" s="228">
        <v>-7.72</v>
      </c>
      <c r="DH178" s="228">
        <v>-0.01</v>
      </c>
      <c r="DI178" s="228">
        <v>16.45</v>
      </c>
      <c r="DJ178" s="228">
        <v>16.23</v>
      </c>
      <c r="DK178" s="228">
        <v>0.22</v>
      </c>
      <c r="DL178" s="228">
        <v>0.22</v>
      </c>
      <c r="DM178" s="228">
        <v>16.66</v>
      </c>
      <c r="DN178" s="228">
        <v>17.420000000000002</v>
      </c>
      <c r="DO178" s="228">
        <v>-0.76</v>
      </c>
      <c r="DP178" s="228">
        <v>-0.76</v>
      </c>
      <c r="DQ178" s="228">
        <v>0.69</v>
      </c>
      <c r="DR178" s="228">
        <v>0.86</v>
      </c>
      <c r="DS178" s="228">
        <v>-0.17</v>
      </c>
      <c r="DT178" s="229">
        <v>-0.19769999999999999</v>
      </c>
      <c r="DU178" s="231">
        <v>1050</v>
      </c>
      <c r="DV178" s="228">
        <v>980</v>
      </c>
      <c r="DW178" s="228">
        <v>0.77</v>
      </c>
      <c r="DX178" s="228">
        <v>0.59</v>
      </c>
      <c r="DY178" s="228">
        <v>0.18</v>
      </c>
      <c r="DZ178" s="229">
        <v>0.30509999999999998</v>
      </c>
      <c r="EA178" s="229">
        <v>2.7199999999999998E-2</v>
      </c>
      <c r="EB178" s="230">
        <v>1938750</v>
      </c>
      <c r="EC178" s="229">
        <v>5.7999999999999996E-3</v>
      </c>
      <c r="ED178" s="229">
        <v>2.7199999999999998E-2</v>
      </c>
      <c r="EE178" s="228">
        <v>6.08</v>
      </c>
      <c r="EF178" s="229">
        <v>6.0000000000000001E-3</v>
      </c>
      <c r="EG178" s="230">
        <v>5215139</v>
      </c>
      <c r="EH178" s="230">
        <v>6191106</v>
      </c>
      <c r="EI178" s="229">
        <v>-0.15759999999999999</v>
      </c>
      <c r="EJ178" s="229">
        <v>0.61939999999999995</v>
      </c>
      <c r="EK178" s="231">
        <v>6774.07</v>
      </c>
      <c r="EL178" s="231">
        <v>5062.92</v>
      </c>
      <c r="EM178" s="231">
        <v>1443.85</v>
      </c>
      <c r="EN178" s="228">
        <v>178.47</v>
      </c>
      <c r="EO178" s="231">
        <v>13280.85</v>
      </c>
      <c r="EP178" s="231">
        <v>17533.95</v>
      </c>
      <c r="EQ178" s="231">
        <v>-4253.1000000000004</v>
      </c>
      <c r="ER178" s="229">
        <v>-0.24260000000000001</v>
      </c>
      <c r="ES178" s="231">
        <v>3968.92</v>
      </c>
      <c r="ET178" s="231">
        <v>2573.4</v>
      </c>
      <c r="EU178" s="231">
        <v>7546.19</v>
      </c>
      <c r="EV178" s="231">
        <v>436949195</v>
      </c>
      <c r="EW178" s="231">
        <v>14088.51</v>
      </c>
      <c r="EX178" s="231">
        <v>14639.92</v>
      </c>
      <c r="EY178" s="228">
        <v>-551.41</v>
      </c>
      <c r="EZ178" s="229">
        <v>-3.7699999999999997E-2</v>
      </c>
      <c r="FA178" s="229">
        <v>0.32019999999999998</v>
      </c>
      <c r="FB178" s="227" t="s">
        <v>568</v>
      </c>
      <c r="FC178">
        <f t="shared" si="3"/>
        <v>0</v>
      </c>
    </row>
    <row r="179" spans="1:159" ht="17.25" thickBot="1" x14ac:dyDescent="0.3">
      <c r="A179" s="226">
        <v>46029</v>
      </c>
      <c r="B179" s="227" t="s">
        <v>157</v>
      </c>
      <c r="C179" s="227" t="s">
        <v>284</v>
      </c>
      <c r="D179" s="228">
        <v>25</v>
      </c>
      <c r="E179" s="228">
        <v>20</v>
      </c>
      <c r="F179" s="231">
        <v>27455</v>
      </c>
      <c r="G179" s="231">
        <v>27695</v>
      </c>
      <c r="H179" s="228">
        <v>-240</v>
      </c>
      <c r="I179" s="229">
        <v>-8.6999999999999994E-3</v>
      </c>
      <c r="J179" s="231">
        <v>27320</v>
      </c>
      <c r="K179" s="231">
        <v>27670</v>
      </c>
      <c r="L179" s="228">
        <v>-350</v>
      </c>
      <c r="M179" s="229">
        <v>-1.26E-2</v>
      </c>
      <c r="N179" s="231">
        <v>27455</v>
      </c>
      <c r="O179" s="231">
        <v>27695</v>
      </c>
      <c r="P179" s="228">
        <v>-240</v>
      </c>
      <c r="Q179" s="229">
        <v>-8.6999999999999994E-3</v>
      </c>
      <c r="R179" s="231">
        <v>27475</v>
      </c>
      <c r="S179" s="231">
        <v>27765</v>
      </c>
      <c r="T179" s="228">
        <v>-290</v>
      </c>
      <c r="U179" s="229">
        <v>-1.04E-2</v>
      </c>
      <c r="V179" s="231">
        <v>27590</v>
      </c>
      <c r="W179" s="231">
        <v>28100</v>
      </c>
      <c r="X179" s="228">
        <v>-510</v>
      </c>
      <c r="Y179" s="229">
        <v>-1.8100000000000002E-2</v>
      </c>
      <c r="Z179" s="228">
        <v>135</v>
      </c>
      <c r="AA179" s="228">
        <v>25</v>
      </c>
      <c r="AB179" s="228">
        <v>110</v>
      </c>
      <c r="AC179" s="229">
        <v>4.8999999999999998E-3</v>
      </c>
      <c r="AD179" s="228">
        <v>135</v>
      </c>
      <c r="AE179" s="228">
        <v>25</v>
      </c>
      <c r="AF179" s="228">
        <v>110</v>
      </c>
      <c r="AG179" s="229">
        <v>4.8999999999999998E-3</v>
      </c>
      <c r="AH179" s="228">
        <v>155</v>
      </c>
      <c r="AI179" s="228">
        <v>95</v>
      </c>
      <c r="AJ179" s="228">
        <v>60</v>
      </c>
      <c r="AK179" s="229">
        <v>5.7000000000000002E-3</v>
      </c>
      <c r="AL179" s="228">
        <v>270</v>
      </c>
      <c r="AM179" s="228">
        <v>430</v>
      </c>
      <c r="AN179" s="228">
        <v>-160</v>
      </c>
      <c r="AO179" s="229">
        <v>9.9000000000000008E-3</v>
      </c>
      <c r="AP179" s="231">
        <v>27422.880000000001</v>
      </c>
      <c r="AQ179" s="231">
        <v>27471.43</v>
      </c>
      <c r="AR179" s="228">
        <v>0</v>
      </c>
      <c r="AS179" s="228">
        <v>91</v>
      </c>
      <c r="AT179" s="228">
        <v>258</v>
      </c>
      <c r="AU179" s="228">
        <v>-166</v>
      </c>
      <c r="AV179" s="229">
        <v>-0.64629999999999999</v>
      </c>
      <c r="AW179" s="228">
        <v>89</v>
      </c>
      <c r="AX179" s="228">
        <v>253</v>
      </c>
      <c r="AY179" s="228">
        <v>-164</v>
      </c>
      <c r="AZ179" s="229">
        <v>-0.64829999999999999</v>
      </c>
      <c r="BA179" s="228">
        <v>2</v>
      </c>
      <c r="BB179" s="228">
        <v>4</v>
      </c>
      <c r="BC179" s="228">
        <v>-2</v>
      </c>
      <c r="BD179" s="229">
        <v>-0.54100000000000004</v>
      </c>
      <c r="BE179" s="228">
        <v>0</v>
      </c>
      <c r="BF179" s="228">
        <v>0</v>
      </c>
      <c r="BG179" s="228">
        <v>0</v>
      </c>
      <c r="BH179" s="229">
        <v>-0.33329999999999999</v>
      </c>
      <c r="BI179" s="228">
        <v>134</v>
      </c>
      <c r="BJ179" s="228">
        <v>607</v>
      </c>
      <c r="BK179" s="228">
        <v>-473</v>
      </c>
      <c r="BL179" s="229">
        <v>-0.77959999999999996</v>
      </c>
      <c r="BM179" s="228">
        <v>102</v>
      </c>
      <c r="BN179" s="228">
        <v>258</v>
      </c>
      <c r="BO179" s="228">
        <v>-156</v>
      </c>
      <c r="BP179" s="229">
        <v>-0.60399999999999998</v>
      </c>
      <c r="BQ179" s="228">
        <v>327</v>
      </c>
      <c r="BR179" s="230">
        <v>1123</v>
      </c>
      <c r="BS179" s="228">
        <v>-796</v>
      </c>
      <c r="BT179" s="229">
        <v>-0.7087</v>
      </c>
      <c r="BU179" s="230">
        <v>23144</v>
      </c>
      <c r="BV179" s="230">
        <v>55114</v>
      </c>
      <c r="BW179" s="230">
        <v>-31970</v>
      </c>
      <c r="BX179" s="229">
        <v>-0.58009999999999995</v>
      </c>
      <c r="BY179" s="228">
        <v>745</v>
      </c>
      <c r="BZ179" s="228">
        <v>750</v>
      </c>
      <c r="CA179" s="228">
        <v>-5</v>
      </c>
      <c r="CB179" s="229">
        <v>-6.4000000000000003E-3</v>
      </c>
      <c r="CC179" s="228">
        <v>735</v>
      </c>
      <c r="CD179" s="228">
        <v>740</v>
      </c>
      <c r="CE179" s="228">
        <v>-5</v>
      </c>
      <c r="CF179" s="229">
        <v>-6.8999999999999999E-3</v>
      </c>
      <c r="CG179" s="228">
        <v>9</v>
      </c>
      <c r="CH179" s="228">
        <v>9</v>
      </c>
      <c r="CI179" s="228">
        <v>0</v>
      </c>
      <c r="CJ179" s="229">
        <v>1.4800000000000001E-2</v>
      </c>
      <c r="CK179" s="228">
        <v>1</v>
      </c>
      <c r="CL179" s="228">
        <v>0</v>
      </c>
      <c r="CM179" s="228">
        <v>0</v>
      </c>
      <c r="CN179" s="229">
        <v>0.28570000000000001</v>
      </c>
      <c r="CO179" s="228">
        <v>201</v>
      </c>
      <c r="CP179" s="228">
        <v>192</v>
      </c>
      <c r="CQ179" s="228">
        <v>9</v>
      </c>
      <c r="CR179" s="229">
        <v>4.9000000000000002E-2</v>
      </c>
      <c r="CS179" s="228">
        <v>138</v>
      </c>
      <c r="CT179" s="228">
        <v>135</v>
      </c>
      <c r="CU179" s="228">
        <v>3</v>
      </c>
      <c r="CV179" s="229">
        <v>1.9300000000000001E-2</v>
      </c>
      <c r="CW179" s="230">
        <v>1084</v>
      </c>
      <c r="CX179" s="230">
        <v>1077</v>
      </c>
      <c r="CY179" s="228">
        <v>7</v>
      </c>
      <c r="CZ179" s="229">
        <v>6.7000000000000002E-3</v>
      </c>
      <c r="DA179" s="228">
        <v>20.64</v>
      </c>
      <c r="DB179" s="228">
        <v>20.81</v>
      </c>
      <c r="DC179" s="228">
        <v>-0.17</v>
      </c>
      <c r="DD179" s="228">
        <v>-0.17</v>
      </c>
      <c r="DE179" s="228">
        <v>24.34</v>
      </c>
      <c r="DF179" s="228">
        <v>24.37</v>
      </c>
      <c r="DG179" s="228">
        <v>-3.7</v>
      </c>
      <c r="DH179" s="228">
        <v>-0.03</v>
      </c>
      <c r="DI179" s="228">
        <v>20.99</v>
      </c>
      <c r="DJ179" s="228">
        <v>20.84</v>
      </c>
      <c r="DK179" s="228">
        <v>0.15</v>
      </c>
      <c r="DL179" s="228">
        <v>0.15</v>
      </c>
      <c r="DM179" s="228">
        <v>20.18</v>
      </c>
      <c r="DN179" s="228">
        <v>20.74</v>
      </c>
      <c r="DO179" s="228">
        <v>-0.56000000000000005</v>
      </c>
      <c r="DP179" s="228">
        <v>-0.56000000000000005</v>
      </c>
      <c r="DQ179" s="228">
        <v>0.69</v>
      </c>
      <c r="DR179" s="228">
        <v>0.71</v>
      </c>
      <c r="DS179" s="228">
        <v>-0.02</v>
      </c>
      <c r="DT179" s="229">
        <v>-2.8199999999999999E-2</v>
      </c>
      <c r="DU179" s="231">
        <v>30000</v>
      </c>
      <c r="DV179" s="231">
        <v>26000</v>
      </c>
      <c r="DW179" s="228">
        <v>0.77</v>
      </c>
      <c r="DX179" s="228">
        <v>0.43</v>
      </c>
      <c r="DY179" s="228">
        <v>0.34</v>
      </c>
      <c r="DZ179" s="229">
        <v>0.79069999999999996</v>
      </c>
      <c r="EA179" s="229">
        <v>1.34E-2</v>
      </c>
      <c r="EB179" s="230">
        <v>3550</v>
      </c>
      <c r="EC179" s="229">
        <v>6.9999999999999999E-4</v>
      </c>
      <c r="ED179" s="229">
        <v>1.34E-2</v>
      </c>
      <c r="EE179" s="228">
        <v>48.55</v>
      </c>
      <c r="EF179" s="229">
        <v>1.8E-3</v>
      </c>
      <c r="EG179" s="230">
        <v>13185</v>
      </c>
      <c r="EH179" s="230">
        <v>37634</v>
      </c>
      <c r="EI179" s="229">
        <v>-0.64970000000000006</v>
      </c>
      <c r="EJ179" s="229">
        <v>0.56969999999999998</v>
      </c>
      <c r="EK179" s="228">
        <v>141.15</v>
      </c>
      <c r="EL179" s="228">
        <v>100.56</v>
      </c>
      <c r="EM179" s="228">
        <v>90.98</v>
      </c>
      <c r="EN179" s="228">
        <v>22.55</v>
      </c>
      <c r="EO179" s="228">
        <v>332.69</v>
      </c>
      <c r="EP179" s="231">
        <v>1163.46</v>
      </c>
      <c r="EQ179" s="228">
        <v>-830.77</v>
      </c>
      <c r="ER179" s="229">
        <v>-0.71409999999999996</v>
      </c>
      <c r="ES179" s="228">
        <v>210.17</v>
      </c>
      <c r="ET179" s="228">
        <v>132.11000000000001</v>
      </c>
      <c r="EU179" s="228">
        <v>745.21</v>
      </c>
      <c r="EV179" s="231">
        <v>1568093</v>
      </c>
      <c r="EW179" s="231">
        <v>1087.48</v>
      </c>
      <c r="EX179" s="231">
        <v>1086.81</v>
      </c>
      <c r="EY179" s="228">
        <v>0.67</v>
      </c>
      <c r="EZ179" s="229">
        <v>5.9999999999999995E-4</v>
      </c>
      <c r="FA179" s="229">
        <v>0.25190000000000001</v>
      </c>
      <c r="FB179" s="227" t="s">
        <v>568</v>
      </c>
      <c r="FC179">
        <f t="shared" si="3"/>
        <v>0</v>
      </c>
    </row>
    <row r="180" spans="1:159" ht="17.25" thickBot="1" x14ac:dyDescent="0.3">
      <c r="A180" s="226">
        <v>46029</v>
      </c>
      <c r="B180" s="227" t="s">
        <v>175</v>
      </c>
      <c r="C180" s="227" t="s">
        <v>562</v>
      </c>
      <c r="D180" s="228">
        <v>825</v>
      </c>
      <c r="E180" s="228">
        <v>20</v>
      </c>
      <c r="F180" s="231">
        <v>1000.8</v>
      </c>
      <c r="G180" s="231">
        <v>1007</v>
      </c>
      <c r="H180" s="228">
        <v>-6.2</v>
      </c>
      <c r="I180" s="229">
        <v>-6.1999999999999998E-3</v>
      </c>
      <c r="J180" s="228">
        <v>995.85</v>
      </c>
      <c r="K180" s="231">
        <v>1002.65</v>
      </c>
      <c r="L180" s="228">
        <v>-6.8</v>
      </c>
      <c r="M180" s="229">
        <v>-6.7999999999999996E-3</v>
      </c>
      <c r="N180" s="231">
        <v>1000.8</v>
      </c>
      <c r="O180" s="231">
        <v>1007</v>
      </c>
      <c r="P180" s="228">
        <v>-6.2</v>
      </c>
      <c r="Q180" s="229">
        <v>-6.1999999999999998E-3</v>
      </c>
      <c r="R180" s="231">
        <v>1003.9</v>
      </c>
      <c r="S180" s="231">
        <v>1010.4</v>
      </c>
      <c r="T180" s="228">
        <v>-6.5</v>
      </c>
      <c r="U180" s="229">
        <v>-6.4000000000000003E-3</v>
      </c>
      <c r="V180" s="231">
        <v>1011</v>
      </c>
      <c r="W180" s="231">
        <v>1016.7</v>
      </c>
      <c r="X180" s="228">
        <v>-5.7</v>
      </c>
      <c r="Y180" s="229">
        <v>-5.5999999999999999E-3</v>
      </c>
      <c r="Z180" s="228">
        <v>4.95</v>
      </c>
      <c r="AA180" s="228">
        <v>4.3499999999999996</v>
      </c>
      <c r="AB180" s="228">
        <v>0.6</v>
      </c>
      <c r="AC180" s="229">
        <v>5.0000000000000001E-3</v>
      </c>
      <c r="AD180" s="228">
        <v>4.95</v>
      </c>
      <c r="AE180" s="228">
        <v>4.3499999999999996</v>
      </c>
      <c r="AF180" s="228">
        <v>0.6</v>
      </c>
      <c r="AG180" s="229">
        <v>5.0000000000000001E-3</v>
      </c>
      <c r="AH180" s="228">
        <v>8.0500000000000007</v>
      </c>
      <c r="AI180" s="228">
        <v>7.75</v>
      </c>
      <c r="AJ180" s="228">
        <v>0.3</v>
      </c>
      <c r="AK180" s="229">
        <v>8.0999999999999996E-3</v>
      </c>
      <c r="AL180" s="228">
        <v>15.15</v>
      </c>
      <c r="AM180" s="228">
        <v>14.05</v>
      </c>
      <c r="AN180" s="228">
        <v>1.1000000000000001</v>
      </c>
      <c r="AO180" s="229">
        <v>1.52E-2</v>
      </c>
      <c r="AP180" s="231">
        <v>1001.28</v>
      </c>
      <c r="AQ180" s="231">
        <v>1004.16</v>
      </c>
      <c r="AR180" s="228">
        <v>0</v>
      </c>
      <c r="AS180" s="228">
        <v>427</v>
      </c>
      <c r="AT180" s="228">
        <v>568</v>
      </c>
      <c r="AU180" s="228">
        <v>-140</v>
      </c>
      <c r="AV180" s="229">
        <v>-0.2472</v>
      </c>
      <c r="AW180" s="228">
        <v>409</v>
      </c>
      <c r="AX180" s="228">
        <v>521</v>
      </c>
      <c r="AY180" s="228">
        <v>-113</v>
      </c>
      <c r="AZ180" s="229">
        <v>-0.2162</v>
      </c>
      <c r="BA180" s="228">
        <v>17</v>
      </c>
      <c r="BB180" s="228">
        <v>38</v>
      </c>
      <c r="BC180" s="228">
        <v>-21</v>
      </c>
      <c r="BD180" s="229">
        <v>-0.56089999999999995</v>
      </c>
      <c r="BE180" s="228">
        <v>2</v>
      </c>
      <c r="BF180" s="228">
        <v>8</v>
      </c>
      <c r="BG180" s="228">
        <v>-6</v>
      </c>
      <c r="BH180" s="229">
        <v>-0.76770000000000005</v>
      </c>
      <c r="BI180" s="228">
        <v>994</v>
      </c>
      <c r="BJ180" s="230">
        <v>1211</v>
      </c>
      <c r="BK180" s="228">
        <v>-217</v>
      </c>
      <c r="BL180" s="229">
        <v>-0.17910000000000001</v>
      </c>
      <c r="BM180" s="228">
        <v>603</v>
      </c>
      <c r="BN180" s="228">
        <v>744</v>
      </c>
      <c r="BO180" s="228">
        <v>-141</v>
      </c>
      <c r="BP180" s="229">
        <v>-0.1898</v>
      </c>
      <c r="BQ180" s="230">
        <v>2024</v>
      </c>
      <c r="BR180" s="230">
        <v>2522</v>
      </c>
      <c r="BS180" s="228">
        <v>-498</v>
      </c>
      <c r="BT180" s="229">
        <v>-0.1976</v>
      </c>
      <c r="BU180" s="230">
        <v>4280688</v>
      </c>
      <c r="BV180" s="230">
        <v>4431587</v>
      </c>
      <c r="BW180" s="230">
        <v>-150899</v>
      </c>
      <c r="BX180" s="229">
        <v>-3.4099999999999998E-2</v>
      </c>
      <c r="BY180" s="230">
        <v>4778</v>
      </c>
      <c r="BZ180" s="230">
        <v>4738</v>
      </c>
      <c r="CA180" s="228">
        <v>40</v>
      </c>
      <c r="CB180" s="229">
        <v>8.5000000000000006E-3</v>
      </c>
      <c r="CC180" s="230">
        <v>4467</v>
      </c>
      <c r="CD180" s="230">
        <v>4432</v>
      </c>
      <c r="CE180" s="228">
        <v>35</v>
      </c>
      <c r="CF180" s="229">
        <v>7.7999999999999996E-3</v>
      </c>
      <c r="CG180" s="228">
        <v>291</v>
      </c>
      <c r="CH180" s="228">
        <v>286</v>
      </c>
      <c r="CI180" s="228">
        <v>6</v>
      </c>
      <c r="CJ180" s="229">
        <v>1.9599999999999999E-2</v>
      </c>
      <c r="CK180" s="228">
        <v>20</v>
      </c>
      <c r="CL180" s="228">
        <v>20</v>
      </c>
      <c r="CM180" s="228">
        <v>0</v>
      </c>
      <c r="CN180" s="229">
        <v>1.66E-2</v>
      </c>
      <c r="CO180" s="230">
        <v>1400</v>
      </c>
      <c r="CP180" s="230">
        <v>1415</v>
      </c>
      <c r="CQ180" s="228">
        <v>-15</v>
      </c>
      <c r="CR180" s="229">
        <v>-1.06E-2</v>
      </c>
      <c r="CS180" s="230">
        <v>1233</v>
      </c>
      <c r="CT180" s="230">
        <v>1260</v>
      </c>
      <c r="CU180" s="228">
        <v>-27</v>
      </c>
      <c r="CV180" s="229">
        <v>-2.1299999999999999E-2</v>
      </c>
      <c r="CW180" s="230">
        <v>7411</v>
      </c>
      <c r="CX180" s="230">
        <v>7412</v>
      </c>
      <c r="CY180" s="228">
        <v>-1</v>
      </c>
      <c r="CZ180" s="229">
        <v>-2.0000000000000001E-4</v>
      </c>
      <c r="DA180" s="228">
        <v>29.48</v>
      </c>
      <c r="DB180" s="228">
        <v>29.64</v>
      </c>
      <c r="DC180" s="228">
        <v>-0.16</v>
      </c>
      <c r="DD180" s="228">
        <v>-0.16</v>
      </c>
      <c r="DE180" s="228">
        <v>39</v>
      </c>
      <c r="DF180" s="228">
        <v>39.090000000000003</v>
      </c>
      <c r="DG180" s="228">
        <v>-9.52</v>
      </c>
      <c r="DH180" s="228">
        <v>-0.09</v>
      </c>
      <c r="DI180" s="228">
        <v>29.42</v>
      </c>
      <c r="DJ180" s="228">
        <v>29.27</v>
      </c>
      <c r="DK180" s="228">
        <v>0.15</v>
      </c>
      <c r="DL180" s="228">
        <v>0.15</v>
      </c>
      <c r="DM180" s="228">
        <v>29.58</v>
      </c>
      <c r="DN180" s="228">
        <v>30.24</v>
      </c>
      <c r="DO180" s="228">
        <v>-0.66</v>
      </c>
      <c r="DP180" s="228">
        <v>-0.66</v>
      </c>
      <c r="DQ180" s="228">
        <v>0.88</v>
      </c>
      <c r="DR180" s="228">
        <v>0.89</v>
      </c>
      <c r="DS180" s="228">
        <v>-0.01</v>
      </c>
      <c r="DT180" s="229">
        <v>-1.12E-2</v>
      </c>
      <c r="DU180" s="231">
        <v>1000</v>
      </c>
      <c r="DV180" s="228">
        <v>900</v>
      </c>
      <c r="DW180" s="228">
        <v>0.61</v>
      </c>
      <c r="DX180" s="228">
        <v>0.61</v>
      </c>
      <c r="DY180" s="228">
        <v>0</v>
      </c>
      <c r="DZ180" s="229">
        <v>0</v>
      </c>
      <c r="EA180" s="229">
        <v>6.5199999999999994E-2</v>
      </c>
      <c r="EB180" s="230">
        <v>3054975</v>
      </c>
      <c r="EC180" s="229">
        <v>3.0999999999999999E-3</v>
      </c>
      <c r="ED180" s="229">
        <v>6.5199999999999994E-2</v>
      </c>
      <c r="EE180" s="228">
        <v>2.88</v>
      </c>
      <c r="EF180" s="229">
        <v>2.8999999999999998E-3</v>
      </c>
      <c r="EG180" s="230">
        <v>2975713</v>
      </c>
      <c r="EH180" s="230">
        <v>2721428</v>
      </c>
      <c r="EI180" s="229">
        <v>9.3399999999999997E-2</v>
      </c>
      <c r="EJ180" s="229">
        <v>0.69510000000000005</v>
      </c>
      <c r="EK180" s="231">
        <v>1043.53</v>
      </c>
      <c r="EL180" s="228">
        <v>595.54</v>
      </c>
      <c r="EM180" s="228">
        <v>427.55</v>
      </c>
      <c r="EN180" s="228">
        <v>88.03</v>
      </c>
      <c r="EO180" s="231">
        <v>2066.62</v>
      </c>
      <c r="EP180" s="231">
        <v>2577.64</v>
      </c>
      <c r="EQ180" s="228">
        <v>-511.02</v>
      </c>
      <c r="ER180" s="229">
        <v>-0.1983</v>
      </c>
      <c r="ES180" s="231">
        <v>1422.47</v>
      </c>
      <c r="ET180" s="231">
        <v>1149.6199999999999</v>
      </c>
      <c r="EU180" s="231">
        <v>4779.45</v>
      </c>
      <c r="EV180" s="231">
        <v>210513975</v>
      </c>
      <c r="EW180" s="231">
        <v>7351.54</v>
      </c>
      <c r="EX180" s="231">
        <v>7380.51</v>
      </c>
      <c r="EY180" s="228">
        <v>-28.97</v>
      </c>
      <c r="EZ180" s="229">
        <v>-3.8999999999999998E-3</v>
      </c>
      <c r="FA180" s="229">
        <v>0.3518</v>
      </c>
      <c r="FB180" s="227" t="s">
        <v>567</v>
      </c>
      <c r="FC180">
        <f t="shared" si="3"/>
        <v>0</v>
      </c>
    </row>
    <row r="181" spans="1:159" ht="17.25" thickBot="1" x14ac:dyDescent="0.3">
      <c r="A181" s="226">
        <v>46029</v>
      </c>
      <c r="B181" s="227" t="s">
        <v>184</v>
      </c>
      <c r="C181" s="227" t="s">
        <v>285</v>
      </c>
      <c r="D181" s="228">
        <v>175</v>
      </c>
      <c r="E181" s="228">
        <v>20</v>
      </c>
      <c r="F181" s="231">
        <v>3137.9</v>
      </c>
      <c r="G181" s="231">
        <v>3134.5</v>
      </c>
      <c r="H181" s="228">
        <v>3.4</v>
      </c>
      <c r="I181" s="229">
        <v>1.1000000000000001E-3</v>
      </c>
      <c r="J181" s="231">
        <v>3133.6</v>
      </c>
      <c r="K181" s="231">
        <v>3128.1</v>
      </c>
      <c r="L181" s="228">
        <v>5.5</v>
      </c>
      <c r="M181" s="229">
        <v>1.8E-3</v>
      </c>
      <c r="N181" s="231">
        <v>3137.9</v>
      </c>
      <c r="O181" s="231">
        <v>3134.5</v>
      </c>
      <c r="P181" s="228">
        <v>3.4</v>
      </c>
      <c r="Q181" s="229">
        <v>1.1000000000000001E-3</v>
      </c>
      <c r="R181" s="231">
        <v>3149.5</v>
      </c>
      <c r="S181" s="231">
        <v>3147.1</v>
      </c>
      <c r="T181" s="228">
        <v>2.4</v>
      </c>
      <c r="U181" s="229">
        <v>8.0000000000000004E-4</v>
      </c>
      <c r="V181" s="231">
        <v>3140</v>
      </c>
      <c r="W181" s="231">
        <v>3161.1</v>
      </c>
      <c r="X181" s="228">
        <v>-21.1</v>
      </c>
      <c r="Y181" s="229">
        <v>-6.7000000000000002E-3</v>
      </c>
      <c r="Z181" s="228">
        <v>4.3</v>
      </c>
      <c r="AA181" s="228">
        <v>6.4</v>
      </c>
      <c r="AB181" s="228">
        <v>-2.1</v>
      </c>
      <c r="AC181" s="229">
        <v>1.4E-3</v>
      </c>
      <c r="AD181" s="228">
        <v>4.3</v>
      </c>
      <c r="AE181" s="228">
        <v>6.4</v>
      </c>
      <c r="AF181" s="228">
        <v>-2.1</v>
      </c>
      <c r="AG181" s="229">
        <v>1.4E-3</v>
      </c>
      <c r="AH181" s="228">
        <v>15.9</v>
      </c>
      <c r="AI181" s="228">
        <v>19</v>
      </c>
      <c r="AJ181" s="228">
        <v>-3.1</v>
      </c>
      <c r="AK181" s="229">
        <v>5.1000000000000004E-3</v>
      </c>
      <c r="AL181" s="228">
        <v>6.4</v>
      </c>
      <c r="AM181" s="228">
        <v>33</v>
      </c>
      <c r="AN181" s="228">
        <v>-26.6</v>
      </c>
      <c r="AO181" s="229">
        <v>2E-3</v>
      </c>
      <c r="AP181" s="231">
        <v>3125.12</v>
      </c>
      <c r="AQ181" s="231">
        <v>3136.33</v>
      </c>
      <c r="AR181" s="228">
        <v>0</v>
      </c>
      <c r="AS181" s="228">
        <v>105</v>
      </c>
      <c r="AT181" s="228">
        <v>149</v>
      </c>
      <c r="AU181" s="228">
        <v>-44</v>
      </c>
      <c r="AV181" s="229">
        <v>-0.2949</v>
      </c>
      <c r="AW181" s="228">
        <v>97</v>
      </c>
      <c r="AX181" s="228">
        <v>140</v>
      </c>
      <c r="AY181" s="228">
        <v>-43</v>
      </c>
      <c r="AZ181" s="229">
        <v>-0.3039</v>
      </c>
      <c r="BA181" s="228">
        <v>7</v>
      </c>
      <c r="BB181" s="228">
        <v>8</v>
      </c>
      <c r="BC181" s="228">
        <v>-1</v>
      </c>
      <c r="BD181" s="229">
        <v>-0.13009999999999999</v>
      </c>
      <c r="BE181" s="228">
        <v>0</v>
      </c>
      <c r="BF181" s="228">
        <v>1</v>
      </c>
      <c r="BG181" s="228">
        <v>0</v>
      </c>
      <c r="BH181" s="229">
        <v>-0.4</v>
      </c>
      <c r="BI181" s="228">
        <v>523</v>
      </c>
      <c r="BJ181" s="228">
        <v>582</v>
      </c>
      <c r="BK181" s="228">
        <v>-59</v>
      </c>
      <c r="BL181" s="229">
        <v>-0.10100000000000001</v>
      </c>
      <c r="BM181" s="228">
        <v>210</v>
      </c>
      <c r="BN181" s="228">
        <v>241</v>
      </c>
      <c r="BO181" s="228">
        <v>-31</v>
      </c>
      <c r="BP181" s="229">
        <v>-0.13020000000000001</v>
      </c>
      <c r="BQ181" s="228">
        <v>837</v>
      </c>
      <c r="BR181" s="228">
        <v>971</v>
      </c>
      <c r="BS181" s="228">
        <v>-134</v>
      </c>
      <c r="BT181" s="229">
        <v>-0.13789999999999999</v>
      </c>
      <c r="BU181" s="230">
        <v>299758</v>
      </c>
      <c r="BV181" s="230">
        <v>610032</v>
      </c>
      <c r="BW181" s="230">
        <v>-310274</v>
      </c>
      <c r="BX181" s="229">
        <v>-0.50860000000000005</v>
      </c>
      <c r="BY181" s="228">
        <v>811</v>
      </c>
      <c r="BZ181" s="228">
        <v>821</v>
      </c>
      <c r="CA181" s="228">
        <v>-10</v>
      </c>
      <c r="CB181" s="229">
        <v>-1.2E-2</v>
      </c>
      <c r="CC181" s="228">
        <v>779</v>
      </c>
      <c r="CD181" s="228">
        <v>791</v>
      </c>
      <c r="CE181" s="228">
        <v>-11</v>
      </c>
      <c r="CF181" s="229">
        <v>-1.4E-2</v>
      </c>
      <c r="CG181" s="228">
        <v>30</v>
      </c>
      <c r="CH181" s="228">
        <v>29</v>
      </c>
      <c r="CI181" s="228">
        <v>1</v>
      </c>
      <c r="CJ181" s="229">
        <v>4.3499999999999997E-2</v>
      </c>
      <c r="CK181" s="228">
        <v>1</v>
      </c>
      <c r="CL181" s="228">
        <v>1</v>
      </c>
      <c r="CM181" s="228">
        <v>0</v>
      </c>
      <c r="CN181" s="229">
        <v>0</v>
      </c>
      <c r="CO181" s="228">
        <v>333</v>
      </c>
      <c r="CP181" s="228">
        <v>309</v>
      </c>
      <c r="CQ181" s="228">
        <v>25</v>
      </c>
      <c r="CR181" s="229">
        <v>8.0199999999999994E-2</v>
      </c>
      <c r="CS181" s="228">
        <v>188</v>
      </c>
      <c r="CT181" s="228">
        <v>186</v>
      </c>
      <c r="CU181" s="228">
        <v>3</v>
      </c>
      <c r="CV181" s="229">
        <v>1.3899999999999999E-2</v>
      </c>
      <c r="CW181" s="230">
        <v>1333</v>
      </c>
      <c r="CX181" s="230">
        <v>1315</v>
      </c>
      <c r="CY181" s="228">
        <v>18</v>
      </c>
      <c r="CZ181" s="229">
        <v>1.3299999999999999E-2</v>
      </c>
      <c r="DA181" s="228">
        <v>24.56</v>
      </c>
      <c r="DB181" s="228">
        <v>24.82</v>
      </c>
      <c r="DC181" s="228">
        <v>-0.26</v>
      </c>
      <c r="DD181" s="228">
        <v>-0.26</v>
      </c>
      <c r="DE181" s="228">
        <v>36.86</v>
      </c>
      <c r="DF181" s="228">
        <v>36.950000000000003</v>
      </c>
      <c r="DG181" s="228">
        <v>-12.3</v>
      </c>
      <c r="DH181" s="228">
        <v>-0.09</v>
      </c>
      <c r="DI181" s="228">
        <v>24.58</v>
      </c>
      <c r="DJ181" s="228">
        <v>24.69</v>
      </c>
      <c r="DK181" s="228">
        <v>-0.11</v>
      </c>
      <c r="DL181" s="228">
        <v>-0.11</v>
      </c>
      <c r="DM181" s="228">
        <v>24.51</v>
      </c>
      <c r="DN181" s="228">
        <v>25.14</v>
      </c>
      <c r="DO181" s="228">
        <v>-0.63</v>
      </c>
      <c r="DP181" s="228">
        <v>-0.63</v>
      </c>
      <c r="DQ181" s="228">
        <v>0.56000000000000005</v>
      </c>
      <c r="DR181" s="228">
        <v>0.6</v>
      </c>
      <c r="DS181" s="228">
        <v>-0.04</v>
      </c>
      <c r="DT181" s="229">
        <v>-6.6699999999999995E-2</v>
      </c>
      <c r="DU181" s="231">
        <v>3300</v>
      </c>
      <c r="DV181" s="231">
        <v>3100</v>
      </c>
      <c r="DW181" s="228">
        <v>0.4</v>
      </c>
      <c r="DX181" s="228">
        <v>0.41</v>
      </c>
      <c r="DY181" s="228">
        <v>-0.01</v>
      </c>
      <c r="DZ181" s="229">
        <v>-2.4400000000000002E-2</v>
      </c>
      <c r="EA181" s="229">
        <v>3.9100000000000003E-2</v>
      </c>
      <c r="EB181" s="230">
        <v>97125</v>
      </c>
      <c r="EC181" s="229">
        <v>3.7000000000000002E-3</v>
      </c>
      <c r="ED181" s="229">
        <v>3.9100000000000003E-2</v>
      </c>
      <c r="EE181" s="228">
        <v>11.21</v>
      </c>
      <c r="EF181" s="229">
        <v>3.5999999999999999E-3</v>
      </c>
      <c r="EG181" s="230">
        <v>191777</v>
      </c>
      <c r="EH181" s="230">
        <v>434049</v>
      </c>
      <c r="EI181" s="229">
        <v>-0.55820000000000003</v>
      </c>
      <c r="EJ181" s="229">
        <v>0.63980000000000004</v>
      </c>
      <c r="EK181" s="228">
        <v>541.86</v>
      </c>
      <c r="EL181" s="228">
        <v>204.49</v>
      </c>
      <c r="EM181" s="228">
        <v>104.38</v>
      </c>
      <c r="EN181" s="228">
        <v>21.23</v>
      </c>
      <c r="EO181" s="228">
        <v>850.73</v>
      </c>
      <c r="EP181" s="228">
        <v>982.15</v>
      </c>
      <c r="EQ181" s="228">
        <v>-131.43</v>
      </c>
      <c r="ER181" s="229">
        <v>-0.1338</v>
      </c>
      <c r="ES181" s="228">
        <v>344.4</v>
      </c>
      <c r="ET181" s="228">
        <v>179.91</v>
      </c>
      <c r="EU181" s="228">
        <v>811.29</v>
      </c>
      <c r="EV181" s="231">
        <v>13354588</v>
      </c>
      <c r="EW181" s="231">
        <v>1335.61</v>
      </c>
      <c r="EX181" s="231">
        <v>1315.45</v>
      </c>
      <c r="EY181" s="228">
        <v>20.16</v>
      </c>
      <c r="EZ181" s="229">
        <v>1.5299999999999999E-2</v>
      </c>
      <c r="FA181" s="229">
        <v>0.318</v>
      </c>
      <c r="FB181" s="227" t="s">
        <v>556</v>
      </c>
      <c r="FC181">
        <f t="shared" si="3"/>
        <v>0</v>
      </c>
    </row>
    <row r="182" spans="1:159" ht="17.25" thickBot="1" x14ac:dyDescent="0.3">
      <c r="A182" s="226">
        <v>46029</v>
      </c>
      <c r="B182" s="227" t="s">
        <v>498</v>
      </c>
      <c r="C182" s="227" t="s">
        <v>646</v>
      </c>
      <c r="D182" s="228">
        <v>50</v>
      </c>
      <c r="E182" s="228">
        <v>20</v>
      </c>
      <c r="F182" s="231">
        <v>13391</v>
      </c>
      <c r="G182" s="231">
        <v>12885</v>
      </c>
      <c r="H182" s="228">
        <v>506</v>
      </c>
      <c r="I182" s="229">
        <v>3.9300000000000002E-2</v>
      </c>
      <c r="J182" s="231">
        <v>13328</v>
      </c>
      <c r="K182" s="231">
        <v>12856</v>
      </c>
      <c r="L182" s="228">
        <v>472</v>
      </c>
      <c r="M182" s="229">
        <v>3.6700000000000003E-2</v>
      </c>
      <c r="N182" s="231">
        <v>13391</v>
      </c>
      <c r="O182" s="231">
        <v>12885</v>
      </c>
      <c r="P182" s="228">
        <v>506</v>
      </c>
      <c r="Q182" s="229">
        <v>3.9300000000000002E-2</v>
      </c>
      <c r="R182" s="231">
        <v>13465</v>
      </c>
      <c r="S182" s="231">
        <v>12962</v>
      </c>
      <c r="T182" s="228">
        <v>503</v>
      </c>
      <c r="U182" s="229">
        <v>3.8800000000000001E-2</v>
      </c>
      <c r="V182" s="231">
        <v>13552</v>
      </c>
      <c r="W182" s="231">
        <v>13053</v>
      </c>
      <c r="X182" s="228">
        <v>499</v>
      </c>
      <c r="Y182" s="229">
        <v>3.8199999999999998E-2</v>
      </c>
      <c r="Z182" s="228">
        <v>63</v>
      </c>
      <c r="AA182" s="228">
        <v>29</v>
      </c>
      <c r="AB182" s="228">
        <v>34</v>
      </c>
      <c r="AC182" s="229">
        <v>4.7000000000000002E-3</v>
      </c>
      <c r="AD182" s="228">
        <v>63</v>
      </c>
      <c r="AE182" s="228">
        <v>29</v>
      </c>
      <c r="AF182" s="228">
        <v>34</v>
      </c>
      <c r="AG182" s="229">
        <v>4.7000000000000002E-3</v>
      </c>
      <c r="AH182" s="228">
        <v>137</v>
      </c>
      <c r="AI182" s="228">
        <v>106</v>
      </c>
      <c r="AJ182" s="228">
        <v>31</v>
      </c>
      <c r="AK182" s="229">
        <v>1.03E-2</v>
      </c>
      <c r="AL182" s="228">
        <v>224</v>
      </c>
      <c r="AM182" s="228">
        <v>197</v>
      </c>
      <c r="AN182" s="228">
        <v>27</v>
      </c>
      <c r="AO182" s="229">
        <v>1.6799999999999999E-2</v>
      </c>
      <c r="AP182" s="231">
        <v>13255.12</v>
      </c>
      <c r="AQ182" s="231">
        <v>13289.14</v>
      </c>
      <c r="AR182" s="228">
        <v>0</v>
      </c>
      <c r="AS182" s="228">
        <v>394</v>
      </c>
      <c r="AT182" s="228">
        <v>134</v>
      </c>
      <c r="AU182" s="228">
        <v>259</v>
      </c>
      <c r="AV182" s="229">
        <v>1.9298</v>
      </c>
      <c r="AW182" s="228">
        <v>360</v>
      </c>
      <c r="AX182" s="228">
        <v>120</v>
      </c>
      <c r="AY182" s="228">
        <v>240</v>
      </c>
      <c r="AZ182" s="229">
        <v>1.9983</v>
      </c>
      <c r="BA182" s="228">
        <v>28</v>
      </c>
      <c r="BB182" s="228">
        <v>12</v>
      </c>
      <c r="BC182" s="228">
        <v>17</v>
      </c>
      <c r="BD182" s="229">
        <v>1.4419</v>
      </c>
      <c r="BE182" s="228">
        <v>6</v>
      </c>
      <c r="BF182" s="228">
        <v>3</v>
      </c>
      <c r="BG182" s="228">
        <v>3</v>
      </c>
      <c r="BH182" s="229">
        <v>1.0455000000000001</v>
      </c>
      <c r="BI182" s="230">
        <v>3057</v>
      </c>
      <c r="BJ182" s="228">
        <v>625</v>
      </c>
      <c r="BK182" s="230">
        <v>2432</v>
      </c>
      <c r="BL182" s="229">
        <v>3.8942999999999999</v>
      </c>
      <c r="BM182" s="228">
        <v>732</v>
      </c>
      <c r="BN182" s="228">
        <v>230</v>
      </c>
      <c r="BO182" s="228">
        <v>503</v>
      </c>
      <c r="BP182" s="229">
        <v>2.1892</v>
      </c>
      <c r="BQ182" s="230">
        <v>4183</v>
      </c>
      <c r="BR182" s="228">
        <v>989</v>
      </c>
      <c r="BS182" s="230">
        <v>3195</v>
      </c>
      <c r="BT182" s="229">
        <v>3.2311000000000001</v>
      </c>
      <c r="BU182" s="230">
        <v>239079</v>
      </c>
      <c r="BV182" s="230">
        <v>101497</v>
      </c>
      <c r="BW182" s="230">
        <v>137582</v>
      </c>
      <c r="BX182" s="229">
        <v>1.3554999999999999</v>
      </c>
      <c r="BY182" s="230">
        <v>1498</v>
      </c>
      <c r="BZ182" s="230">
        <v>1555</v>
      </c>
      <c r="CA182" s="228">
        <v>-57</v>
      </c>
      <c r="CB182" s="229">
        <v>-3.6900000000000002E-2</v>
      </c>
      <c r="CC182" s="230">
        <v>1392</v>
      </c>
      <c r="CD182" s="230">
        <v>1449</v>
      </c>
      <c r="CE182" s="228">
        <v>-57</v>
      </c>
      <c r="CF182" s="229">
        <v>-3.9100000000000003E-2</v>
      </c>
      <c r="CG182" s="228">
        <v>89</v>
      </c>
      <c r="CH182" s="228">
        <v>91</v>
      </c>
      <c r="CI182" s="228">
        <v>-2</v>
      </c>
      <c r="CJ182" s="229">
        <v>-2.2700000000000001E-2</v>
      </c>
      <c r="CK182" s="228">
        <v>16</v>
      </c>
      <c r="CL182" s="228">
        <v>15</v>
      </c>
      <c r="CM182" s="228">
        <v>1</v>
      </c>
      <c r="CN182" s="229">
        <v>9.9099999999999994E-2</v>
      </c>
      <c r="CO182" s="228">
        <v>516</v>
      </c>
      <c r="CP182" s="228">
        <v>516</v>
      </c>
      <c r="CQ182" s="228">
        <v>0</v>
      </c>
      <c r="CR182" s="229">
        <v>0</v>
      </c>
      <c r="CS182" s="228">
        <v>418</v>
      </c>
      <c r="CT182" s="228">
        <v>334</v>
      </c>
      <c r="CU182" s="228">
        <v>85</v>
      </c>
      <c r="CV182" s="229">
        <v>0.25390000000000001</v>
      </c>
      <c r="CW182" s="230">
        <v>2432</v>
      </c>
      <c r="CX182" s="230">
        <v>2404</v>
      </c>
      <c r="CY182" s="228">
        <v>27</v>
      </c>
      <c r="CZ182" s="229">
        <v>1.14E-2</v>
      </c>
      <c r="DA182" s="228">
        <v>32.18</v>
      </c>
      <c r="DB182" s="228">
        <v>31.44</v>
      </c>
      <c r="DC182" s="228">
        <v>0.74</v>
      </c>
      <c r="DD182" s="228">
        <v>0.74</v>
      </c>
      <c r="DE182" s="228">
        <v>39.5</v>
      </c>
      <c r="DF182" s="228">
        <v>39.26</v>
      </c>
      <c r="DG182" s="228">
        <v>-7.32</v>
      </c>
      <c r="DH182" s="228">
        <v>0.24</v>
      </c>
      <c r="DI182" s="228">
        <v>32.21</v>
      </c>
      <c r="DJ182" s="228">
        <v>30.78</v>
      </c>
      <c r="DK182" s="228">
        <v>1.43</v>
      </c>
      <c r="DL182" s="228">
        <v>1.43</v>
      </c>
      <c r="DM182" s="228">
        <v>32.08</v>
      </c>
      <c r="DN182" s="228">
        <v>33.229999999999997</v>
      </c>
      <c r="DO182" s="228">
        <v>-1.1499999999999999</v>
      </c>
      <c r="DP182" s="228">
        <v>-1.1499999999999999</v>
      </c>
      <c r="DQ182" s="228">
        <v>0.81</v>
      </c>
      <c r="DR182" s="228">
        <v>0.65</v>
      </c>
      <c r="DS182" s="228">
        <v>0.16</v>
      </c>
      <c r="DT182" s="229">
        <v>0.2462</v>
      </c>
      <c r="DU182" s="231">
        <v>13500</v>
      </c>
      <c r="DV182" s="231">
        <v>12000</v>
      </c>
      <c r="DW182" s="228">
        <v>0.24</v>
      </c>
      <c r="DX182" s="228">
        <v>0.37</v>
      </c>
      <c r="DY182" s="228">
        <v>-0.13</v>
      </c>
      <c r="DZ182" s="229">
        <v>-0.35139999999999999</v>
      </c>
      <c r="EA182" s="229">
        <v>7.0499999999999993E-2</v>
      </c>
      <c r="EB182" s="230">
        <v>79250</v>
      </c>
      <c r="EC182" s="229">
        <v>5.4999999999999997E-3</v>
      </c>
      <c r="ED182" s="229">
        <v>7.0499999999999993E-2</v>
      </c>
      <c r="EE182" s="228">
        <v>34.020000000000003</v>
      </c>
      <c r="EF182" s="229">
        <v>2.5999999999999999E-3</v>
      </c>
      <c r="EG182" s="230">
        <v>99277</v>
      </c>
      <c r="EH182" s="230">
        <v>43279</v>
      </c>
      <c r="EI182" s="229">
        <v>1.2939000000000001</v>
      </c>
      <c r="EJ182" s="229">
        <v>0.41520000000000001</v>
      </c>
      <c r="EK182" s="231">
        <v>3211.37</v>
      </c>
      <c r="EL182" s="228">
        <v>691.76</v>
      </c>
      <c r="EM182" s="228">
        <v>390.01</v>
      </c>
      <c r="EN182" s="228">
        <v>28.97</v>
      </c>
      <c r="EO182" s="231">
        <v>4293.1400000000003</v>
      </c>
      <c r="EP182" s="228">
        <v>971.16</v>
      </c>
      <c r="EQ182" s="231">
        <v>3321.97</v>
      </c>
      <c r="ER182" s="229">
        <v>3.4205999999999999</v>
      </c>
      <c r="ES182" s="228">
        <v>523.63</v>
      </c>
      <c r="ET182" s="228">
        <v>387.37</v>
      </c>
      <c r="EU182" s="231">
        <v>1498.34</v>
      </c>
      <c r="EV182" s="231">
        <v>3644817</v>
      </c>
      <c r="EW182" s="231">
        <v>2409.34</v>
      </c>
      <c r="EX182" s="231">
        <v>2318.56</v>
      </c>
      <c r="EY182" s="228">
        <v>90.78</v>
      </c>
      <c r="EZ182" s="229">
        <v>3.9199999999999999E-2</v>
      </c>
      <c r="FA182" s="229">
        <v>0.49830000000000002</v>
      </c>
      <c r="FB182" s="227" t="s">
        <v>556</v>
      </c>
      <c r="FC182">
        <f t="shared" si="3"/>
        <v>0</v>
      </c>
    </row>
    <row r="183" spans="1:159" ht="17.25" thickBot="1" x14ac:dyDescent="0.3">
      <c r="A183" s="226">
        <v>46029</v>
      </c>
      <c r="B183" s="227" t="s">
        <v>162</v>
      </c>
      <c r="C183" s="227" t="s">
        <v>614</v>
      </c>
      <c r="D183" s="228">
        <v>1225</v>
      </c>
      <c r="E183" s="228">
        <v>20</v>
      </c>
      <c r="F183" s="228">
        <v>475.05</v>
      </c>
      <c r="G183" s="228">
        <v>478.7</v>
      </c>
      <c r="H183" s="228">
        <v>-3.65</v>
      </c>
      <c r="I183" s="229">
        <v>-7.6E-3</v>
      </c>
      <c r="J183" s="228">
        <v>473.8</v>
      </c>
      <c r="K183" s="228">
        <v>476.45</v>
      </c>
      <c r="L183" s="228">
        <v>-2.65</v>
      </c>
      <c r="M183" s="229">
        <v>-5.5999999999999999E-3</v>
      </c>
      <c r="N183" s="228">
        <v>475.05</v>
      </c>
      <c r="O183" s="228">
        <v>478.7</v>
      </c>
      <c r="P183" s="228">
        <v>-3.65</v>
      </c>
      <c r="Q183" s="229">
        <v>-7.6E-3</v>
      </c>
      <c r="R183" s="228">
        <v>476.4</v>
      </c>
      <c r="S183" s="228">
        <v>480.25</v>
      </c>
      <c r="T183" s="228">
        <v>-3.85</v>
      </c>
      <c r="U183" s="229">
        <v>-8.0000000000000002E-3</v>
      </c>
      <c r="V183" s="228">
        <v>478.95</v>
      </c>
      <c r="W183" s="228">
        <v>480</v>
      </c>
      <c r="X183" s="228">
        <v>-1.05</v>
      </c>
      <c r="Y183" s="229">
        <v>-2.2000000000000001E-3</v>
      </c>
      <c r="Z183" s="228">
        <v>1.25</v>
      </c>
      <c r="AA183" s="228">
        <v>2.25</v>
      </c>
      <c r="AB183" s="228">
        <v>-1</v>
      </c>
      <c r="AC183" s="229">
        <v>2.5999999999999999E-3</v>
      </c>
      <c r="AD183" s="228">
        <v>1.25</v>
      </c>
      <c r="AE183" s="228">
        <v>2.25</v>
      </c>
      <c r="AF183" s="228">
        <v>-1</v>
      </c>
      <c r="AG183" s="229">
        <v>2.5999999999999999E-3</v>
      </c>
      <c r="AH183" s="228">
        <v>2.6</v>
      </c>
      <c r="AI183" s="228">
        <v>3.8</v>
      </c>
      <c r="AJ183" s="228">
        <v>-1.2</v>
      </c>
      <c r="AK183" s="229">
        <v>5.4999999999999997E-3</v>
      </c>
      <c r="AL183" s="228">
        <v>5.15</v>
      </c>
      <c r="AM183" s="228">
        <v>3.55</v>
      </c>
      <c r="AN183" s="228">
        <v>1.6</v>
      </c>
      <c r="AO183" s="229">
        <v>1.09E-2</v>
      </c>
      <c r="AP183" s="228">
        <v>476.01</v>
      </c>
      <c r="AQ183" s="228">
        <v>477.93</v>
      </c>
      <c r="AR183" s="228">
        <v>0</v>
      </c>
      <c r="AS183" s="228">
        <v>70</v>
      </c>
      <c r="AT183" s="228">
        <v>121</v>
      </c>
      <c r="AU183" s="228">
        <v>-50</v>
      </c>
      <c r="AV183" s="229">
        <v>-0.41599999999999998</v>
      </c>
      <c r="AW183" s="228">
        <v>63</v>
      </c>
      <c r="AX183" s="228">
        <v>111</v>
      </c>
      <c r="AY183" s="228">
        <v>-48</v>
      </c>
      <c r="AZ183" s="229">
        <v>-0.43319999999999997</v>
      </c>
      <c r="BA183" s="228">
        <v>6</v>
      </c>
      <c r="BB183" s="228">
        <v>9</v>
      </c>
      <c r="BC183" s="228">
        <v>-2</v>
      </c>
      <c r="BD183" s="229">
        <v>-0.28189999999999998</v>
      </c>
      <c r="BE183" s="228">
        <v>1</v>
      </c>
      <c r="BF183" s="228">
        <v>1</v>
      </c>
      <c r="BG183" s="228">
        <v>0</v>
      </c>
      <c r="BH183" s="229">
        <v>0.1905</v>
      </c>
      <c r="BI183" s="228">
        <v>102</v>
      </c>
      <c r="BJ183" s="228">
        <v>171</v>
      </c>
      <c r="BK183" s="228">
        <v>-69</v>
      </c>
      <c r="BL183" s="229">
        <v>-0.40579999999999999</v>
      </c>
      <c r="BM183" s="228">
        <v>57</v>
      </c>
      <c r="BN183" s="228">
        <v>95</v>
      </c>
      <c r="BO183" s="228">
        <v>-37</v>
      </c>
      <c r="BP183" s="229">
        <v>-0.3947</v>
      </c>
      <c r="BQ183" s="228">
        <v>229</v>
      </c>
      <c r="BR183" s="228">
        <v>386</v>
      </c>
      <c r="BS183" s="228">
        <v>-157</v>
      </c>
      <c r="BT183" s="229">
        <v>-0.40629999999999999</v>
      </c>
      <c r="BU183" s="230">
        <v>617893</v>
      </c>
      <c r="BV183" s="230">
        <v>1103281</v>
      </c>
      <c r="BW183" s="230">
        <v>-485388</v>
      </c>
      <c r="BX183" s="229">
        <v>-0.43990000000000001</v>
      </c>
      <c r="BY183" s="228">
        <v>710</v>
      </c>
      <c r="BZ183" s="228">
        <v>704</v>
      </c>
      <c r="CA183" s="228">
        <v>5</v>
      </c>
      <c r="CB183" s="229">
        <v>7.7999999999999996E-3</v>
      </c>
      <c r="CC183" s="228">
        <v>691</v>
      </c>
      <c r="CD183" s="228">
        <v>687</v>
      </c>
      <c r="CE183" s="228">
        <v>4</v>
      </c>
      <c r="CF183" s="229">
        <v>5.7000000000000002E-3</v>
      </c>
      <c r="CG183" s="228">
        <v>18</v>
      </c>
      <c r="CH183" s="228">
        <v>16</v>
      </c>
      <c r="CI183" s="228">
        <v>2</v>
      </c>
      <c r="CJ183" s="229">
        <v>0.1079</v>
      </c>
      <c r="CK183" s="228">
        <v>1</v>
      </c>
      <c r="CL183" s="228">
        <v>1</v>
      </c>
      <c r="CM183" s="228">
        <v>0</v>
      </c>
      <c r="CN183" s="229">
        <v>-0.15790000000000001</v>
      </c>
      <c r="CO183" s="228">
        <v>143</v>
      </c>
      <c r="CP183" s="228">
        <v>121</v>
      </c>
      <c r="CQ183" s="228">
        <v>22</v>
      </c>
      <c r="CR183" s="229">
        <v>0.18429999999999999</v>
      </c>
      <c r="CS183" s="228">
        <v>89</v>
      </c>
      <c r="CT183" s="228">
        <v>81</v>
      </c>
      <c r="CU183" s="228">
        <v>8</v>
      </c>
      <c r="CV183" s="229">
        <v>9.4799999999999995E-2</v>
      </c>
      <c r="CW183" s="228">
        <v>942</v>
      </c>
      <c r="CX183" s="228">
        <v>906</v>
      </c>
      <c r="CY183" s="228">
        <v>35</v>
      </c>
      <c r="CZ183" s="229">
        <v>3.9100000000000003E-2</v>
      </c>
      <c r="DA183" s="228">
        <v>30</v>
      </c>
      <c r="DB183" s="228">
        <v>29.6</v>
      </c>
      <c r="DC183" s="228">
        <v>0.4</v>
      </c>
      <c r="DD183" s="228">
        <v>0.4</v>
      </c>
      <c r="DE183" s="228">
        <v>38.1</v>
      </c>
      <c r="DF183" s="228">
        <v>38.19</v>
      </c>
      <c r="DG183" s="228">
        <v>-8.1</v>
      </c>
      <c r="DH183" s="228">
        <v>-0.09</v>
      </c>
      <c r="DI183" s="228">
        <v>30.22</v>
      </c>
      <c r="DJ183" s="228">
        <v>29.42</v>
      </c>
      <c r="DK183" s="228">
        <v>0.8</v>
      </c>
      <c r="DL183" s="228">
        <v>0.8</v>
      </c>
      <c r="DM183" s="228">
        <v>29.6</v>
      </c>
      <c r="DN183" s="228">
        <v>29.94</v>
      </c>
      <c r="DO183" s="228">
        <v>-0.34</v>
      </c>
      <c r="DP183" s="228">
        <v>-0.34</v>
      </c>
      <c r="DQ183" s="228">
        <v>0.62</v>
      </c>
      <c r="DR183" s="228">
        <v>0.67</v>
      </c>
      <c r="DS183" s="228">
        <v>-0.05</v>
      </c>
      <c r="DT183" s="229">
        <v>-7.46E-2</v>
      </c>
      <c r="DU183" s="228">
        <v>500</v>
      </c>
      <c r="DV183" s="228">
        <v>440</v>
      </c>
      <c r="DW183" s="228">
        <v>0.56000000000000005</v>
      </c>
      <c r="DX183" s="228">
        <v>0.55000000000000004</v>
      </c>
      <c r="DY183" s="228">
        <v>0.01</v>
      </c>
      <c r="DZ183" s="229">
        <v>1.8200000000000001E-2</v>
      </c>
      <c r="EA183" s="229">
        <v>2.6599999999999999E-2</v>
      </c>
      <c r="EB183" s="230">
        <v>363825</v>
      </c>
      <c r="EC183" s="229">
        <v>2.8E-3</v>
      </c>
      <c r="ED183" s="229">
        <v>2.6599999999999999E-2</v>
      </c>
      <c r="EE183" s="228">
        <v>1.92</v>
      </c>
      <c r="EF183" s="229">
        <v>4.0000000000000001E-3</v>
      </c>
      <c r="EG183" s="230">
        <v>258604</v>
      </c>
      <c r="EH183" s="230">
        <v>439699</v>
      </c>
      <c r="EI183" s="229">
        <v>-0.41189999999999999</v>
      </c>
      <c r="EJ183" s="229">
        <v>0.41849999999999998</v>
      </c>
      <c r="EK183" s="228">
        <v>107.89</v>
      </c>
      <c r="EL183" s="228">
        <v>57.26</v>
      </c>
      <c r="EM183" s="228">
        <v>70.59</v>
      </c>
      <c r="EN183" s="228">
        <v>14.43</v>
      </c>
      <c r="EO183" s="228">
        <v>235.75</v>
      </c>
      <c r="EP183" s="228">
        <v>395.63</v>
      </c>
      <c r="EQ183" s="228">
        <v>-159.88</v>
      </c>
      <c r="ER183" s="229">
        <v>-0.40410000000000001</v>
      </c>
      <c r="ES183" s="228">
        <v>152.56</v>
      </c>
      <c r="ET183" s="228">
        <v>86.59</v>
      </c>
      <c r="EU183" s="228">
        <v>710.02</v>
      </c>
      <c r="EV183" s="231">
        <v>67126548</v>
      </c>
      <c r="EW183" s="228">
        <v>949.18</v>
      </c>
      <c r="EX183" s="228">
        <v>918.36</v>
      </c>
      <c r="EY183" s="228">
        <v>30.82</v>
      </c>
      <c r="EZ183" s="229">
        <v>3.3599999999999998E-2</v>
      </c>
      <c r="FA183" s="229">
        <v>0.2954</v>
      </c>
      <c r="FB183" s="227" t="s">
        <v>567</v>
      </c>
      <c r="FC183">
        <f t="shared" si="3"/>
        <v>0</v>
      </c>
    </row>
    <row r="184" spans="1:159" ht="17.25" thickBot="1" x14ac:dyDescent="0.3">
      <c r="A184" s="226">
        <v>46029</v>
      </c>
      <c r="B184" s="227" t="s">
        <v>197</v>
      </c>
      <c r="C184" s="227" t="s">
        <v>286</v>
      </c>
      <c r="D184" s="228">
        <v>200</v>
      </c>
      <c r="E184" s="228">
        <v>20</v>
      </c>
      <c r="F184" s="231">
        <v>3104.4</v>
      </c>
      <c r="G184" s="231">
        <v>3057.8</v>
      </c>
      <c r="H184" s="228">
        <v>46.6</v>
      </c>
      <c r="I184" s="229">
        <v>1.52E-2</v>
      </c>
      <c r="J184" s="231">
        <v>3097.6</v>
      </c>
      <c r="K184" s="231">
        <v>3051.4</v>
      </c>
      <c r="L184" s="228">
        <v>46.2</v>
      </c>
      <c r="M184" s="229">
        <v>1.5100000000000001E-2</v>
      </c>
      <c r="N184" s="231">
        <v>3104.4</v>
      </c>
      <c r="O184" s="231">
        <v>3057.8</v>
      </c>
      <c r="P184" s="228">
        <v>46.6</v>
      </c>
      <c r="Q184" s="229">
        <v>1.52E-2</v>
      </c>
      <c r="R184" s="231">
        <v>3118.4</v>
      </c>
      <c r="S184" s="231">
        <v>3072.1</v>
      </c>
      <c r="T184" s="228">
        <v>46.3</v>
      </c>
      <c r="U184" s="229">
        <v>1.5100000000000001E-2</v>
      </c>
      <c r="V184" s="231">
        <v>3132</v>
      </c>
      <c r="W184" s="231">
        <v>3093.6</v>
      </c>
      <c r="X184" s="228">
        <v>38.4</v>
      </c>
      <c r="Y184" s="229">
        <v>1.24E-2</v>
      </c>
      <c r="Z184" s="228">
        <v>6.8</v>
      </c>
      <c r="AA184" s="228">
        <v>6.4</v>
      </c>
      <c r="AB184" s="228">
        <v>0.4</v>
      </c>
      <c r="AC184" s="229">
        <v>2.2000000000000001E-3</v>
      </c>
      <c r="AD184" s="228">
        <v>6.8</v>
      </c>
      <c r="AE184" s="228">
        <v>6.4</v>
      </c>
      <c r="AF184" s="228">
        <v>0.4</v>
      </c>
      <c r="AG184" s="229">
        <v>2.2000000000000001E-3</v>
      </c>
      <c r="AH184" s="228">
        <v>20.8</v>
      </c>
      <c r="AI184" s="228">
        <v>20.7</v>
      </c>
      <c r="AJ184" s="228">
        <v>0.1</v>
      </c>
      <c r="AK184" s="229">
        <v>6.7000000000000002E-3</v>
      </c>
      <c r="AL184" s="228">
        <v>34.4</v>
      </c>
      <c r="AM184" s="228">
        <v>42.2</v>
      </c>
      <c r="AN184" s="228">
        <v>-7.8</v>
      </c>
      <c r="AO184" s="229">
        <v>1.11E-2</v>
      </c>
      <c r="AP184" s="231">
        <v>3094.3</v>
      </c>
      <c r="AQ184" s="231">
        <v>3107.21</v>
      </c>
      <c r="AR184" s="228">
        <v>0</v>
      </c>
      <c r="AS184" s="228">
        <v>184</v>
      </c>
      <c r="AT184" s="228">
        <v>495</v>
      </c>
      <c r="AU184" s="228">
        <v>-311</v>
      </c>
      <c r="AV184" s="229">
        <v>-0.62870000000000004</v>
      </c>
      <c r="AW184" s="228">
        <v>179</v>
      </c>
      <c r="AX184" s="228">
        <v>483</v>
      </c>
      <c r="AY184" s="228">
        <v>-304</v>
      </c>
      <c r="AZ184" s="229">
        <v>-0.62960000000000005</v>
      </c>
      <c r="BA184" s="228">
        <v>4</v>
      </c>
      <c r="BB184" s="228">
        <v>11</v>
      </c>
      <c r="BC184" s="228">
        <v>-7</v>
      </c>
      <c r="BD184" s="229">
        <v>-0.6069</v>
      </c>
      <c r="BE184" s="228">
        <v>1</v>
      </c>
      <c r="BF184" s="228">
        <v>1</v>
      </c>
      <c r="BG184" s="228">
        <v>-1</v>
      </c>
      <c r="BH184" s="229">
        <v>-0.45</v>
      </c>
      <c r="BI184" s="228">
        <v>535</v>
      </c>
      <c r="BJ184" s="230">
        <v>1416</v>
      </c>
      <c r="BK184" s="228">
        <v>-881</v>
      </c>
      <c r="BL184" s="229">
        <v>-0.62229999999999996</v>
      </c>
      <c r="BM184" s="228">
        <v>257</v>
      </c>
      <c r="BN184" s="230">
        <v>1067</v>
      </c>
      <c r="BO184" s="228">
        <v>-811</v>
      </c>
      <c r="BP184" s="229">
        <v>-0.75939999999999996</v>
      </c>
      <c r="BQ184" s="228">
        <v>976</v>
      </c>
      <c r="BR184" s="230">
        <v>2979</v>
      </c>
      <c r="BS184" s="230">
        <v>-2003</v>
      </c>
      <c r="BT184" s="229">
        <v>-0.67249999999999999</v>
      </c>
      <c r="BU184" s="230">
        <v>379040</v>
      </c>
      <c r="BV184" s="230">
        <v>594736</v>
      </c>
      <c r="BW184" s="230">
        <v>-215696</v>
      </c>
      <c r="BX184" s="229">
        <v>-0.36270000000000002</v>
      </c>
      <c r="BY184" s="230">
        <v>1064</v>
      </c>
      <c r="BZ184" s="230">
        <v>1070</v>
      </c>
      <c r="CA184" s="228">
        <v>-6</v>
      </c>
      <c r="CB184" s="229">
        <v>-5.3E-3</v>
      </c>
      <c r="CC184" s="230">
        <v>1049</v>
      </c>
      <c r="CD184" s="230">
        <v>1055</v>
      </c>
      <c r="CE184" s="228">
        <v>-6</v>
      </c>
      <c r="CF184" s="229">
        <v>-5.5999999999999999E-3</v>
      </c>
      <c r="CG184" s="228">
        <v>15</v>
      </c>
      <c r="CH184" s="228">
        <v>14</v>
      </c>
      <c r="CI184" s="228">
        <v>0</v>
      </c>
      <c r="CJ184" s="229">
        <v>2.18E-2</v>
      </c>
      <c r="CK184" s="228">
        <v>1</v>
      </c>
      <c r="CL184" s="228">
        <v>1</v>
      </c>
      <c r="CM184" s="228">
        <v>0</v>
      </c>
      <c r="CN184" s="229">
        <v>-4.5499999999999999E-2</v>
      </c>
      <c r="CO184" s="228">
        <v>373</v>
      </c>
      <c r="CP184" s="228">
        <v>375</v>
      </c>
      <c r="CQ184" s="228">
        <v>-2</v>
      </c>
      <c r="CR184" s="229">
        <v>-6.4999999999999997E-3</v>
      </c>
      <c r="CS184" s="228">
        <v>260</v>
      </c>
      <c r="CT184" s="228">
        <v>266</v>
      </c>
      <c r="CU184" s="228">
        <v>-6</v>
      </c>
      <c r="CV184" s="229">
        <v>-2.3300000000000001E-2</v>
      </c>
      <c r="CW184" s="230">
        <v>1697</v>
      </c>
      <c r="CX184" s="230">
        <v>1711</v>
      </c>
      <c r="CY184" s="228">
        <v>-14</v>
      </c>
      <c r="CZ184" s="229">
        <v>-8.3000000000000001E-3</v>
      </c>
      <c r="DA184" s="228">
        <v>24.24</v>
      </c>
      <c r="DB184" s="228">
        <v>24.84</v>
      </c>
      <c r="DC184" s="228">
        <v>-0.6</v>
      </c>
      <c r="DD184" s="228">
        <v>-0.6</v>
      </c>
      <c r="DE184" s="228">
        <v>30.3</v>
      </c>
      <c r="DF184" s="228">
        <v>30.31</v>
      </c>
      <c r="DG184" s="228">
        <v>-6.06</v>
      </c>
      <c r="DH184" s="228">
        <v>-0.01</v>
      </c>
      <c r="DI184" s="228">
        <v>23.98</v>
      </c>
      <c r="DJ184" s="228">
        <v>24.62</v>
      </c>
      <c r="DK184" s="228">
        <v>-0.64</v>
      </c>
      <c r="DL184" s="228">
        <v>-0.64</v>
      </c>
      <c r="DM184" s="228">
        <v>24.77</v>
      </c>
      <c r="DN184" s="228">
        <v>25.14</v>
      </c>
      <c r="DO184" s="228">
        <v>-0.37</v>
      </c>
      <c r="DP184" s="228">
        <v>-0.37</v>
      </c>
      <c r="DQ184" s="228">
        <v>0.7</v>
      </c>
      <c r="DR184" s="228">
        <v>0.71</v>
      </c>
      <c r="DS184" s="228">
        <v>-0.01</v>
      </c>
      <c r="DT184" s="229">
        <v>-1.41E-2</v>
      </c>
      <c r="DU184" s="231">
        <v>3100</v>
      </c>
      <c r="DV184" s="231">
        <v>3050</v>
      </c>
      <c r="DW184" s="228">
        <v>0.48</v>
      </c>
      <c r="DX184" s="228">
        <v>0.75</v>
      </c>
      <c r="DY184" s="228">
        <v>-0.27</v>
      </c>
      <c r="DZ184" s="229">
        <v>-0.36</v>
      </c>
      <c r="EA184" s="229">
        <v>1.49E-2</v>
      </c>
      <c r="EB184" s="230">
        <v>50200</v>
      </c>
      <c r="EC184" s="229">
        <v>4.4999999999999997E-3</v>
      </c>
      <c r="ED184" s="229">
        <v>1.49E-2</v>
      </c>
      <c r="EE184" s="228">
        <v>12.91</v>
      </c>
      <c r="EF184" s="229">
        <v>4.1999999999999997E-3</v>
      </c>
      <c r="EG184" s="230">
        <v>255051</v>
      </c>
      <c r="EH184" s="230">
        <v>317378</v>
      </c>
      <c r="EI184" s="229">
        <v>-0.19639999999999999</v>
      </c>
      <c r="EJ184" s="229">
        <v>0.67290000000000005</v>
      </c>
      <c r="EK184" s="228">
        <v>548.91999999999996</v>
      </c>
      <c r="EL184" s="228">
        <v>252.16</v>
      </c>
      <c r="EM184" s="228">
        <v>183.33</v>
      </c>
      <c r="EN184" s="228">
        <v>35.01</v>
      </c>
      <c r="EO184" s="228">
        <v>984.41</v>
      </c>
      <c r="EP184" s="231">
        <v>2969.27</v>
      </c>
      <c r="EQ184" s="231">
        <v>-1984.86</v>
      </c>
      <c r="ER184" s="229">
        <v>-0.66849999999999998</v>
      </c>
      <c r="ES184" s="228">
        <v>378.39</v>
      </c>
      <c r="ET184" s="228">
        <v>251.73</v>
      </c>
      <c r="EU184" s="231">
        <v>1064.51</v>
      </c>
      <c r="EV184" s="231">
        <v>18529108</v>
      </c>
      <c r="EW184" s="231">
        <v>1694.63</v>
      </c>
      <c r="EX184" s="231">
        <v>1690.91</v>
      </c>
      <c r="EY184" s="228">
        <v>3.72</v>
      </c>
      <c r="EZ184" s="229">
        <v>2.2000000000000001E-3</v>
      </c>
      <c r="FA184" s="229">
        <v>0.29499999999999998</v>
      </c>
      <c r="FB184" s="227" t="s">
        <v>556</v>
      </c>
      <c r="FC184">
        <f t="shared" si="3"/>
        <v>0</v>
      </c>
    </row>
    <row r="185" spans="1:159" ht="17.25" thickBot="1" x14ac:dyDescent="0.3">
      <c r="A185" s="226">
        <v>46029</v>
      </c>
      <c r="B185" s="227" t="s">
        <v>170</v>
      </c>
      <c r="C185" s="227" t="s">
        <v>288</v>
      </c>
      <c r="D185" s="228">
        <v>350</v>
      </c>
      <c r="E185" s="228">
        <v>20</v>
      </c>
      <c r="F185" s="231">
        <v>1785.7</v>
      </c>
      <c r="G185" s="231">
        <v>1765.2</v>
      </c>
      <c r="H185" s="228">
        <v>20.5</v>
      </c>
      <c r="I185" s="229">
        <v>1.1599999999999999E-2</v>
      </c>
      <c r="J185" s="231">
        <v>1782.6</v>
      </c>
      <c r="K185" s="231">
        <v>1760.2</v>
      </c>
      <c r="L185" s="228">
        <v>22.4</v>
      </c>
      <c r="M185" s="229">
        <v>1.2699999999999999E-2</v>
      </c>
      <c r="N185" s="231">
        <v>1785.7</v>
      </c>
      <c r="O185" s="231">
        <v>1765.2</v>
      </c>
      <c r="P185" s="228">
        <v>20.5</v>
      </c>
      <c r="Q185" s="229">
        <v>1.1599999999999999E-2</v>
      </c>
      <c r="R185" s="231">
        <v>1785</v>
      </c>
      <c r="S185" s="231">
        <v>1766.3</v>
      </c>
      <c r="T185" s="228">
        <v>18.7</v>
      </c>
      <c r="U185" s="229">
        <v>1.06E-2</v>
      </c>
      <c r="V185" s="231">
        <v>1797.2</v>
      </c>
      <c r="W185" s="231">
        <v>1777.2</v>
      </c>
      <c r="X185" s="228">
        <v>20</v>
      </c>
      <c r="Y185" s="229">
        <v>1.1299999999999999E-2</v>
      </c>
      <c r="Z185" s="228">
        <v>3.1</v>
      </c>
      <c r="AA185" s="228">
        <v>5</v>
      </c>
      <c r="AB185" s="228">
        <v>-1.9</v>
      </c>
      <c r="AC185" s="229">
        <v>1.6999999999999999E-3</v>
      </c>
      <c r="AD185" s="228">
        <v>3.1</v>
      </c>
      <c r="AE185" s="228">
        <v>5</v>
      </c>
      <c r="AF185" s="228">
        <v>-1.9</v>
      </c>
      <c r="AG185" s="229">
        <v>1.6999999999999999E-3</v>
      </c>
      <c r="AH185" s="228">
        <v>2.4</v>
      </c>
      <c r="AI185" s="228">
        <v>6.1</v>
      </c>
      <c r="AJ185" s="228">
        <v>-3.7</v>
      </c>
      <c r="AK185" s="229">
        <v>1.2999999999999999E-3</v>
      </c>
      <c r="AL185" s="228">
        <v>14.6</v>
      </c>
      <c r="AM185" s="228">
        <v>17</v>
      </c>
      <c r="AN185" s="228">
        <v>-2.4</v>
      </c>
      <c r="AO185" s="229">
        <v>8.2000000000000007E-3</v>
      </c>
      <c r="AP185" s="231">
        <v>1781.88</v>
      </c>
      <c r="AQ185" s="231">
        <v>1780.53</v>
      </c>
      <c r="AR185" s="228">
        <v>0</v>
      </c>
      <c r="AS185" s="230">
        <v>1055</v>
      </c>
      <c r="AT185" s="228">
        <v>284</v>
      </c>
      <c r="AU185" s="228">
        <v>771</v>
      </c>
      <c r="AV185" s="229">
        <v>2.7199</v>
      </c>
      <c r="AW185" s="230">
        <v>1013</v>
      </c>
      <c r="AX185" s="228">
        <v>270</v>
      </c>
      <c r="AY185" s="228">
        <v>743</v>
      </c>
      <c r="AZ185" s="229">
        <v>2.7484000000000002</v>
      </c>
      <c r="BA185" s="228">
        <v>38</v>
      </c>
      <c r="BB185" s="228">
        <v>12</v>
      </c>
      <c r="BC185" s="228">
        <v>26</v>
      </c>
      <c r="BD185" s="229">
        <v>2.2222</v>
      </c>
      <c r="BE185" s="228">
        <v>3</v>
      </c>
      <c r="BF185" s="228">
        <v>1</v>
      </c>
      <c r="BG185" s="228">
        <v>2</v>
      </c>
      <c r="BH185" s="229">
        <v>1.4348000000000001</v>
      </c>
      <c r="BI185" s="230">
        <v>5438</v>
      </c>
      <c r="BJ185" s="230">
        <v>1409</v>
      </c>
      <c r="BK185" s="230">
        <v>4029</v>
      </c>
      <c r="BL185" s="229">
        <v>2.8592</v>
      </c>
      <c r="BM185" s="230">
        <v>2234</v>
      </c>
      <c r="BN185" s="228">
        <v>527</v>
      </c>
      <c r="BO185" s="230">
        <v>1707</v>
      </c>
      <c r="BP185" s="229">
        <v>3.238</v>
      </c>
      <c r="BQ185" s="230">
        <v>8726</v>
      </c>
      <c r="BR185" s="230">
        <v>2220</v>
      </c>
      <c r="BS185" s="230">
        <v>6507</v>
      </c>
      <c r="BT185" s="229">
        <v>2.9312999999999998</v>
      </c>
      <c r="BU185" s="230">
        <v>3144205</v>
      </c>
      <c r="BV185" s="230">
        <v>1693721</v>
      </c>
      <c r="BW185" s="230">
        <v>1450484</v>
      </c>
      <c r="BX185" s="229">
        <v>0.85640000000000005</v>
      </c>
      <c r="BY185" s="230">
        <v>3038</v>
      </c>
      <c r="BZ185" s="230">
        <v>3039</v>
      </c>
      <c r="CA185" s="228">
        <v>-1</v>
      </c>
      <c r="CB185" s="229">
        <v>-5.0000000000000001E-4</v>
      </c>
      <c r="CC185" s="230">
        <v>2990</v>
      </c>
      <c r="CD185" s="230">
        <v>3000</v>
      </c>
      <c r="CE185" s="228">
        <v>-11</v>
      </c>
      <c r="CF185" s="229">
        <v>-3.5999999999999999E-3</v>
      </c>
      <c r="CG185" s="228">
        <v>44</v>
      </c>
      <c r="CH185" s="228">
        <v>35</v>
      </c>
      <c r="CI185" s="228">
        <v>9</v>
      </c>
      <c r="CJ185" s="229">
        <v>0.2581</v>
      </c>
      <c r="CK185" s="228">
        <v>4</v>
      </c>
      <c r="CL185" s="228">
        <v>4</v>
      </c>
      <c r="CM185" s="228">
        <v>0</v>
      </c>
      <c r="CN185" s="229">
        <v>9.5200000000000007E-2</v>
      </c>
      <c r="CO185" s="230">
        <v>1440</v>
      </c>
      <c r="CP185" s="228">
        <v>997</v>
      </c>
      <c r="CQ185" s="228">
        <v>443</v>
      </c>
      <c r="CR185" s="229">
        <v>0.44390000000000002</v>
      </c>
      <c r="CS185" s="228">
        <v>649</v>
      </c>
      <c r="CT185" s="228">
        <v>504</v>
      </c>
      <c r="CU185" s="228">
        <v>145</v>
      </c>
      <c r="CV185" s="229">
        <v>0.28799999999999998</v>
      </c>
      <c r="CW185" s="230">
        <v>5127</v>
      </c>
      <c r="CX185" s="230">
        <v>4541</v>
      </c>
      <c r="CY185" s="228">
        <v>587</v>
      </c>
      <c r="CZ185" s="229">
        <v>0.12920000000000001</v>
      </c>
      <c r="DA185" s="228">
        <v>16.22</v>
      </c>
      <c r="DB185" s="228">
        <v>15.71</v>
      </c>
      <c r="DC185" s="228">
        <v>0.51</v>
      </c>
      <c r="DD185" s="228">
        <v>0.51</v>
      </c>
      <c r="DE185" s="228">
        <v>22.42</v>
      </c>
      <c r="DF185" s="228">
        <v>22.41</v>
      </c>
      <c r="DG185" s="228">
        <v>-6.2</v>
      </c>
      <c r="DH185" s="228">
        <v>0.01</v>
      </c>
      <c r="DI185" s="228">
        <v>16.02</v>
      </c>
      <c r="DJ185" s="228">
        <v>15.43</v>
      </c>
      <c r="DK185" s="228">
        <v>0.59</v>
      </c>
      <c r="DL185" s="228">
        <v>0.59</v>
      </c>
      <c r="DM185" s="228">
        <v>16.690000000000001</v>
      </c>
      <c r="DN185" s="228">
        <v>16.46</v>
      </c>
      <c r="DO185" s="228">
        <v>0.23</v>
      </c>
      <c r="DP185" s="228">
        <v>0.23</v>
      </c>
      <c r="DQ185" s="228">
        <v>0.45</v>
      </c>
      <c r="DR185" s="228">
        <v>0.51</v>
      </c>
      <c r="DS185" s="228">
        <v>-0.06</v>
      </c>
      <c r="DT185" s="229">
        <v>-0.1176</v>
      </c>
      <c r="DU185" s="231">
        <v>1800</v>
      </c>
      <c r="DV185" s="231">
        <v>1700</v>
      </c>
      <c r="DW185" s="228">
        <v>0.41</v>
      </c>
      <c r="DX185" s="228">
        <v>0.37</v>
      </c>
      <c r="DY185" s="228">
        <v>0.04</v>
      </c>
      <c r="DZ185" s="229">
        <v>0.1081</v>
      </c>
      <c r="EA185" s="229">
        <v>1.5900000000000001E-2</v>
      </c>
      <c r="EB185" s="230">
        <v>217350</v>
      </c>
      <c r="EC185" s="229">
        <v>-4.0000000000000002E-4</v>
      </c>
      <c r="ED185" s="229">
        <v>1.5900000000000001E-2</v>
      </c>
      <c r="EE185" s="228">
        <v>-1.35</v>
      </c>
      <c r="EF185" s="229">
        <v>-8.0000000000000004E-4</v>
      </c>
      <c r="EG185" s="230">
        <v>1758512</v>
      </c>
      <c r="EH185" s="230">
        <v>1028204</v>
      </c>
      <c r="EI185" s="229">
        <v>0.71030000000000004</v>
      </c>
      <c r="EJ185" s="229">
        <v>0.55930000000000002</v>
      </c>
      <c r="EK185" s="231">
        <v>5559.51</v>
      </c>
      <c r="EL185" s="231">
        <v>2209.36</v>
      </c>
      <c r="EM185" s="231">
        <v>1052.54</v>
      </c>
      <c r="EN185" s="228">
        <v>30.24</v>
      </c>
      <c r="EO185" s="231">
        <v>8821.41</v>
      </c>
      <c r="EP185" s="231">
        <v>2208.62</v>
      </c>
      <c r="EQ185" s="231">
        <v>6612.79</v>
      </c>
      <c r="ER185" s="229">
        <v>2.9941</v>
      </c>
      <c r="ES185" s="231">
        <v>1450.87</v>
      </c>
      <c r="ET185" s="228">
        <v>622.03</v>
      </c>
      <c r="EU185" s="231">
        <v>3037.74</v>
      </c>
      <c r="EV185" s="231">
        <v>109220043</v>
      </c>
      <c r="EW185" s="231">
        <v>5110.6400000000003</v>
      </c>
      <c r="EX185" s="231">
        <v>4484.04</v>
      </c>
      <c r="EY185" s="228">
        <v>626.6</v>
      </c>
      <c r="EZ185" s="229">
        <v>0.13969999999999999</v>
      </c>
      <c r="FA185" s="229">
        <v>0.26290000000000002</v>
      </c>
      <c r="FB185" s="227" t="s">
        <v>556</v>
      </c>
      <c r="FC185">
        <f t="shared" si="3"/>
        <v>0</v>
      </c>
    </row>
    <row r="186" spans="1:159" ht="17.25" thickBot="1" x14ac:dyDescent="0.3">
      <c r="A186" s="226">
        <v>46029</v>
      </c>
      <c r="B186" s="227" t="s">
        <v>184</v>
      </c>
      <c r="C186" s="227" t="s">
        <v>574</v>
      </c>
      <c r="D186" s="228">
        <v>175</v>
      </c>
      <c r="E186" s="228">
        <v>20</v>
      </c>
      <c r="F186" s="231">
        <v>3633.7</v>
      </c>
      <c r="G186" s="231">
        <v>3643.2</v>
      </c>
      <c r="H186" s="228">
        <v>-9.5</v>
      </c>
      <c r="I186" s="229">
        <v>-2.5999999999999999E-3</v>
      </c>
      <c r="J186" s="231">
        <v>3626.9</v>
      </c>
      <c r="K186" s="231">
        <v>3636.9</v>
      </c>
      <c r="L186" s="228">
        <v>-10</v>
      </c>
      <c r="M186" s="229">
        <v>-2.7000000000000001E-3</v>
      </c>
      <c r="N186" s="231">
        <v>3633.7</v>
      </c>
      <c r="O186" s="231">
        <v>3643.2</v>
      </c>
      <c r="P186" s="228">
        <v>-9.5</v>
      </c>
      <c r="Q186" s="229">
        <v>-2.5999999999999999E-3</v>
      </c>
      <c r="R186" s="231">
        <v>3645.7</v>
      </c>
      <c r="S186" s="231">
        <v>3653.4</v>
      </c>
      <c r="T186" s="228">
        <v>-7.7</v>
      </c>
      <c r="U186" s="229">
        <v>-2.0999999999999999E-3</v>
      </c>
      <c r="V186" s="231">
        <v>3680.7</v>
      </c>
      <c r="W186" s="231">
        <v>3674.1</v>
      </c>
      <c r="X186" s="228">
        <v>6.6</v>
      </c>
      <c r="Y186" s="229">
        <v>1.8E-3</v>
      </c>
      <c r="Z186" s="228">
        <v>6.8</v>
      </c>
      <c r="AA186" s="228">
        <v>6.3</v>
      </c>
      <c r="AB186" s="228">
        <v>0.5</v>
      </c>
      <c r="AC186" s="229">
        <v>1.9E-3</v>
      </c>
      <c r="AD186" s="228">
        <v>6.8</v>
      </c>
      <c r="AE186" s="228">
        <v>6.3</v>
      </c>
      <c r="AF186" s="228">
        <v>0.5</v>
      </c>
      <c r="AG186" s="229">
        <v>1.9E-3</v>
      </c>
      <c r="AH186" s="228">
        <v>18.8</v>
      </c>
      <c r="AI186" s="228">
        <v>16.5</v>
      </c>
      <c r="AJ186" s="228">
        <v>2.2999999999999998</v>
      </c>
      <c r="AK186" s="229">
        <v>5.1999999999999998E-3</v>
      </c>
      <c r="AL186" s="228">
        <v>53.8</v>
      </c>
      <c r="AM186" s="228">
        <v>37.200000000000003</v>
      </c>
      <c r="AN186" s="228">
        <v>16.600000000000001</v>
      </c>
      <c r="AO186" s="229">
        <v>1.4800000000000001E-2</v>
      </c>
      <c r="AP186" s="231">
        <v>3629.25</v>
      </c>
      <c r="AQ186" s="231">
        <v>3645.41</v>
      </c>
      <c r="AR186" s="228">
        <v>0</v>
      </c>
      <c r="AS186" s="228">
        <v>137</v>
      </c>
      <c r="AT186" s="228">
        <v>152</v>
      </c>
      <c r="AU186" s="228">
        <v>-15</v>
      </c>
      <c r="AV186" s="229">
        <v>-9.7299999999999998E-2</v>
      </c>
      <c r="AW186" s="228">
        <v>132</v>
      </c>
      <c r="AX186" s="228">
        <v>146</v>
      </c>
      <c r="AY186" s="228">
        <v>-14</v>
      </c>
      <c r="AZ186" s="229">
        <v>-9.2999999999999999E-2</v>
      </c>
      <c r="BA186" s="228">
        <v>5</v>
      </c>
      <c r="BB186" s="228">
        <v>6</v>
      </c>
      <c r="BC186" s="228">
        <v>-1</v>
      </c>
      <c r="BD186" s="229">
        <v>-0.2165</v>
      </c>
      <c r="BE186" s="228">
        <v>1</v>
      </c>
      <c r="BF186" s="228">
        <v>0</v>
      </c>
      <c r="BG186" s="228">
        <v>0</v>
      </c>
      <c r="BH186" s="229">
        <v>0.1429</v>
      </c>
      <c r="BI186" s="228">
        <v>182</v>
      </c>
      <c r="BJ186" s="228">
        <v>457</v>
      </c>
      <c r="BK186" s="228">
        <v>-274</v>
      </c>
      <c r="BL186" s="229">
        <v>-0.60070000000000001</v>
      </c>
      <c r="BM186" s="228">
        <v>131</v>
      </c>
      <c r="BN186" s="228">
        <v>178</v>
      </c>
      <c r="BO186" s="228">
        <v>-47</v>
      </c>
      <c r="BP186" s="229">
        <v>-0.26550000000000001</v>
      </c>
      <c r="BQ186" s="228">
        <v>451</v>
      </c>
      <c r="BR186" s="228">
        <v>787</v>
      </c>
      <c r="BS186" s="228">
        <v>-336</v>
      </c>
      <c r="BT186" s="229">
        <v>-0.42749999999999999</v>
      </c>
      <c r="BU186" s="230">
        <v>105949</v>
      </c>
      <c r="BV186" s="230">
        <v>178440</v>
      </c>
      <c r="BW186" s="230">
        <v>-72491</v>
      </c>
      <c r="BX186" s="229">
        <v>-0.40620000000000001</v>
      </c>
      <c r="BY186" s="228">
        <v>706</v>
      </c>
      <c r="BZ186" s="228">
        <v>713</v>
      </c>
      <c r="CA186" s="228">
        <v>-7</v>
      </c>
      <c r="CB186" s="229">
        <v>-0.01</v>
      </c>
      <c r="CC186" s="228">
        <v>682</v>
      </c>
      <c r="CD186" s="228">
        <v>689</v>
      </c>
      <c r="CE186" s="228">
        <v>-7</v>
      </c>
      <c r="CF186" s="229">
        <v>-1.0800000000000001E-2</v>
      </c>
      <c r="CG186" s="228">
        <v>22</v>
      </c>
      <c r="CH186" s="228">
        <v>22</v>
      </c>
      <c r="CI186" s="228">
        <v>0</v>
      </c>
      <c r="CJ186" s="229">
        <v>8.6E-3</v>
      </c>
      <c r="CK186" s="228">
        <v>2</v>
      </c>
      <c r="CL186" s="228">
        <v>2</v>
      </c>
      <c r="CM186" s="228">
        <v>0</v>
      </c>
      <c r="CN186" s="229">
        <v>6.6699999999999995E-2</v>
      </c>
      <c r="CO186" s="228">
        <v>207</v>
      </c>
      <c r="CP186" s="228">
        <v>194</v>
      </c>
      <c r="CQ186" s="228">
        <v>12</v>
      </c>
      <c r="CR186" s="229">
        <v>6.2799999999999995E-2</v>
      </c>
      <c r="CS186" s="228">
        <v>196</v>
      </c>
      <c r="CT186" s="228">
        <v>192</v>
      </c>
      <c r="CU186" s="228">
        <v>4</v>
      </c>
      <c r="CV186" s="229">
        <v>2.1499999999999998E-2</v>
      </c>
      <c r="CW186" s="230">
        <v>1109</v>
      </c>
      <c r="CX186" s="230">
        <v>1100</v>
      </c>
      <c r="CY186" s="228">
        <v>9</v>
      </c>
      <c r="CZ186" s="229">
        <v>8.3999999999999995E-3</v>
      </c>
      <c r="DA186" s="228">
        <v>30.73</v>
      </c>
      <c r="DB186" s="228">
        <v>30.19</v>
      </c>
      <c r="DC186" s="228">
        <v>0.54</v>
      </c>
      <c r="DD186" s="228">
        <v>0.54</v>
      </c>
      <c r="DE186" s="228">
        <v>39.25</v>
      </c>
      <c r="DF186" s="228">
        <v>39.340000000000003</v>
      </c>
      <c r="DG186" s="228">
        <v>-8.52</v>
      </c>
      <c r="DH186" s="228">
        <v>-0.09</v>
      </c>
      <c r="DI186" s="228">
        <v>30.37</v>
      </c>
      <c r="DJ186" s="228">
        <v>30</v>
      </c>
      <c r="DK186" s="228">
        <v>0.37</v>
      </c>
      <c r="DL186" s="228">
        <v>0.37</v>
      </c>
      <c r="DM186" s="228">
        <v>31.24</v>
      </c>
      <c r="DN186" s="228">
        <v>30.66</v>
      </c>
      <c r="DO186" s="228">
        <v>0.57999999999999996</v>
      </c>
      <c r="DP186" s="228">
        <v>0.57999999999999996</v>
      </c>
      <c r="DQ186" s="228">
        <v>0.95</v>
      </c>
      <c r="DR186" s="228">
        <v>0.99</v>
      </c>
      <c r="DS186" s="228">
        <v>-0.04</v>
      </c>
      <c r="DT186" s="229">
        <v>-4.0399999999999998E-2</v>
      </c>
      <c r="DU186" s="231">
        <v>3900</v>
      </c>
      <c r="DV186" s="231">
        <v>3300</v>
      </c>
      <c r="DW186" s="228">
        <v>0.72</v>
      </c>
      <c r="DX186" s="228">
        <v>0.39</v>
      </c>
      <c r="DY186" s="228">
        <v>0.33</v>
      </c>
      <c r="DZ186" s="229">
        <v>0.84619999999999995</v>
      </c>
      <c r="EA186" s="229">
        <v>3.44E-2</v>
      </c>
      <c r="EB186" s="230">
        <v>65975</v>
      </c>
      <c r="EC186" s="229">
        <v>3.3E-3</v>
      </c>
      <c r="ED186" s="229">
        <v>3.44E-2</v>
      </c>
      <c r="EE186" s="228">
        <v>16.16</v>
      </c>
      <c r="EF186" s="229">
        <v>4.4999999999999997E-3</v>
      </c>
      <c r="EG186" s="230">
        <v>51789</v>
      </c>
      <c r="EH186" s="230">
        <v>92772</v>
      </c>
      <c r="EI186" s="229">
        <v>-0.44180000000000003</v>
      </c>
      <c r="EJ186" s="229">
        <v>0.48880000000000001</v>
      </c>
      <c r="EK186" s="228">
        <v>191.22</v>
      </c>
      <c r="EL186" s="228">
        <v>127.03</v>
      </c>
      <c r="EM186" s="228">
        <v>137.28</v>
      </c>
      <c r="EN186" s="228">
        <v>31.91</v>
      </c>
      <c r="EO186" s="228">
        <v>455.52</v>
      </c>
      <c r="EP186" s="228">
        <v>800.16</v>
      </c>
      <c r="EQ186" s="228">
        <v>-344.64</v>
      </c>
      <c r="ER186" s="229">
        <v>-0.43070000000000003</v>
      </c>
      <c r="ES186" s="228">
        <v>209.71</v>
      </c>
      <c r="ET186" s="228">
        <v>182.87</v>
      </c>
      <c r="EU186" s="228">
        <v>706.33</v>
      </c>
      <c r="EV186" s="231">
        <v>9736357</v>
      </c>
      <c r="EW186" s="231">
        <v>1098.92</v>
      </c>
      <c r="EX186" s="231">
        <v>1090.52</v>
      </c>
      <c r="EY186" s="228">
        <v>8.4</v>
      </c>
      <c r="EZ186" s="229">
        <v>7.7000000000000002E-3</v>
      </c>
      <c r="FA186" s="229">
        <v>0.3135</v>
      </c>
      <c r="FB186" s="227" t="s">
        <v>568</v>
      </c>
      <c r="FC186">
        <f t="shared" si="3"/>
        <v>0</v>
      </c>
    </row>
    <row r="187" spans="1:159" ht="17.25" thickBot="1" x14ac:dyDescent="0.3">
      <c r="A187" s="226">
        <v>46029</v>
      </c>
      <c r="B187" s="227" t="s">
        <v>161</v>
      </c>
      <c r="C187" s="227" t="s">
        <v>684</v>
      </c>
      <c r="D187" s="228">
        <v>9025</v>
      </c>
      <c r="E187" s="228">
        <v>20</v>
      </c>
      <c r="F187" s="228">
        <v>53.17</v>
      </c>
      <c r="G187" s="228">
        <v>53.68</v>
      </c>
      <c r="H187" s="228">
        <v>-0.51</v>
      </c>
      <c r="I187" s="229">
        <v>-9.4999999999999998E-3</v>
      </c>
      <c r="J187" s="228">
        <v>52.9</v>
      </c>
      <c r="K187" s="228">
        <v>53.45</v>
      </c>
      <c r="L187" s="228">
        <v>-0.55000000000000004</v>
      </c>
      <c r="M187" s="229">
        <v>-1.03E-2</v>
      </c>
      <c r="N187" s="228">
        <v>53.17</v>
      </c>
      <c r="O187" s="228">
        <v>53.68</v>
      </c>
      <c r="P187" s="228">
        <v>-0.51</v>
      </c>
      <c r="Q187" s="229">
        <v>-9.4999999999999998E-3</v>
      </c>
      <c r="R187" s="228">
        <v>53.47</v>
      </c>
      <c r="S187" s="228">
        <v>54.01</v>
      </c>
      <c r="T187" s="228">
        <v>-0.54</v>
      </c>
      <c r="U187" s="229">
        <v>-0.01</v>
      </c>
      <c r="V187" s="228">
        <v>53.8</v>
      </c>
      <c r="W187" s="228">
        <v>54.28</v>
      </c>
      <c r="X187" s="228">
        <v>-0.48</v>
      </c>
      <c r="Y187" s="229">
        <v>-8.8000000000000005E-3</v>
      </c>
      <c r="Z187" s="228">
        <v>0.27</v>
      </c>
      <c r="AA187" s="228">
        <v>0.23</v>
      </c>
      <c r="AB187" s="228">
        <v>0.04</v>
      </c>
      <c r="AC187" s="229">
        <v>5.1000000000000004E-3</v>
      </c>
      <c r="AD187" s="228">
        <v>0.27</v>
      </c>
      <c r="AE187" s="228">
        <v>0.23</v>
      </c>
      <c r="AF187" s="228">
        <v>0.04</v>
      </c>
      <c r="AG187" s="229">
        <v>5.1000000000000004E-3</v>
      </c>
      <c r="AH187" s="228">
        <v>0.56999999999999995</v>
      </c>
      <c r="AI187" s="228">
        <v>0.56000000000000005</v>
      </c>
      <c r="AJ187" s="228">
        <v>0.01</v>
      </c>
      <c r="AK187" s="229">
        <v>1.0800000000000001E-2</v>
      </c>
      <c r="AL187" s="228">
        <v>0.9</v>
      </c>
      <c r="AM187" s="228">
        <v>0.83</v>
      </c>
      <c r="AN187" s="228">
        <v>7.0000000000000007E-2</v>
      </c>
      <c r="AO187" s="229">
        <v>1.7000000000000001E-2</v>
      </c>
      <c r="AP187" s="228">
        <v>53.38</v>
      </c>
      <c r="AQ187" s="228">
        <v>53.91</v>
      </c>
      <c r="AR187" s="228">
        <v>0</v>
      </c>
      <c r="AS187" s="228">
        <v>259</v>
      </c>
      <c r="AT187" s="228">
        <v>107</v>
      </c>
      <c r="AU187" s="228">
        <v>152</v>
      </c>
      <c r="AV187" s="229">
        <v>1.4155</v>
      </c>
      <c r="AW187" s="228">
        <v>196</v>
      </c>
      <c r="AX187" s="228">
        <v>98</v>
      </c>
      <c r="AY187" s="228">
        <v>98</v>
      </c>
      <c r="AZ187" s="229">
        <v>0.998</v>
      </c>
      <c r="BA187" s="228">
        <v>61</v>
      </c>
      <c r="BB187" s="228">
        <v>7</v>
      </c>
      <c r="BC187" s="228">
        <v>54</v>
      </c>
      <c r="BD187" s="229">
        <v>7.9786999999999999</v>
      </c>
      <c r="BE187" s="228">
        <v>2</v>
      </c>
      <c r="BF187" s="228">
        <v>2</v>
      </c>
      <c r="BG187" s="228">
        <v>0</v>
      </c>
      <c r="BH187" s="229">
        <v>-0.1042</v>
      </c>
      <c r="BI187" s="228">
        <v>405</v>
      </c>
      <c r="BJ187" s="228">
        <v>288</v>
      </c>
      <c r="BK187" s="228">
        <v>117</v>
      </c>
      <c r="BL187" s="229">
        <v>0.40589999999999998</v>
      </c>
      <c r="BM187" s="228">
        <v>136</v>
      </c>
      <c r="BN187" s="228">
        <v>87</v>
      </c>
      <c r="BO187" s="228">
        <v>48</v>
      </c>
      <c r="BP187" s="229">
        <v>0.55679999999999996</v>
      </c>
      <c r="BQ187" s="228">
        <v>799</v>
      </c>
      <c r="BR187" s="228">
        <v>482</v>
      </c>
      <c r="BS187" s="228">
        <v>317</v>
      </c>
      <c r="BT187" s="229">
        <v>0.65720000000000001</v>
      </c>
      <c r="BU187" s="230">
        <v>52800482</v>
      </c>
      <c r="BV187" s="230">
        <v>34869645</v>
      </c>
      <c r="BW187" s="230">
        <v>17930837</v>
      </c>
      <c r="BX187" s="229">
        <v>0.51419999999999999</v>
      </c>
      <c r="BY187" s="230">
        <v>1684</v>
      </c>
      <c r="BZ187" s="230">
        <v>1612</v>
      </c>
      <c r="CA187" s="228">
        <v>72</v>
      </c>
      <c r="CB187" s="229">
        <v>4.4699999999999997E-2</v>
      </c>
      <c r="CC187" s="230">
        <v>1547</v>
      </c>
      <c r="CD187" s="230">
        <v>1526</v>
      </c>
      <c r="CE187" s="228">
        <v>21</v>
      </c>
      <c r="CF187" s="229">
        <v>1.37E-2</v>
      </c>
      <c r="CG187" s="228">
        <v>131</v>
      </c>
      <c r="CH187" s="228">
        <v>81</v>
      </c>
      <c r="CI187" s="228">
        <v>50</v>
      </c>
      <c r="CJ187" s="229">
        <v>0.61339999999999995</v>
      </c>
      <c r="CK187" s="228">
        <v>7</v>
      </c>
      <c r="CL187" s="228">
        <v>5</v>
      </c>
      <c r="CM187" s="228">
        <v>1</v>
      </c>
      <c r="CN187" s="229">
        <v>0.2752</v>
      </c>
      <c r="CO187" s="228">
        <v>707</v>
      </c>
      <c r="CP187" s="228">
        <v>676</v>
      </c>
      <c r="CQ187" s="228">
        <v>31</v>
      </c>
      <c r="CR187" s="229">
        <v>4.53E-2</v>
      </c>
      <c r="CS187" s="228">
        <v>387</v>
      </c>
      <c r="CT187" s="228">
        <v>381</v>
      </c>
      <c r="CU187" s="228">
        <v>7</v>
      </c>
      <c r="CV187" s="229">
        <v>1.7299999999999999E-2</v>
      </c>
      <c r="CW187" s="230">
        <v>2778</v>
      </c>
      <c r="CX187" s="230">
        <v>2669</v>
      </c>
      <c r="CY187" s="228">
        <v>109</v>
      </c>
      <c r="CZ187" s="229">
        <v>4.0899999999999999E-2</v>
      </c>
      <c r="DA187" s="228">
        <v>35.04</v>
      </c>
      <c r="DB187" s="228">
        <v>33.72</v>
      </c>
      <c r="DC187" s="228">
        <v>1.32</v>
      </c>
      <c r="DD187" s="228">
        <v>1.32</v>
      </c>
      <c r="DE187" s="228">
        <v>46.46</v>
      </c>
      <c r="DF187" s="228">
        <v>46.56</v>
      </c>
      <c r="DG187" s="228">
        <v>-11.42</v>
      </c>
      <c r="DH187" s="228">
        <v>-0.1</v>
      </c>
      <c r="DI187" s="228">
        <v>35.880000000000003</v>
      </c>
      <c r="DJ187" s="228">
        <v>34.54</v>
      </c>
      <c r="DK187" s="228">
        <v>1.34</v>
      </c>
      <c r="DL187" s="228">
        <v>1.34</v>
      </c>
      <c r="DM187" s="228">
        <v>32.53</v>
      </c>
      <c r="DN187" s="228">
        <v>31.01</v>
      </c>
      <c r="DO187" s="228">
        <v>1.52</v>
      </c>
      <c r="DP187" s="228">
        <v>1.52</v>
      </c>
      <c r="DQ187" s="228">
        <v>0.55000000000000004</v>
      </c>
      <c r="DR187" s="228">
        <v>0.56000000000000005</v>
      </c>
      <c r="DS187" s="228">
        <v>-0.01</v>
      </c>
      <c r="DT187" s="229">
        <v>-1.7899999999999999E-2</v>
      </c>
      <c r="DU187" s="228">
        <v>60</v>
      </c>
      <c r="DV187" s="228">
        <v>54</v>
      </c>
      <c r="DW187" s="228">
        <v>0.33</v>
      </c>
      <c r="DX187" s="228">
        <v>0.3</v>
      </c>
      <c r="DY187" s="228">
        <v>0.03</v>
      </c>
      <c r="DZ187" s="229">
        <v>0.1</v>
      </c>
      <c r="EA187" s="229">
        <v>8.1600000000000006E-2</v>
      </c>
      <c r="EB187" s="230">
        <v>16226950</v>
      </c>
      <c r="EC187" s="229">
        <v>5.5999999999999999E-3</v>
      </c>
      <c r="ED187" s="229">
        <v>8.1600000000000006E-2</v>
      </c>
      <c r="EE187" s="228">
        <v>0.53</v>
      </c>
      <c r="EF187" s="229">
        <v>9.9000000000000008E-3</v>
      </c>
      <c r="EG187" s="230">
        <v>28954612</v>
      </c>
      <c r="EH187" s="230">
        <v>15073583</v>
      </c>
      <c r="EI187" s="229">
        <v>0.92090000000000005</v>
      </c>
      <c r="EJ187" s="229">
        <v>0.5484</v>
      </c>
      <c r="EK187" s="228">
        <v>438.5</v>
      </c>
      <c r="EL187" s="228">
        <v>134.35</v>
      </c>
      <c r="EM187" s="228">
        <v>260.25</v>
      </c>
      <c r="EN187" s="228">
        <v>36.950000000000003</v>
      </c>
      <c r="EO187" s="228">
        <v>833.1</v>
      </c>
      <c r="EP187" s="228">
        <v>510.55</v>
      </c>
      <c r="EQ187" s="228">
        <v>322.55</v>
      </c>
      <c r="ER187" s="229">
        <v>0.63180000000000003</v>
      </c>
      <c r="ES187" s="228">
        <v>762.93</v>
      </c>
      <c r="ET187" s="228">
        <v>385.57</v>
      </c>
      <c r="EU187" s="231">
        <v>1684.83</v>
      </c>
      <c r="EV187" s="231">
        <v>1814982173</v>
      </c>
      <c r="EW187" s="231">
        <v>2833.34</v>
      </c>
      <c r="EX187" s="231">
        <v>2737.34</v>
      </c>
      <c r="EY187" s="228">
        <v>96</v>
      </c>
      <c r="EZ187" s="229">
        <v>3.5099999999999999E-2</v>
      </c>
      <c r="FA187" s="229">
        <v>0.28789999999999999</v>
      </c>
      <c r="FB187" s="227" t="s">
        <v>567</v>
      </c>
      <c r="FC187">
        <f t="shared" si="3"/>
        <v>0</v>
      </c>
    </row>
    <row r="188" spans="1:159" ht="17.25" thickBot="1" x14ac:dyDescent="0.3">
      <c r="A188" s="226">
        <v>46029</v>
      </c>
      <c r="B188" s="227" t="s">
        <v>615</v>
      </c>
      <c r="C188" s="227" t="s">
        <v>693</v>
      </c>
      <c r="D188" s="228">
        <v>1300</v>
      </c>
      <c r="E188" s="228">
        <v>20</v>
      </c>
      <c r="F188" s="228">
        <v>363.1</v>
      </c>
      <c r="G188" s="228">
        <v>362.25</v>
      </c>
      <c r="H188" s="228">
        <v>0.85</v>
      </c>
      <c r="I188" s="229">
        <v>2.3E-3</v>
      </c>
      <c r="J188" s="228">
        <v>361.9</v>
      </c>
      <c r="K188" s="228">
        <v>361</v>
      </c>
      <c r="L188" s="228">
        <v>0.9</v>
      </c>
      <c r="M188" s="229">
        <v>2.5000000000000001E-3</v>
      </c>
      <c r="N188" s="228">
        <v>363.1</v>
      </c>
      <c r="O188" s="228">
        <v>362.25</v>
      </c>
      <c r="P188" s="228">
        <v>0.85</v>
      </c>
      <c r="Q188" s="229">
        <v>2.3E-3</v>
      </c>
      <c r="R188" s="228">
        <v>362.8</v>
      </c>
      <c r="S188" s="228">
        <v>360.75</v>
      </c>
      <c r="T188" s="228">
        <v>2.0499999999999998</v>
      </c>
      <c r="U188" s="229">
        <v>5.7000000000000002E-3</v>
      </c>
      <c r="V188" s="228">
        <v>363.3</v>
      </c>
      <c r="W188" s="228">
        <v>362.95</v>
      </c>
      <c r="X188" s="228">
        <v>0.35</v>
      </c>
      <c r="Y188" s="229">
        <v>1E-3</v>
      </c>
      <c r="Z188" s="228">
        <v>1.2</v>
      </c>
      <c r="AA188" s="228">
        <v>1.25</v>
      </c>
      <c r="AB188" s="228">
        <v>-0.05</v>
      </c>
      <c r="AC188" s="229">
        <v>3.3E-3</v>
      </c>
      <c r="AD188" s="228">
        <v>1.2</v>
      </c>
      <c r="AE188" s="228">
        <v>1.25</v>
      </c>
      <c r="AF188" s="228">
        <v>-0.05</v>
      </c>
      <c r="AG188" s="229">
        <v>3.3E-3</v>
      </c>
      <c r="AH188" s="228">
        <v>0.9</v>
      </c>
      <c r="AI188" s="228">
        <v>-0.25</v>
      </c>
      <c r="AJ188" s="228">
        <v>1.1499999999999999</v>
      </c>
      <c r="AK188" s="229">
        <v>2.5000000000000001E-3</v>
      </c>
      <c r="AL188" s="228">
        <v>1.4</v>
      </c>
      <c r="AM188" s="228">
        <v>1.95</v>
      </c>
      <c r="AN188" s="228">
        <v>-0.55000000000000004</v>
      </c>
      <c r="AO188" s="229">
        <v>3.8999999999999998E-3</v>
      </c>
      <c r="AP188" s="228">
        <v>362.93</v>
      </c>
      <c r="AQ188" s="228">
        <v>362.41</v>
      </c>
      <c r="AR188" s="228">
        <v>0</v>
      </c>
      <c r="AS188" s="228">
        <v>256</v>
      </c>
      <c r="AT188" s="228">
        <v>612</v>
      </c>
      <c r="AU188" s="228">
        <v>-357</v>
      </c>
      <c r="AV188" s="229">
        <v>-0.5827</v>
      </c>
      <c r="AW188" s="228">
        <v>242</v>
      </c>
      <c r="AX188" s="228">
        <v>576</v>
      </c>
      <c r="AY188" s="228">
        <v>-335</v>
      </c>
      <c r="AZ188" s="229">
        <v>-0.58079999999999998</v>
      </c>
      <c r="BA188" s="228">
        <v>13</v>
      </c>
      <c r="BB188" s="228">
        <v>30</v>
      </c>
      <c r="BC188" s="228">
        <v>-17</v>
      </c>
      <c r="BD188" s="229">
        <v>-0.56940000000000002</v>
      </c>
      <c r="BE188" s="228">
        <v>1</v>
      </c>
      <c r="BF188" s="228">
        <v>6</v>
      </c>
      <c r="BG188" s="228">
        <v>-5</v>
      </c>
      <c r="BH188" s="229">
        <v>-0.82709999999999995</v>
      </c>
      <c r="BI188" s="228">
        <v>264</v>
      </c>
      <c r="BJ188" s="228">
        <v>467</v>
      </c>
      <c r="BK188" s="228">
        <v>-203</v>
      </c>
      <c r="BL188" s="229">
        <v>-0.43530000000000002</v>
      </c>
      <c r="BM188" s="228">
        <v>152</v>
      </c>
      <c r="BN188" s="228">
        <v>494</v>
      </c>
      <c r="BO188" s="228">
        <v>-341</v>
      </c>
      <c r="BP188" s="229">
        <v>-0.6915</v>
      </c>
      <c r="BQ188" s="228">
        <v>671</v>
      </c>
      <c r="BR188" s="230">
        <v>1573</v>
      </c>
      <c r="BS188" s="228">
        <v>-901</v>
      </c>
      <c r="BT188" s="229">
        <v>-0.57310000000000005</v>
      </c>
      <c r="BU188" s="230">
        <v>10461943</v>
      </c>
      <c r="BV188" s="230">
        <v>28274163</v>
      </c>
      <c r="BW188" s="230">
        <v>-17812220</v>
      </c>
      <c r="BX188" s="229">
        <v>-0.63</v>
      </c>
      <c r="BY188" s="228">
        <v>624</v>
      </c>
      <c r="BZ188" s="228">
        <v>518</v>
      </c>
      <c r="CA188" s="228">
        <v>106</v>
      </c>
      <c r="CB188" s="229">
        <v>0.2049</v>
      </c>
      <c r="CC188" s="228">
        <v>605</v>
      </c>
      <c r="CD188" s="228">
        <v>503</v>
      </c>
      <c r="CE188" s="228">
        <v>102</v>
      </c>
      <c r="CF188" s="229">
        <v>0.20330000000000001</v>
      </c>
      <c r="CG188" s="228">
        <v>13</v>
      </c>
      <c r="CH188" s="228">
        <v>10</v>
      </c>
      <c r="CI188" s="228">
        <v>3</v>
      </c>
      <c r="CJ188" s="229">
        <v>0.35610000000000003</v>
      </c>
      <c r="CK188" s="228">
        <v>5</v>
      </c>
      <c r="CL188" s="228">
        <v>5</v>
      </c>
      <c r="CM188" s="228">
        <v>0</v>
      </c>
      <c r="CN188" s="229">
        <v>7.6899999999999996E-2</v>
      </c>
      <c r="CO188" s="228">
        <v>223</v>
      </c>
      <c r="CP188" s="228">
        <v>195</v>
      </c>
      <c r="CQ188" s="228">
        <v>28</v>
      </c>
      <c r="CR188" s="229">
        <v>0.14560000000000001</v>
      </c>
      <c r="CS188" s="228">
        <v>159</v>
      </c>
      <c r="CT188" s="228">
        <v>147</v>
      </c>
      <c r="CU188" s="228">
        <v>12</v>
      </c>
      <c r="CV188" s="229">
        <v>8.2699999999999996E-2</v>
      </c>
      <c r="CW188" s="230">
        <v>1006</v>
      </c>
      <c r="CX188" s="228">
        <v>859</v>
      </c>
      <c r="CY188" s="228">
        <v>147</v>
      </c>
      <c r="CZ188" s="229">
        <v>0.1706</v>
      </c>
      <c r="DA188" s="228">
        <v>38.450000000000003</v>
      </c>
      <c r="DB188" s="228">
        <v>40</v>
      </c>
      <c r="DC188" s="228">
        <v>-1.55</v>
      </c>
      <c r="DD188" s="228">
        <v>-1.55</v>
      </c>
      <c r="DE188" s="228">
        <v>44.31</v>
      </c>
      <c r="DF188" s="228">
        <v>44.42</v>
      </c>
      <c r="DG188" s="228">
        <v>-5.86</v>
      </c>
      <c r="DH188" s="228">
        <v>-0.11</v>
      </c>
      <c r="DI188" s="228">
        <v>37.86</v>
      </c>
      <c r="DJ188" s="228">
        <v>38.26</v>
      </c>
      <c r="DK188" s="228">
        <v>-0.4</v>
      </c>
      <c r="DL188" s="228">
        <v>-0.4</v>
      </c>
      <c r="DM188" s="228">
        <v>39.479999999999997</v>
      </c>
      <c r="DN188" s="228">
        <v>41.65</v>
      </c>
      <c r="DO188" s="228">
        <v>-2.17</v>
      </c>
      <c r="DP188" s="228">
        <v>-2.17</v>
      </c>
      <c r="DQ188" s="228">
        <v>0.71</v>
      </c>
      <c r="DR188" s="228">
        <v>0.75</v>
      </c>
      <c r="DS188" s="228">
        <v>-0.04</v>
      </c>
      <c r="DT188" s="229">
        <v>-5.33E-2</v>
      </c>
      <c r="DU188" s="228">
        <v>400</v>
      </c>
      <c r="DV188" s="228">
        <v>360</v>
      </c>
      <c r="DW188" s="228">
        <v>0.57999999999999996</v>
      </c>
      <c r="DX188" s="228">
        <v>1.06</v>
      </c>
      <c r="DY188" s="228">
        <v>-0.48</v>
      </c>
      <c r="DZ188" s="229">
        <v>-0.45279999999999998</v>
      </c>
      <c r="EA188" s="229">
        <v>2.9499999999999998E-2</v>
      </c>
      <c r="EB188" s="230">
        <v>401700</v>
      </c>
      <c r="EC188" s="229">
        <v>-8.0000000000000004E-4</v>
      </c>
      <c r="ED188" s="229">
        <v>2.9499999999999998E-2</v>
      </c>
      <c r="EE188" s="228">
        <v>-0.52</v>
      </c>
      <c r="EF188" s="229">
        <v>-1.4E-3</v>
      </c>
      <c r="EG188" s="230">
        <v>5171076</v>
      </c>
      <c r="EH188" s="230">
        <v>15008041</v>
      </c>
      <c r="EI188" s="229">
        <v>-0.65539999999999998</v>
      </c>
      <c r="EJ188" s="229">
        <v>0.49430000000000002</v>
      </c>
      <c r="EK188" s="228">
        <v>281.22000000000003</v>
      </c>
      <c r="EL188" s="228">
        <v>152.77000000000001</v>
      </c>
      <c r="EM188" s="228">
        <v>255.37</v>
      </c>
      <c r="EN188" s="228">
        <v>49.85</v>
      </c>
      <c r="EO188" s="228">
        <v>689.36</v>
      </c>
      <c r="EP188" s="231">
        <v>1610.85</v>
      </c>
      <c r="EQ188" s="228">
        <v>-921.49</v>
      </c>
      <c r="ER188" s="229">
        <v>-0.57210000000000005</v>
      </c>
      <c r="ES188" s="228">
        <v>241.14</v>
      </c>
      <c r="ET188" s="228">
        <v>157.16</v>
      </c>
      <c r="EU188" s="228">
        <v>623.87</v>
      </c>
      <c r="EV188" s="231">
        <v>375529891</v>
      </c>
      <c r="EW188" s="231">
        <v>1022.17</v>
      </c>
      <c r="EX188" s="228">
        <v>873.28</v>
      </c>
      <c r="EY188" s="228">
        <v>148.88999999999999</v>
      </c>
      <c r="EZ188" s="229">
        <v>0.17050000000000001</v>
      </c>
      <c r="FA188" s="229">
        <v>7.3800000000000004E-2</v>
      </c>
      <c r="FB188" s="227" t="s">
        <v>555</v>
      </c>
      <c r="FC188">
        <f t="shared" si="3"/>
        <v>0</v>
      </c>
    </row>
    <row r="189" spans="1:159" ht="17.25" thickBot="1" x14ac:dyDescent="0.3">
      <c r="A189" s="226">
        <v>46029</v>
      </c>
      <c r="B189" s="227" t="s">
        <v>170</v>
      </c>
      <c r="C189" s="227" t="s">
        <v>520</v>
      </c>
      <c r="D189" s="228">
        <v>1000</v>
      </c>
      <c r="E189" s="228">
        <v>20</v>
      </c>
      <c r="F189" s="228">
        <v>658.2</v>
      </c>
      <c r="G189" s="228">
        <v>659.15</v>
      </c>
      <c r="H189" s="228">
        <v>-0.95</v>
      </c>
      <c r="I189" s="229">
        <v>-1.4E-3</v>
      </c>
      <c r="J189" s="228">
        <v>656.75</v>
      </c>
      <c r="K189" s="228">
        <v>655.65</v>
      </c>
      <c r="L189" s="228">
        <v>1.1000000000000001</v>
      </c>
      <c r="M189" s="229">
        <v>1.6999999999999999E-3</v>
      </c>
      <c r="N189" s="228">
        <v>658.2</v>
      </c>
      <c r="O189" s="228">
        <v>659.15</v>
      </c>
      <c r="P189" s="228">
        <v>-0.95</v>
      </c>
      <c r="Q189" s="229">
        <v>-1.4E-3</v>
      </c>
      <c r="R189" s="228">
        <v>662.25</v>
      </c>
      <c r="S189" s="228">
        <v>662.7</v>
      </c>
      <c r="T189" s="228">
        <v>-0.45</v>
      </c>
      <c r="U189" s="229">
        <v>-6.9999999999999999E-4</v>
      </c>
      <c r="V189" s="228">
        <v>666.7</v>
      </c>
      <c r="W189" s="228">
        <v>666.4</v>
      </c>
      <c r="X189" s="228">
        <v>0.3</v>
      </c>
      <c r="Y189" s="229">
        <v>5.0000000000000001E-4</v>
      </c>
      <c r="Z189" s="228">
        <v>1.45</v>
      </c>
      <c r="AA189" s="228">
        <v>3.5</v>
      </c>
      <c r="AB189" s="228">
        <v>-2.0499999999999998</v>
      </c>
      <c r="AC189" s="229">
        <v>2.2000000000000001E-3</v>
      </c>
      <c r="AD189" s="228">
        <v>1.45</v>
      </c>
      <c r="AE189" s="228">
        <v>3.5</v>
      </c>
      <c r="AF189" s="228">
        <v>-2.0499999999999998</v>
      </c>
      <c r="AG189" s="229">
        <v>2.2000000000000001E-3</v>
      </c>
      <c r="AH189" s="228">
        <v>5.5</v>
      </c>
      <c r="AI189" s="228">
        <v>7.05</v>
      </c>
      <c r="AJ189" s="228">
        <v>-1.55</v>
      </c>
      <c r="AK189" s="229">
        <v>8.3999999999999995E-3</v>
      </c>
      <c r="AL189" s="228">
        <v>9.9499999999999993</v>
      </c>
      <c r="AM189" s="228">
        <v>10.75</v>
      </c>
      <c r="AN189" s="228">
        <v>-0.8</v>
      </c>
      <c r="AO189" s="229">
        <v>1.52E-2</v>
      </c>
      <c r="AP189" s="228">
        <v>666.13</v>
      </c>
      <c r="AQ189" s="228">
        <v>670.58</v>
      </c>
      <c r="AR189" s="228">
        <v>0</v>
      </c>
      <c r="AS189" s="228">
        <v>444</v>
      </c>
      <c r="AT189" s="228">
        <v>101</v>
      </c>
      <c r="AU189" s="228">
        <v>343</v>
      </c>
      <c r="AV189" s="229">
        <v>3.3923000000000001</v>
      </c>
      <c r="AW189" s="228">
        <v>421</v>
      </c>
      <c r="AX189" s="228">
        <v>98</v>
      </c>
      <c r="AY189" s="228">
        <v>323</v>
      </c>
      <c r="AZ189" s="229">
        <v>3.2858000000000001</v>
      </c>
      <c r="BA189" s="228">
        <v>20</v>
      </c>
      <c r="BB189" s="228">
        <v>2</v>
      </c>
      <c r="BC189" s="228">
        <v>18</v>
      </c>
      <c r="BD189" s="229">
        <v>7.7142999999999997</v>
      </c>
      <c r="BE189" s="228">
        <v>3</v>
      </c>
      <c r="BF189" s="228">
        <v>1</v>
      </c>
      <c r="BG189" s="228">
        <v>2</v>
      </c>
      <c r="BH189" s="229">
        <v>4.375</v>
      </c>
      <c r="BI189" s="230">
        <v>1645</v>
      </c>
      <c r="BJ189" s="228">
        <v>112</v>
      </c>
      <c r="BK189" s="230">
        <v>1532</v>
      </c>
      <c r="BL189" s="229">
        <v>13.620200000000001</v>
      </c>
      <c r="BM189" s="228">
        <v>407</v>
      </c>
      <c r="BN189" s="228">
        <v>32</v>
      </c>
      <c r="BO189" s="228">
        <v>375</v>
      </c>
      <c r="BP189" s="229">
        <v>11.5436</v>
      </c>
      <c r="BQ189" s="230">
        <v>2496</v>
      </c>
      <c r="BR189" s="228">
        <v>246</v>
      </c>
      <c r="BS189" s="230">
        <v>2250</v>
      </c>
      <c r="BT189" s="229">
        <v>9.1419999999999995</v>
      </c>
      <c r="BU189" s="230">
        <v>2502544</v>
      </c>
      <c r="BV189" s="230">
        <v>399208</v>
      </c>
      <c r="BW189" s="230">
        <v>2103336</v>
      </c>
      <c r="BX189" s="229">
        <v>5.2687999999999997</v>
      </c>
      <c r="BY189" s="228">
        <v>558</v>
      </c>
      <c r="BZ189" s="228">
        <v>522</v>
      </c>
      <c r="CA189" s="228">
        <v>36</v>
      </c>
      <c r="CB189" s="229">
        <v>6.88E-2</v>
      </c>
      <c r="CC189" s="228">
        <v>544</v>
      </c>
      <c r="CD189" s="228">
        <v>515</v>
      </c>
      <c r="CE189" s="228">
        <v>30</v>
      </c>
      <c r="CF189" s="229">
        <v>5.7700000000000001E-2</v>
      </c>
      <c r="CG189" s="228">
        <v>12</v>
      </c>
      <c r="CH189" s="228">
        <v>6</v>
      </c>
      <c r="CI189" s="228">
        <v>5</v>
      </c>
      <c r="CJ189" s="229">
        <v>0.80610000000000004</v>
      </c>
      <c r="CK189" s="228">
        <v>2</v>
      </c>
      <c r="CL189" s="228">
        <v>1</v>
      </c>
      <c r="CM189" s="228">
        <v>1</v>
      </c>
      <c r="CN189" s="229">
        <v>1</v>
      </c>
      <c r="CO189" s="228">
        <v>384</v>
      </c>
      <c r="CP189" s="228">
        <v>177</v>
      </c>
      <c r="CQ189" s="228">
        <v>208</v>
      </c>
      <c r="CR189" s="229">
        <v>1.1738</v>
      </c>
      <c r="CS189" s="228">
        <v>164</v>
      </c>
      <c r="CT189" s="228">
        <v>98</v>
      </c>
      <c r="CU189" s="228">
        <v>65</v>
      </c>
      <c r="CV189" s="229">
        <v>0.66239999999999999</v>
      </c>
      <c r="CW189" s="230">
        <v>1106</v>
      </c>
      <c r="CX189" s="228">
        <v>797</v>
      </c>
      <c r="CY189" s="228">
        <v>309</v>
      </c>
      <c r="CZ189" s="229">
        <v>0.38719999999999999</v>
      </c>
      <c r="DA189" s="228">
        <v>33.21</v>
      </c>
      <c r="DB189" s="228">
        <v>27.13</v>
      </c>
      <c r="DC189" s="228">
        <v>6.08</v>
      </c>
      <c r="DD189" s="228">
        <v>6.08</v>
      </c>
      <c r="DE189" s="228">
        <v>31.59</v>
      </c>
      <c r="DF189" s="228">
        <v>31.66</v>
      </c>
      <c r="DG189" s="228">
        <v>1.62</v>
      </c>
      <c r="DH189" s="228">
        <v>-7.0000000000000007E-2</v>
      </c>
      <c r="DI189" s="228">
        <v>33.35</v>
      </c>
      <c r="DJ189" s="228">
        <v>27.18</v>
      </c>
      <c r="DK189" s="228">
        <v>6.17</v>
      </c>
      <c r="DL189" s="228">
        <v>6.17</v>
      </c>
      <c r="DM189" s="228">
        <v>32.659999999999997</v>
      </c>
      <c r="DN189" s="228">
        <v>26.95</v>
      </c>
      <c r="DO189" s="228">
        <v>5.71</v>
      </c>
      <c r="DP189" s="228">
        <v>5.71</v>
      </c>
      <c r="DQ189" s="228">
        <v>0.43</v>
      </c>
      <c r="DR189" s="228">
        <v>0.56000000000000005</v>
      </c>
      <c r="DS189" s="228">
        <v>-0.13</v>
      </c>
      <c r="DT189" s="229">
        <v>-0.2321</v>
      </c>
      <c r="DU189" s="228">
        <v>680</v>
      </c>
      <c r="DV189" s="228">
        <v>660</v>
      </c>
      <c r="DW189" s="228">
        <v>0.25</v>
      </c>
      <c r="DX189" s="228">
        <v>0.28999999999999998</v>
      </c>
      <c r="DY189" s="228">
        <v>-0.04</v>
      </c>
      <c r="DZ189" s="229">
        <v>-0.13789999999999999</v>
      </c>
      <c r="EA189" s="229">
        <v>2.46E-2</v>
      </c>
      <c r="EB189" s="230">
        <v>114000</v>
      </c>
      <c r="EC189" s="229">
        <v>6.1999999999999998E-3</v>
      </c>
      <c r="ED189" s="229">
        <v>2.46E-2</v>
      </c>
      <c r="EE189" s="228">
        <v>4.45</v>
      </c>
      <c r="EF189" s="229">
        <v>6.7000000000000002E-3</v>
      </c>
      <c r="EG189" s="230">
        <v>1114780</v>
      </c>
      <c r="EH189" s="230">
        <v>241409</v>
      </c>
      <c r="EI189" s="229">
        <v>3.6177999999999999</v>
      </c>
      <c r="EJ189" s="229">
        <v>0.44550000000000001</v>
      </c>
      <c r="EK189" s="231">
        <v>1753.26</v>
      </c>
      <c r="EL189" s="228">
        <v>409.93</v>
      </c>
      <c r="EM189" s="228">
        <v>449.87</v>
      </c>
      <c r="EN189" s="228">
        <v>9.8800000000000008</v>
      </c>
      <c r="EO189" s="231">
        <v>2613.0700000000002</v>
      </c>
      <c r="EP189" s="228">
        <v>250.74</v>
      </c>
      <c r="EQ189" s="231">
        <v>2362.33</v>
      </c>
      <c r="ER189" s="229">
        <v>9.4214000000000002</v>
      </c>
      <c r="ES189" s="228">
        <v>403.7</v>
      </c>
      <c r="ET189" s="228">
        <v>159.87</v>
      </c>
      <c r="EU189" s="228">
        <v>558.19000000000005</v>
      </c>
      <c r="EV189" s="231">
        <v>24733183</v>
      </c>
      <c r="EW189" s="231">
        <v>1121.75</v>
      </c>
      <c r="EX189" s="228">
        <v>803.95</v>
      </c>
      <c r="EY189" s="228">
        <v>317.8</v>
      </c>
      <c r="EZ189" s="229">
        <v>0.39529999999999998</v>
      </c>
      <c r="FA189" s="229">
        <v>0.67949999999999999</v>
      </c>
      <c r="FB189" s="227" t="s">
        <v>567</v>
      </c>
      <c r="FC189">
        <f t="shared" si="3"/>
        <v>0</v>
      </c>
    </row>
    <row r="190" spans="1:159" ht="17.25" thickBot="1" x14ac:dyDescent="0.3">
      <c r="A190" s="226">
        <v>46029</v>
      </c>
      <c r="B190" s="227" t="s">
        <v>168</v>
      </c>
      <c r="C190" s="227" t="s">
        <v>291</v>
      </c>
      <c r="D190" s="228">
        <v>550</v>
      </c>
      <c r="E190" s="228">
        <v>20</v>
      </c>
      <c r="F190" s="231">
        <v>1216.4000000000001</v>
      </c>
      <c r="G190" s="231">
        <v>1215.5999999999999</v>
      </c>
      <c r="H190" s="228">
        <v>0.8</v>
      </c>
      <c r="I190" s="229">
        <v>6.9999999999999999E-4</v>
      </c>
      <c r="J190" s="231">
        <v>1212.5999999999999</v>
      </c>
      <c r="K190" s="231">
        <v>1210.4000000000001</v>
      </c>
      <c r="L190" s="228">
        <v>2.2000000000000002</v>
      </c>
      <c r="M190" s="229">
        <v>1.8E-3</v>
      </c>
      <c r="N190" s="231">
        <v>1216.4000000000001</v>
      </c>
      <c r="O190" s="231">
        <v>1215.5999999999999</v>
      </c>
      <c r="P190" s="228">
        <v>0.8</v>
      </c>
      <c r="Q190" s="229">
        <v>6.9999999999999999E-4</v>
      </c>
      <c r="R190" s="231">
        <v>1223.4000000000001</v>
      </c>
      <c r="S190" s="231">
        <v>1222.4000000000001</v>
      </c>
      <c r="T190" s="228">
        <v>1</v>
      </c>
      <c r="U190" s="229">
        <v>8.0000000000000004E-4</v>
      </c>
      <c r="V190" s="231">
        <v>1227.8</v>
      </c>
      <c r="W190" s="231">
        <v>1230.7</v>
      </c>
      <c r="X190" s="228">
        <v>-2.9</v>
      </c>
      <c r="Y190" s="229">
        <v>-2.3999999999999998E-3</v>
      </c>
      <c r="Z190" s="228">
        <v>3.8</v>
      </c>
      <c r="AA190" s="228">
        <v>5.2</v>
      </c>
      <c r="AB190" s="228">
        <v>-1.4</v>
      </c>
      <c r="AC190" s="229">
        <v>3.0999999999999999E-3</v>
      </c>
      <c r="AD190" s="228">
        <v>3.8</v>
      </c>
      <c r="AE190" s="228">
        <v>5.2</v>
      </c>
      <c r="AF190" s="228">
        <v>-1.4</v>
      </c>
      <c r="AG190" s="229">
        <v>3.0999999999999999E-3</v>
      </c>
      <c r="AH190" s="228">
        <v>10.8</v>
      </c>
      <c r="AI190" s="228">
        <v>12</v>
      </c>
      <c r="AJ190" s="228">
        <v>-1.2</v>
      </c>
      <c r="AK190" s="229">
        <v>8.8999999999999999E-3</v>
      </c>
      <c r="AL190" s="228">
        <v>15.2</v>
      </c>
      <c r="AM190" s="228">
        <v>20.3</v>
      </c>
      <c r="AN190" s="228">
        <v>-5.0999999999999996</v>
      </c>
      <c r="AO190" s="229">
        <v>1.2500000000000001E-2</v>
      </c>
      <c r="AP190" s="231">
        <v>1217.0999999999999</v>
      </c>
      <c r="AQ190" s="231">
        <v>1224.6600000000001</v>
      </c>
      <c r="AR190" s="228">
        <v>0</v>
      </c>
      <c r="AS190" s="228">
        <v>180</v>
      </c>
      <c r="AT190" s="228">
        <v>301</v>
      </c>
      <c r="AU190" s="228">
        <v>-121</v>
      </c>
      <c r="AV190" s="229">
        <v>-0.40260000000000001</v>
      </c>
      <c r="AW190" s="228">
        <v>173</v>
      </c>
      <c r="AX190" s="228">
        <v>288</v>
      </c>
      <c r="AY190" s="228">
        <v>-116</v>
      </c>
      <c r="AZ190" s="229">
        <v>-0.40100000000000002</v>
      </c>
      <c r="BA190" s="228">
        <v>6</v>
      </c>
      <c r="BB190" s="228">
        <v>11</v>
      </c>
      <c r="BC190" s="228">
        <v>-5</v>
      </c>
      <c r="BD190" s="229">
        <v>-0.42680000000000001</v>
      </c>
      <c r="BE190" s="228">
        <v>0</v>
      </c>
      <c r="BF190" s="228">
        <v>1</v>
      </c>
      <c r="BG190" s="228">
        <v>-1</v>
      </c>
      <c r="BH190" s="229">
        <v>-0.58819999999999995</v>
      </c>
      <c r="BI190" s="228">
        <v>829</v>
      </c>
      <c r="BJ190" s="230">
        <v>1209</v>
      </c>
      <c r="BK190" s="228">
        <v>-380</v>
      </c>
      <c r="BL190" s="229">
        <v>-0.31419999999999998</v>
      </c>
      <c r="BM190" s="228">
        <v>255</v>
      </c>
      <c r="BN190" s="228">
        <v>369</v>
      </c>
      <c r="BO190" s="228">
        <v>-114</v>
      </c>
      <c r="BP190" s="229">
        <v>-0.30830000000000002</v>
      </c>
      <c r="BQ190" s="230">
        <v>1264</v>
      </c>
      <c r="BR190" s="230">
        <v>1879</v>
      </c>
      <c r="BS190" s="228">
        <v>-615</v>
      </c>
      <c r="BT190" s="229">
        <v>-0.32719999999999999</v>
      </c>
      <c r="BU190" s="230">
        <v>1067084</v>
      </c>
      <c r="BV190" s="230">
        <v>1296597</v>
      </c>
      <c r="BW190" s="230">
        <v>-229513</v>
      </c>
      <c r="BX190" s="229">
        <v>-0.17699999999999999</v>
      </c>
      <c r="BY190" s="230">
        <v>1423</v>
      </c>
      <c r="BZ190" s="230">
        <v>1428</v>
      </c>
      <c r="CA190" s="228">
        <v>-5</v>
      </c>
      <c r="CB190" s="229">
        <v>-3.5999999999999999E-3</v>
      </c>
      <c r="CC190" s="230">
        <v>1402</v>
      </c>
      <c r="CD190" s="230">
        <v>1407</v>
      </c>
      <c r="CE190" s="228">
        <v>-6</v>
      </c>
      <c r="CF190" s="229">
        <v>-4.1999999999999997E-3</v>
      </c>
      <c r="CG190" s="228">
        <v>18</v>
      </c>
      <c r="CH190" s="228">
        <v>18</v>
      </c>
      <c r="CI190" s="228">
        <v>1</v>
      </c>
      <c r="CJ190" s="229">
        <v>3.0300000000000001E-2</v>
      </c>
      <c r="CK190" s="228">
        <v>3</v>
      </c>
      <c r="CL190" s="228">
        <v>3</v>
      </c>
      <c r="CM190" s="228">
        <v>0</v>
      </c>
      <c r="CN190" s="229">
        <v>0.1</v>
      </c>
      <c r="CO190" s="228">
        <v>446</v>
      </c>
      <c r="CP190" s="228">
        <v>403</v>
      </c>
      <c r="CQ190" s="228">
        <v>43</v>
      </c>
      <c r="CR190" s="229">
        <v>0.10630000000000001</v>
      </c>
      <c r="CS190" s="228">
        <v>399</v>
      </c>
      <c r="CT190" s="228">
        <v>402</v>
      </c>
      <c r="CU190" s="228">
        <v>-3</v>
      </c>
      <c r="CV190" s="229">
        <v>-8.0999999999999996E-3</v>
      </c>
      <c r="CW190" s="230">
        <v>2268</v>
      </c>
      <c r="CX190" s="230">
        <v>2234</v>
      </c>
      <c r="CY190" s="228">
        <v>35</v>
      </c>
      <c r="CZ190" s="229">
        <v>1.55E-2</v>
      </c>
      <c r="DA190" s="228">
        <v>22.09</v>
      </c>
      <c r="DB190" s="228">
        <v>22.06</v>
      </c>
      <c r="DC190" s="228">
        <v>0.03</v>
      </c>
      <c r="DD190" s="228">
        <v>0.03</v>
      </c>
      <c r="DE190" s="228">
        <v>25.67</v>
      </c>
      <c r="DF190" s="228">
        <v>25.73</v>
      </c>
      <c r="DG190" s="228">
        <v>-3.58</v>
      </c>
      <c r="DH190" s="228">
        <v>-0.06</v>
      </c>
      <c r="DI190" s="228">
        <v>22.04</v>
      </c>
      <c r="DJ190" s="228">
        <v>21.9</v>
      </c>
      <c r="DK190" s="228">
        <v>0.14000000000000001</v>
      </c>
      <c r="DL190" s="228">
        <v>0.14000000000000001</v>
      </c>
      <c r="DM190" s="228">
        <v>22.27</v>
      </c>
      <c r="DN190" s="228">
        <v>22.57</v>
      </c>
      <c r="DO190" s="228">
        <v>-0.3</v>
      </c>
      <c r="DP190" s="228">
        <v>-0.3</v>
      </c>
      <c r="DQ190" s="228">
        <v>0.89</v>
      </c>
      <c r="DR190" s="228">
        <v>1</v>
      </c>
      <c r="DS190" s="228">
        <v>-0.11</v>
      </c>
      <c r="DT190" s="229">
        <v>-0.11</v>
      </c>
      <c r="DU190" s="231">
        <v>1220</v>
      </c>
      <c r="DV190" s="231">
        <v>1080</v>
      </c>
      <c r="DW190" s="228">
        <v>0.31</v>
      </c>
      <c r="DX190" s="228">
        <v>0.31</v>
      </c>
      <c r="DY190" s="228">
        <v>0</v>
      </c>
      <c r="DZ190" s="229">
        <v>0</v>
      </c>
      <c r="EA190" s="229">
        <v>1.49E-2</v>
      </c>
      <c r="EB190" s="230">
        <v>167200</v>
      </c>
      <c r="EC190" s="229">
        <v>5.7999999999999996E-3</v>
      </c>
      <c r="ED190" s="229">
        <v>1.49E-2</v>
      </c>
      <c r="EE190" s="228">
        <v>7.56</v>
      </c>
      <c r="EF190" s="229">
        <v>6.1999999999999998E-3</v>
      </c>
      <c r="EG190" s="230">
        <v>607039</v>
      </c>
      <c r="EH190" s="230">
        <v>691282</v>
      </c>
      <c r="EI190" s="229">
        <v>-0.12189999999999999</v>
      </c>
      <c r="EJ190" s="229">
        <v>0.56889999999999996</v>
      </c>
      <c r="EK190" s="228">
        <v>855.67</v>
      </c>
      <c r="EL190" s="228">
        <v>249.92</v>
      </c>
      <c r="EM190" s="228">
        <v>179.71</v>
      </c>
      <c r="EN190" s="228">
        <v>31.12</v>
      </c>
      <c r="EO190" s="231">
        <v>1285.3</v>
      </c>
      <c r="EP190" s="231">
        <v>1898.07</v>
      </c>
      <c r="EQ190" s="228">
        <v>-612.76</v>
      </c>
      <c r="ER190" s="229">
        <v>-0.32279999999999998</v>
      </c>
      <c r="ES190" s="228">
        <v>457.91</v>
      </c>
      <c r="ET190" s="228">
        <v>372.46</v>
      </c>
      <c r="EU190" s="231">
        <v>1422.8</v>
      </c>
      <c r="EV190" s="231">
        <v>65472326</v>
      </c>
      <c r="EW190" s="231">
        <v>2253.17</v>
      </c>
      <c r="EX190" s="231">
        <v>2215.59</v>
      </c>
      <c r="EY190" s="228">
        <v>37.58</v>
      </c>
      <c r="EZ190" s="229">
        <v>1.7000000000000001E-2</v>
      </c>
      <c r="FA190" s="229">
        <v>0.2848</v>
      </c>
      <c r="FB190" s="227" t="s">
        <v>556</v>
      </c>
      <c r="FC190">
        <f t="shared" si="3"/>
        <v>0</v>
      </c>
    </row>
    <row r="191" spans="1:159" ht="17.25" thickBot="1" x14ac:dyDescent="0.3">
      <c r="A191" s="226">
        <v>46029</v>
      </c>
      <c r="B191" s="227" t="s">
        <v>221</v>
      </c>
      <c r="C191" s="227" t="s">
        <v>604</v>
      </c>
      <c r="D191" s="228">
        <v>100</v>
      </c>
      <c r="E191" s="228">
        <v>20</v>
      </c>
      <c r="F191" s="231">
        <v>5877.5</v>
      </c>
      <c r="G191" s="231">
        <v>5360</v>
      </c>
      <c r="H191" s="228">
        <v>517.5</v>
      </c>
      <c r="I191" s="229">
        <v>9.6500000000000002E-2</v>
      </c>
      <c r="J191" s="231">
        <v>5853</v>
      </c>
      <c r="K191" s="231">
        <v>5345</v>
      </c>
      <c r="L191" s="228">
        <v>508</v>
      </c>
      <c r="M191" s="229">
        <v>9.5000000000000001E-2</v>
      </c>
      <c r="N191" s="231">
        <v>5877.5</v>
      </c>
      <c r="O191" s="231">
        <v>5360</v>
      </c>
      <c r="P191" s="228">
        <v>517.5</v>
      </c>
      <c r="Q191" s="229">
        <v>9.6500000000000002E-2</v>
      </c>
      <c r="R191" s="231">
        <v>5889</v>
      </c>
      <c r="S191" s="231">
        <v>5385.5</v>
      </c>
      <c r="T191" s="228">
        <v>503.5</v>
      </c>
      <c r="U191" s="229">
        <v>9.35E-2</v>
      </c>
      <c r="V191" s="231">
        <v>5905</v>
      </c>
      <c r="W191" s="231">
        <v>5379.5</v>
      </c>
      <c r="X191" s="228">
        <v>525.5</v>
      </c>
      <c r="Y191" s="229">
        <v>9.7699999999999995E-2</v>
      </c>
      <c r="Z191" s="228">
        <v>24.5</v>
      </c>
      <c r="AA191" s="228">
        <v>15</v>
      </c>
      <c r="AB191" s="228">
        <v>9.5</v>
      </c>
      <c r="AC191" s="229">
        <v>4.1999999999999997E-3</v>
      </c>
      <c r="AD191" s="228">
        <v>24.5</v>
      </c>
      <c r="AE191" s="228">
        <v>15</v>
      </c>
      <c r="AF191" s="228">
        <v>9.5</v>
      </c>
      <c r="AG191" s="229">
        <v>4.1999999999999997E-3</v>
      </c>
      <c r="AH191" s="228">
        <v>36</v>
      </c>
      <c r="AI191" s="228">
        <v>40.5</v>
      </c>
      <c r="AJ191" s="228">
        <v>-4.5</v>
      </c>
      <c r="AK191" s="229">
        <v>6.1999999999999998E-3</v>
      </c>
      <c r="AL191" s="228">
        <v>52</v>
      </c>
      <c r="AM191" s="228">
        <v>34.5</v>
      </c>
      <c r="AN191" s="228">
        <v>17.5</v>
      </c>
      <c r="AO191" s="229">
        <v>8.8999999999999999E-3</v>
      </c>
      <c r="AP191" s="231">
        <v>5748.53</v>
      </c>
      <c r="AQ191" s="231">
        <v>5792.64</v>
      </c>
      <c r="AR191" s="228">
        <v>0</v>
      </c>
      <c r="AS191" s="230">
        <v>1267</v>
      </c>
      <c r="AT191" s="228">
        <v>101</v>
      </c>
      <c r="AU191" s="230">
        <v>1166</v>
      </c>
      <c r="AV191" s="229">
        <v>11.497999999999999</v>
      </c>
      <c r="AW191" s="230">
        <v>1160</v>
      </c>
      <c r="AX191" s="228">
        <v>98</v>
      </c>
      <c r="AY191" s="230">
        <v>1062</v>
      </c>
      <c r="AZ191" s="229">
        <v>10.8886</v>
      </c>
      <c r="BA191" s="228">
        <v>98</v>
      </c>
      <c r="BB191" s="228">
        <v>3</v>
      </c>
      <c r="BC191" s="228">
        <v>95</v>
      </c>
      <c r="BD191" s="229">
        <v>29.436399999999999</v>
      </c>
      <c r="BE191" s="228">
        <v>9</v>
      </c>
      <c r="BF191" s="228">
        <v>1</v>
      </c>
      <c r="BG191" s="228">
        <v>8</v>
      </c>
      <c r="BH191" s="229">
        <v>14</v>
      </c>
      <c r="BI191" s="230">
        <v>12530</v>
      </c>
      <c r="BJ191" s="228">
        <v>350</v>
      </c>
      <c r="BK191" s="230">
        <v>12180</v>
      </c>
      <c r="BL191" s="229">
        <v>34.781799999999997</v>
      </c>
      <c r="BM191" s="230">
        <v>3497</v>
      </c>
      <c r="BN191" s="228">
        <v>140</v>
      </c>
      <c r="BO191" s="230">
        <v>3357</v>
      </c>
      <c r="BP191" s="229">
        <v>23.9878</v>
      </c>
      <c r="BQ191" s="230">
        <v>17294</v>
      </c>
      <c r="BR191" s="228">
        <v>592</v>
      </c>
      <c r="BS191" s="230">
        <v>16703</v>
      </c>
      <c r="BT191" s="229">
        <v>28.237200000000001</v>
      </c>
      <c r="BU191" s="230">
        <v>3012444</v>
      </c>
      <c r="BV191" s="230">
        <v>95430</v>
      </c>
      <c r="BW191" s="230">
        <v>2917014</v>
      </c>
      <c r="BX191" s="229">
        <v>30.5671</v>
      </c>
      <c r="BY191" s="228">
        <v>987</v>
      </c>
      <c r="BZ191" s="228">
        <v>897</v>
      </c>
      <c r="CA191" s="228">
        <v>89</v>
      </c>
      <c r="CB191" s="229">
        <v>9.9699999999999997E-2</v>
      </c>
      <c r="CC191" s="228">
        <v>955</v>
      </c>
      <c r="CD191" s="228">
        <v>866</v>
      </c>
      <c r="CE191" s="228">
        <v>89</v>
      </c>
      <c r="CF191" s="229">
        <v>0.10290000000000001</v>
      </c>
      <c r="CG191" s="228">
        <v>29</v>
      </c>
      <c r="CH191" s="228">
        <v>31</v>
      </c>
      <c r="CI191" s="228">
        <v>-2</v>
      </c>
      <c r="CJ191" s="229">
        <v>-5.3400000000000003E-2</v>
      </c>
      <c r="CK191" s="228">
        <v>3</v>
      </c>
      <c r="CL191" s="228">
        <v>1</v>
      </c>
      <c r="CM191" s="228">
        <v>2</v>
      </c>
      <c r="CN191" s="229">
        <v>1.7</v>
      </c>
      <c r="CO191" s="228">
        <v>720</v>
      </c>
      <c r="CP191" s="228">
        <v>469</v>
      </c>
      <c r="CQ191" s="228">
        <v>251</v>
      </c>
      <c r="CR191" s="229">
        <v>0.53500000000000003</v>
      </c>
      <c r="CS191" s="228">
        <v>628</v>
      </c>
      <c r="CT191" s="228">
        <v>313</v>
      </c>
      <c r="CU191" s="228">
        <v>315</v>
      </c>
      <c r="CV191" s="229">
        <v>1.0079</v>
      </c>
      <c r="CW191" s="230">
        <v>2335</v>
      </c>
      <c r="CX191" s="230">
        <v>1679</v>
      </c>
      <c r="CY191" s="228">
        <v>656</v>
      </c>
      <c r="CZ191" s="229">
        <v>0.39050000000000001</v>
      </c>
      <c r="DA191" s="228">
        <v>35.950000000000003</v>
      </c>
      <c r="DB191" s="228">
        <v>31.41</v>
      </c>
      <c r="DC191" s="228">
        <v>4.54</v>
      </c>
      <c r="DD191" s="228">
        <v>4.54</v>
      </c>
      <c r="DE191" s="228">
        <v>37.549999999999997</v>
      </c>
      <c r="DF191" s="228">
        <v>35.520000000000003</v>
      </c>
      <c r="DG191" s="228">
        <v>-1.6</v>
      </c>
      <c r="DH191" s="228">
        <v>2.0299999999999998</v>
      </c>
      <c r="DI191" s="228">
        <v>35.82</v>
      </c>
      <c r="DJ191" s="228">
        <v>31.48</v>
      </c>
      <c r="DK191" s="228">
        <v>4.34</v>
      </c>
      <c r="DL191" s="228">
        <v>4.34</v>
      </c>
      <c r="DM191" s="228">
        <v>36.39</v>
      </c>
      <c r="DN191" s="228">
        <v>31.23</v>
      </c>
      <c r="DO191" s="228">
        <v>5.16</v>
      </c>
      <c r="DP191" s="228">
        <v>5.16</v>
      </c>
      <c r="DQ191" s="228">
        <v>0.87</v>
      </c>
      <c r="DR191" s="228">
        <v>0.67</v>
      </c>
      <c r="DS191" s="228">
        <v>0.2</v>
      </c>
      <c r="DT191" s="229">
        <v>0.29849999999999999</v>
      </c>
      <c r="DU191" s="231">
        <v>6000</v>
      </c>
      <c r="DV191" s="231">
        <v>5300</v>
      </c>
      <c r="DW191" s="228">
        <v>0.28000000000000003</v>
      </c>
      <c r="DX191" s="228">
        <v>0.4</v>
      </c>
      <c r="DY191" s="228">
        <v>-0.12</v>
      </c>
      <c r="DZ191" s="229">
        <v>-0.3</v>
      </c>
      <c r="EA191" s="229">
        <v>3.2800000000000003E-2</v>
      </c>
      <c r="EB191" s="230">
        <v>54400</v>
      </c>
      <c r="EC191" s="229">
        <v>2E-3</v>
      </c>
      <c r="ED191" s="229">
        <v>3.2800000000000003E-2</v>
      </c>
      <c r="EE191" s="228">
        <v>44.11</v>
      </c>
      <c r="EF191" s="229">
        <v>7.7000000000000002E-3</v>
      </c>
      <c r="EG191" s="230">
        <v>483319</v>
      </c>
      <c r="EH191" s="230">
        <v>41372</v>
      </c>
      <c r="EI191" s="229">
        <v>10.6823</v>
      </c>
      <c r="EJ191" s="229">
        <v>0.16039999999999999</v>
      </c>
      <c r="EK191" s="231">
        <v>12912.17</v>
      </c>
      <c r="EL191" s="231">
        <v>3318.98</v>
      </c>
      <c r="EM191" s="231">
        <v>1240.02</v>
      </c>
      <c r="EN191" s="228">
        <v>22.5</v>
      </c>
      <c r="EO191" s="231">
        <v>17471.18</v>
      </c>
      <c r="EP191" s="228">
        <v>554.79999999999995</v>
      </c>
      <c r="EQ191" s="231">
        <v>16916.38</v>
      </c>
      <c r="ER191" s="229">
        <v>30.491</v>
      </c>
      <c r="ES191" s="228">
        <v>719.43</v>
      </c>
      <c r="ET191" s="228">
        <v>580.96</v>
      </c>
      <c r="EU191" s="228">
        <v>987.02</v>
      </c>
      <c r="EV191" s="231">
        <v>5241546</v>
      </c>
      <c r="EW191" s="231">
        <v>2287.41</v>
      </c>
      <c r="EX191" s="231">
        <v>1541.49</v>
      </c>
      <c r="EY191" s="228">
        <v>745.92</v>
      </c>
      <c r="EZ191" s="229">
        <v>0.4839</v>
      </c>
      <c r="FA191" s="229">
        <v>0.75800000000000001</v>
      </c>
      <c r="FB191" s="227" t="s">
        <v>555</v>
      </c>
      <c r="FC191">
        <f t="shared" si="3"/>
        <v>0</v>
      </c>
    </row>
    <row r="192" spans="1:159" ht="17.25" thickBot="1" x14ac:dyDescent="0.3">
      <c r="A192" s="226">
        <v>46029</v>
      </c>
      <c r="B192" s="227" t="s">
        <v>161</v>
      </c>
      <c r="C192" s="227" t="s">
        <v>293</v>
      </c>
      <c r="D192" s="228">
        <v>1450</v>
      </c>
      <c r="E192" s="228">
        <v>20</v>
      </c>
      <c r="F192" s="228">
        <v>382.55</v>
      </c>
      <c r="G192" s="228">
        <v>388.35</v>
      </c>
      <c r="H192" s="228">
        <v>-5.8</v>
      </c>
      <c r="I192" s="229">
        <v>-1.49E-2</v>
      </c>
      <c r="J192" s="228">
        <v>380.75</v>
      </c>
      <c r="K192" s="228">
        <v>386.5</v>
      </c>
      <c r="L192" s="228">
        <v>-5.75</v>
      </c>
      <c r="M192" s="229">
        <v>-1.49E-2</v>
      </c>
      <c r="N192" s="228">
        <v>382.55</v>
      </c>
      <c r="O192" s="228">
        <v>388.35</v>
      </c>
      <c r="P192" s="228">
        <v>-5.8</v>
      </c>
      <c r="Q192" s="229">
        <v>-1.49E-2</v>
      </c>
      <c r="R192" s="228">
        <v>384.65</v>
      </c>
      <c r="S192" s="228">
        <v>390.85</v>
      </c>
      <c r="T192" s="228">
        <v>-6.2</v>
      </c>
      <c r="U192" s="229">
        <v>-1.5900000000000001E-2</v>
      </c>
      <c r="V192" s="228">
        <v>387.25</v>
      </c>
      <c r="W192" s="228">
        <v>393.25</v>
      </c>
      <c r="X192" s="228">
        <v>-6</v>
      </c>
      <c r="Y192" s="229">
        <v>-1.5299999999999999E-2</v>
      </c>
      <c r="Z192" s="228">
        <v>1.8</v>
      </c>
      <c r="AA192" s="228">
        <v>1.85</v>
      </c>
      <c r="AB192" s="228">
        <v>-0.05</v>
      </c>
      <c r="AC192" s="229">
        <v>4.7000000000000002E-3</v>
      </c>
      <c r="AD192" s="228">
        <v>1.8</v>
      </c>
      <c r="AE192" s="228">
        <v>1.85</v>
      </c>
      <c r="AF192" s="228">
        <v>-0.05</v>
      </c>
      <c r="AG192" s="229">
        <v>4.7000000000000002E-3</v>
      </c>
      <c r="AH192" s="228">
        <v>3.9</v>
      </c>
      <c r="AI192" s="228">
        <v>4.3499999999999996</v>
      </c>
      <c r="AJ192" s="228">
        <v>-0.45</v>
      </c>
      <c r="AK192" s="229">
        <v>1.0200000000000001E-2</v>
      </c>
      <c r="AL192" s="228">
        <v>6.5</v>
      </c>
      <c r="AM192" s="228">
        <v>6.75</v>
      </c>
      <c r="AN192" s="228">
        <v>-0.25</v>
      </c>
      <c r="AO192" s="229">
        <v>1.7100000000000001E-2</v>
      </c>
      <c r="AP192" s="228">
        <v>383.8</v>
      </c>
      <c r="AQ192" s="228">
        <v>385.95</v>
      </c>
      <c r="AR192" s="228">
        <v>0</v>
      </c>
      <c r="AS192" s="228">
        <v>283</v>
      </c>
      <c r="AT192" s="228">
        <v>174</v>
      </c>
      <c r="AU192" s="228">
        <v>109</v>
      </c>
      <c r="AV192" s="229">
        <v>0.62529999999999997</v>
      </c>
      <c r="AW192" s="228">
        <v>250</v>
      </c>
      <c r="AX192" s="228">
        <v>152</v>
      </c>
      <c r="AY192" s="228">
        <v>98</v>
      </c>
      <c r="AZ192" s="229">
        <v>0.64729999999999999</v>
      </c>
      <c r="BA192" s="228">
        <v>28</v>
      </c>
      <c r="BB192" s="228">
        <v>21</v>
      </c>
      <c r="BC192" s="228">
        <v>7</v>
      </c>
      <c r="BD192" s="229">
        <v>0.35639999999999999</v>
      </c>
      <c r="BE192" s="228">
        <v>5</v>
      </c>
      <c r="BF192" s="228">
        <v>2</v>
      </c>
      <c r="BG192" s="228">
        <v>3</v>
      </c>
      <c r="BH192" s="229">
        <v>2.0345</v>
      </c>
      <c r="BI192" s="230">
        <v>1279</v>
      </c>
      <c r="BJ192" s="230">
        <v>1003</v>
      </c>
      <c r="BK192" s="228">
        <v>276</v>
      </c>
      <c r="BL192" s="229">
        <v>0.27489999999999998</v>
      </c>
      <c r="BM192" s="228">
        <v>546</v>
      </c>
      <c r="BN192" s="228">
        <v>459</v>
      </c>
      <c r="BO192" s="228">
        <v>87</v>
      </c>
      <c r="BP192" s="229">
        <v>0.189</v>
      </c>
      <c r="BQ192" s="230">
        <v>2109</v>
      </c>
      <c r="BR192" s="230">
        <v>1637</v>
      </c>
      <c r="BS192" s="228">
        <v>472</v>
      </c>
      <c r="BT192" s="229">
        <v>0.28810000000000002</v>
      </c>
      <c r="BU192" s="230">
        <v>4284060</v>
      </c>
      <c r="BV192" s="230">
        <v>3982035</v>
      </c>
      <c r="BW192" s="230">
        <v>302025</v>
      </c>
      <c r="BX192" s="229">
        <v>7.5800000000000006E-2</v>
      </c>
      <c r="BY192" s="230">
        <v>2208</v>
      </c>
      <c r="BZ192" s="230">
        <v>2204</v>
      </c>
      <c r="CA192" s="228">
        <v>4</v>
      </c>
      <c r="CB192" s="229">
        <v>1.9E-3</v>
      </c>
      <c r="CC192" s="230">
        <v>2113</v>
      </c>
      <c r="CD192" s="230">
        <v>2122</v>
      </c>
      <c r="CE192" s="228">
        <v>-9</v>
      </c>
      <c r="CF192" s="229">
        <v>-4.1000000000000003E-3</v>
      </c>
      <c r="CG192" s="228">
        <v>84</v>
      </c>
      <c r="CH192" s="228">
        <v>74</v>
      </c>
      <c r="CI192" s="228">
        <v>10</v>
      </c>
      <c r="CJ192" s="229">
        <v>0.13489999999999999</v>
      </c>
      <c r="CK192" s="228">
        <v>10</v>
      </c>
      <c r="CL192" s="228">
        <v>8</v>
      </c>
      <c r="CM192" s="228">
        <v>3</v>
      </c>
      <c r="CN192" s="229">
        <v>0.35770000000000002</v>
      </c>
      <c r="CO192" s="230">
        <v>1238</v>
      </c>
      <c r="CP192" s="230">
        <v>1108</v>
      </c>
      <c r="CQ192" s="228">
        <v>129</v>
      </c>
      <c r="CR192" s="229">
        <v>0.1167</v>
      </c>
      <c r="CS192" s="228">
        <v>955</v>
      </c>
      <c r="CT192" s="228">
        <v>920</v>
      </c>
      <c r="CU192" s="228">
        <v>35</v>
      </c>
      <c r="CV192" s="229">
        <v>3.7999999999999999E-2</v>
      </c>
      <c r="CW192" s="230">
        <v>4400</v>
      </c>
      <c r="CX192" s="230">
        <v>4232</v>
      </c>
      <c r="CY192" s="228">
        <v>169</v>
      </c>
      <c r="CZ192" s="229">
        <v>3.9800000000000002E-2</v>
      </c>
      <c r="DA192" s="228">
        <v>19.53</v>
      </c>
      <c r="DB192" s="228">
        <v>18.399999999999999</v>
      </c>
      <c r="DC192" s="228">
        <v>1.1299999999999999</v>
      </c>
      <c r="DD192" s="228">
        <v>1.1299999999999999</v>
      </c>
      <c r="DE192" s="228">
        <v>30.93</v>
      </c>
      <c r="DF192" s="228">
        <v>30.94</v>
      </c>
      <c r="DG192" s="228">
        <v>-11.4</v>
      </c>
      <c r="DH192" s="228">
        <v>-0.01</v>
      </c>
      <c r="DI192" s="228">
        <v>19.82</v>
      </c>
      <c r="DJ192" s="228">
        <v>18.57</v>
      </c>
      <c r="DK192" s="228">
        <v>1.25</v>
      </c>
      <c r="DL192" s="228">
        <v>1.25</v>
      </c>
      <c r="DM192" s="228">
        <v>18.87</v>
      </c>
      <c r="DN192" s="228">
        <v>18.04</v>
      </c>
      <c r="DO192" s="228">
        <v>0.83</v>
      </c>
      <c r="DP192" s="228">
        <v>0.83</v>
      </c>
      <c r="DQ192" s="228">
        <v>0.77</v>
      </c>
      <c r="DR192" s="228">
        <v>0.83</v>
      </c>
      <c r="DS192" s="228">
        <v>-0.06</v>
      </c>
      <c r="DT192" s="229">
        <v>-7.2300000000000003E-2</v>
      </c>
      <c r="DU192" s="228">
        <v>400</v>
      </c>
      <c r="DV192" s="228">
        <v>380</v>
      </c>
      <c r="DW192" s="228">
        <v>0.43</v>
      </c>
      <c r="DX192" s="228">
        <v>0.46</v>
      </c>
      <c r="DY192" s="228">
        <v>-0.03</v>
      </c>
      <c r="DZ192" s="229">
        <v>-6.5199999999999994E-2</v>
      </c>
      <c r="EA192" s="229">
        <v>4.2900000000000001E-2</v>
      </c>
      <c r="EB192" s="230">
        <v>2144550</v>
      </c>
      <c r="EC192" s="229">
        <v>5.4999999999999997E-3</v>
      </c>
      <c r="ED192" s="229">
        <v>4.2900000000000001E-2</v>
      </c>
      <c r="EE192" s="228">
        <v>2.15</v>
      </c>
      <c r="EF192" s="229">
        <v>5.5999999999999999E-3</v>
      </c>
      <c r="EG192" s="230">
        <v>2360145</v>
      </c>
      <c r="EH192" s="230">
        <v>2462846</v>
      </c>
      <c r="EI192" s="229">
        <v>-4.1700000000000001E-2</v>
      </c>
      <c r="EJ192" s="229">
        <v>0.55089999999999995</v>
      </c>
      <c r="EK192" s="231">
        <v>1326.91</v>
      </c>
      <c r="EL192" s="228">
        <v>547.91999999999996</v>
      </c>
      <c r="EM192" s="228">
        <v>284.60000000000002</v>
      </c>
      <c r="EN192" s="228">
        <v>48.82</v>
      </c>
      <c r="EO192" s="231">
        <v>2159.42</v>
      </c>
      <c r="EP192" s="231">
        <v>1698.79</v>
      </c>
      <c r="EQ192" s="228">
        <v>460.63</v>
      </c>
      <c r="ER192" s="229">
        <v>0.27110000000000001</v>
      </c>
      <c r="ES192" s="231">
        <v>1283.58</v>
      </c>
      <c r="ET192" s="228">
        <v>973.53</v>
      </c>
      <c r="EU192" s="231">
        <v>2208.4499999999998</v>
      </c>
      <c r="EV192" s="231">
        <v>202215001</v>
      </c>
      <c r="EW192" s="231">
        <v>4465.5600000000004</v>
      </c>
      <c r="EX192" s="231">
        <v>4328.7</v>
      </c>
      <c r="EY192" s="228">
        <v>136.86000000000001</v>
      </c>
      <c r="EZ192" s="229">
        <v>3.1600000000000003E-2</v>
      </c>
      <c r="FA192" s="229">
        <v>0.56879999999999997</v>
      </c>
      <c r="FB192" s="227" t="s">
        <v>567</v>
      </c>
      <c r="FC192">
        <f t="shared" si="3"/>
        <v>0</v>
      </c>
    </row>
    <row r="193" spans="1:159" ht="17.25" thickBot="1" x14ac:dyDescent="0.3">
      <c r="A193" s="226">
        <v>46029</v>
      </c>
      <c r="B193" s="227" t="s">
        <v>227</v>
      </c>
      <c r="C193" s="227" t="s">
        <v>294</v>
      </c>
      <c r="D193" s="228">
        <v>5500</v>
      </c>
      <c r="E193" s="228">
        <v>20</v>
      </c>
      <c r="F193" s="228">
        <v>184.47</v>
      </c>
      <c r="G193" s="228">
        <v>186.76</v>
      </c>
      <c r="H193" s="228">
        <v>-2.29</v>
      </c>
      <c r="I193" s="229">
        <v>-1.23E-2</v>
      </c>
      <c r="J193" s="228">
        <v>183.8</v>
      </c>
      <c r="K193" s="228">
        <v>186.2</v>
      </c>
      <c r="L193" s="228">
        <v>-2.4</v>
      </c>
      <c r="M193" s="229">
        <v>-1.29E-2</v>
      </c>
      <c r="N193" s="228">
        <v>184.47</v>
      </c>
      <c r="O193" s="228">
        <v>186.76</v>
      </c>
      <c r="P193" s="228">
        <v>-2.29</v>
      </c>
      <c r="Q193" s="229">
        <v>-1.23E-2</v>
      </c>
      <c r="R193" s="228">
        <v>185.52</v>
      </c>
      <c r="S193" s="228">
        <v>187.78</v>
      </c>
      <c r="T193" s="228">
        <v>-2.2599999999999998</v>
      </c>
      <c r="U193" s="229">
        <v>-1.2E-2</v>
      </c>
      <c r="V193" s="228">
        <v>186.75</v>
      </c>
      <c r="W193" s="228">
        <v>189.03</v>
      </c>
      <c r="X193" s="228">
        <v>-2.2799999999999998</v>
      </c>
      <c r="Y193" s="229">
        <v>-1.21E-2</v>
      </c>
      <c r="Z193" s="228">
        <v>0.67</v>
      </c>
      <c r="AA193" s="228">
        <v>0.56000000000000005</v>
      </c>
      <c r="AB193" s="228">
        <v>0.11</v>
      </c>
      <c r="AC193" s="229">
        <v>3.5999999999999999E-3</v>
      </c>
      <c r="AD193" s="228">
        <v>0.67</v>
      </c>
      <c r="AE193" s="228">
        <v>0.56000000000000005</v>
      </c>
      <c r="AF193" s="228">
        <v>0.11</v>
      </c>
      <c r="AG193" s="229">
        <v>3.5999999999999999E-3</v>
      </c>
      <c r="AH193" s="228">
        <v>1.72</v>
      </c>
      <c r="AI193" s="228">
        <v>1.58</v>
      </c>
      <c r="AJ193" s="228">
        <v>0.14000000000000001</v>
      </c>
      <c r="AK193" s="229">
        <v>9.4000000000000004E-3</v>
      </c>
      <c r="AL193" s="228">
        <v>2.95</v>
      </c>
      <c r="AM193" s="228">
        <v>2.83</v>
      </c>
      <c r="AN193" s="228">
        <v>0.12</v>
      </c>
      <c r="AO193" s="229">
        <v>1.61E-2</v>
      </c>
      <c r="AP193" s="228">
        <v>185.13</v>
      </c>
      <c r="AQ193" s="228">
        <v>186.15</v>
      </c>
      <c r="AR193" s="228">
        <v>0</v>
      </c>
      <c r="AS193" s="228">
        <v>631</v>
      </c>
      <c r="AT193" s="230">
        <v>1100</v>
      </c>
      <c r="AU193" s="228">
        <v>-469</v>
      </c>
      <c r="AV193" s="229">
        <v>-0.42670000000000002</v>
      </c>
      <c r="AW193" s="228">
        <v>559</v>
      </c>
      <c r="AX193" s="230">
        <v>1006</v>
      </c>
      <c r="AY193" s="228">
        <v>-447</v>
      </c>
      <c r="AZ193" s="229">
        <v>-0.4446</v>
      </c>
      <c r="BA193" s="228">
        <v>61</v>
      </c>
      <c r="BB193" s="228">
        <v>75</v>
      </c>
      <c r="BC193" s="228">
        <v>-14</v>
      </c>
      <c r="BD193" s="229">
        <v>-0.18840000000000001</v>
      </c>
      <c r="BE193" s="228">
        <v>11</v>
      </c>
      <c r="BF193" s="228">
        <v>19</v>
      </c>
      <c r="BG193" s="228">
        <v>-8</v>
      </c>
      <c r="BH193" s="229">
        <v>-0.42630000000000001</v>
      </c>
      <c r="BI193" s="230">
        <v>2258</v>
      </c>
      <c r="BJ193" s="230">
        <v>3603</v>
      </c>
      <c r="BK193" s="230">
        <v>-1344</v>
      </c>
      <c r="BL193" s="229">
        <v>-0.37319999999999998</v>
      </c>
      <c r="BM193" s="230">
        <v>1877</v>
      </c>
      <c r="BN193" s="230">
        <v>3267</v>
      </c>
      <c r="BO193" s="230">
        <v>-1390</v>
      </c>
      <c r="BP193" s="229">
        <v>-0.42549999999999999</v>
      </c>
      <c r="BQ193" s="230">
        <v>4766</v>
      </c>
      <c r="BR193" s="230">
        <v>7970</v>
      </c>
      <c r="BS193" s="230">
        <v>-3204</v>
      </c>
      <c r="BT193" s="229">
        <v>-0.40200000000000002</v>
      </c>
      <c r="BU193" s="230">
        <v>19545311</v>
      </c>
      <c r="BV193" s="230">
        <v>29514499</v>
      </c>
      <c r="BW193" s="230">
        <v>-9969188</v>
      </c>
      <c r="BX193" s="229">
        <v>-0.33779999999999999</v>
      </c>
      <c r="BY193" s="230">
        <v>4709</v>
      </c>
      <c r="BZ193" s="230">
        <v>4746</v>
      </c>
      <c r="CA193" s="228">
        <v>-37</v>
      </c>
      <c r="CB193" s="229">
        <v>-7.7000000000000002E-3</v>
      </c>
      <c r="CC193" s="230">
        <v>4567</v>
      </c>
      <c r="CD193" s="230">
        <v>4615</v>
      </c>
      <c r="CE193" s="228">
        <v>-48</v>
      </c>
      <c r="CF193" s="229">
        <v>-1.04E-2</v>
      </c>
      <c r="CG193" s="228">
        <v>120</v>
      </c>
      <c r="CH193" s="228">
        <v>112</v>
      </c>
      <c r="CI193" s="228">
        <v>8</v>
      </c>
      <c r="CJ193" s="229">
        <v>7.3300000000000004E-2</v>
      </c>
      <c r="CK193" s="228">
        <v>22</v>
      </c>
      <c r="CL193" s="228">
        <v>19</v>
      </c>
      <c r="CM193" s="228">
        <v>3</v>
      </c>
      <c r="CN193" s="229">
        <v>0.1749</v>
      </c>
      <c r="CO193" s="230">
        <v>2250</v>
      </c>
      <c r="CP193" s="230">
        <v>2109</v>
      </c>
      <c r="CQ193" s="228">
        <v>142</v>
      </c>
      <c r="CR193" s="229">
        <v>6.7199999999999996E-2</v>
      </c>
      <c r="CS193" s="230">
        <v>1928</v>
      </c>
      <c r="CT193" s="230">
        <v>1947</v>
      </c>
      <c r="CU193" s="228">
        <v>-19</v>
      </c>
      <c r="CV193" s="229">
        <v>-9.4999999999999998E-3</v>
      </c>
      <c r="CW193" s="230">
        <v>8887</v>
      </c>
      <c r="CX193" s="230">
        <v>8801</v>
      </c>
      <c r="CY193" s="228">
        <v>87</v>
      </c>
      <c r="CZ193" s="229">
        <v>9.7999999999999997E-3</v>
      </c>
      <c r="DA193" s="228">
        <v>25.58</v>
      </c>
      <c r="DB193" s="228">
        <v>26.1</v>
      </c>
      <c r="DC193" s="228">
        <v>-0.52</v>
      </c>
      <c r="DD193" s="228">
        <v>-0.52</v>
      </c>
      <c r="DE193" s="228">
        <v>32.31</v>
      </c>
      <c r="DF193" s="228">
        <v>32.35</v>
      </c>
      <c r="DG193" s="228">
        <v>-6.73</v>
      </c>
      <c r="DH193" s="228">
        <v>-0.04</v>
      </c>
      <c r="DI193" s="228">
        <v>25.49</v>
      </c>
      <c r="DJ193" s="228">
        <v>25.33</v>
      </c>
      <c r="DK193" s="228">
        <v>0.16</v>
      </c>
      <c r="DL193" s="228">
        <v>0.16</v>
      </c>
      <c r="DM193" s="228">
        <v>25.67</v>
      </c>
      <c r="DN193" s="228">
        <v>26.96</v>
      </c>
      <c r="DO193" s="228">
        <v>-1.29</v>
      </c>
      <c r="DP193" s="228">
        <v>-1.29</v>
      </c>
      <c r="DQ193" s="228">
        <v>0.86</v>
      </c>
      <c r="DR193" s="228">
        <v>0.92</v>
      </c>
      <c r="DS193" s="228">
        <v>-0.06</v>
      </c>
      <c r="DT193" s="229">
        <v>-6.5199999999999994E-2</v>
      </c>
      <c r="DU193" s="228">
        <v>190</v>
      </c>
      <c r="DV193" s="228">
        <v>170</v>
      </c>
      <c r="DW193" s="228">
        <v>0.83</v>
      </c>
      <c r="DX193" s="228">
        <v>0.91</v>
      </c>
      <c r="DY193" s="228">
        <v>-0.08</v>
      </c>
      <c r="DZ193" s="229">
        <v>-8.7900000000000006E-2</v>
      </c>
      <c r="EA193" s="229">
        <v>3.0200000000000001E-2</v>
      </c>
      <c r="EB193" s="230">
        <v>7084000</v>
      </c>
      <c r="EC193" s="229">
        <v>5.7000000000000002E-3</v>
      </c>
      <c r="ED193" s="229">
        <v>3.0200000000000001E-2</v>
      </c>
      <c r="EE193" s="228">
        <v>1.02</v>
      </c>
      <c r="EF193" s="229">
        <v>5.4999999999999997E-3</v>
      </c>
      <c r="EG193" s="230">
        <v>8905742</v>
      </c>
      <c r="EH193" s="230">
        <v>12584762</v>
      </c>
      <c r="EI193" s="229">
        <v>-0.2923</v>
      </c>
      <c r="EJ193" s="229">
        <v>0.4556</v>
      </c>
      <c r="EK193" s="231">
        <v>2375.09</v>
      </c>
      <c r="EL193" s="231">
        <v>1850.9</v>
      </c>
      <c r="EM193" s="228">
        <v>633.5</v>
      </c>
      <c r="EN193" s="228">
        <v>94.68</v>
      </c>
      <c r="EO193" s="231">
        <v>4859.49</v>
      </c>
      <c r="EP193" s="231">
        <v>8150.23</v>
      </c>
      <c r="EQ193" s="231">
        <v>-3290.74</v>
      </c>
      <c r="ER193" s="229">
        <v>-0.40379999999999999</v>
      </c>
      <c r="ES193" s="231">
        <v>2297.9899999999998</v>
      </c>
      <c r="ET193" s="231">
        <v>1827.06</v>
      </c>
      <c r="EU193" s="231">
        <v>4710.1499999999996</v>
      </c>
      <c r="EV193" s="231">
        <v>872935214</v>
      </c>
      <c r="EW193" s="231">
        <v>8835.2000000000007</v>
      </c>
      <c r="EX193" s="231">
        <v>8800.99</v>
      </c>
      <c r="EY193" s="228">
        <v>34.21</v>
      </c>
      <c r="EZ193" s="229">
        <v>3.8999999999999998E-3</v>
      </c>
      <c r="FA193" s="229">
        <v>0.55189999999999995</v>
      </c>
      <c r="FB193" s="227" t="s">
        <v>568</v>
      </c>
      <c r="FC193">
        <f t="shared" si="3"/>
        <v>0</v>
      </c>
    </row>
    <row r="194" spans="1:159" ht="17.25" thickBot="1" x14ac:dyDescent="0.3">
      <c r="A194" s="226">
        <v>46029</v>
      </c>
      <c r="B194" s="227" t="s">
        <v>221</v>
      </c>
      <c r="C194" s="227" t="s">
        <v>663</v>
      </c>
      <c r="D194" s="228">
        <v>800</v>
      </c>
      <c r="E194" s="228">
        <v>20</v>
      </c>
      <c r="F194" s="228">
        <v>687.05</v>
      </c>
      <c r="G194" s="228">
        <v>652.45000000000005</v>
      </c>
      <c r="H194" s="228">
        <v>34.6</v>
      </c>
      <c r="I194" s="229">
        <v>5.2999999999999999E-2</v>
      </c>
      <c r="J194" s="228">
        <v>683.5</v>
      </c>
      <c r="K194" s="228">
        <v>649.15</v>
      </c>
      <c r="L194" s="228">
        <v>34.35</v>
      </c>
      <c r="M194" s="229">
        <v>5.2900000000000003E-2</v>
      </c>
      <c r="N194" s="228">
        <v>687.05</v>
      </c>
      <c r="O194" s="228">
        <v>652.45000000000005</v>
      </c>
      <c r="P194" s="228">
        <v>34.6</v>
      </c>
      <c r="Q194" s="229">
        <v>5.2999999999999999E-2</v>
      </c>
      <c r="R194" s="228">
        <v>689.95</v>
      </c>
      <c r="S194" s="228">
        <v>654.75</v>
      </c>
      <c r="T194" s="228">
        <v>35.200000000000003</v>
      </c>
      <c r="U194" s="229">
        <v>5.3800000000000001E-2</v>
      </c>
      <c r="V194" s="228">
        <v>691.75</v>
      </c>
      <c r="W194" s="228">
        <v>658.4</v>
      </c>
      <c r="X194" s="228">
        <v>33.35</v>
      </c>
      <c r="Y194" s="229">
        <v>5.0700000000000002E-2</v>
      </c>
      <c r="Z194" s="228">
        <v>3.55</v>
      </c>
      <c r="AA194" s="228">
        <v>3.3</v>
      </c>
      <c r="AB194" s="228">
        <v>0.25</v>
      </c>
      <c r="AC194" s="229">
        <v>5.1999999999999998E-3</v>
      </c>
      <c r="AD194" s="228">
        <v>3.55</v>
      </c>
      <c r="AE194" s="228">
        <v>3.3</v>
      </c>
      <c r="AF194" s="228">
        <v>0.25</v>
      </c>
      <c r="AG194" s="229">
        <v>5.1999999999999998E-3</v>
      </c>
      <c r="AH194" s="228">
        <v>6.45</v>
      </c>
      <c r="AI194" s="228">
        <v>5.6</v>
      </c>
      <c r="AJ194" s="228">
        <v>0.85</v>
      </c>
      <c r="AK194" s="229">
        <v>9.4000000000000004E-3</v>
      </c>
      <c r="AL194" s="228">
        <v>8.25</v>
      </c>
      <c r="AM194" s="228">
        <v>9.25</v>
      </c>
      <c r="AN194" s="228">
        <v>-1</v>
      </c>
      <c r="AO194" s="229">
        <v>1.21E-2</v>
      </c>
      <c r="AP194" s="228">
        <v>680.2</v>
      </c>
      <c r="AQ194" s="228">
        <v>681.69</v>
      </c>
      <c r="AR194" s="228">
        <v>0</v>
      </c>
      <c r="AS194" s="228">
        <v>787</v>
      </c>
      <c r="AT194" s="228">
        <v>91</v>
      </c>
      <c r="AU194" s="228">
        <v>696</v>
      </c>
      <c r="AV194" s="229">
        <v>7.6070000000000002</v>
      </c>
      <c r="AW194" s="228">
        <v>714</v>
      </c>
      <c r="AX194" s="228">
        <v>84</v>
      </c>
      <c r="AY194" s="228">
        <v>630</v>
      </c>
      <c r="AZ194" s="229">
        <v>7.4961000000000002</v>
      </c>
      <c r="BA194" s="228">
        <v>66</v>
      </c>
      <c r="BB194" s="228">
        <v>7</v>
      </c>
      <c r="BC194" s="228">
        <v>59</v>
      </c>
      <c r="BD194" s="229">
        <v>8.9582999999999995</v>
      </c>
      <c r="BE194" s="228">
        <v>7</v>
      </c>
      <c r="BF194" s="228">
        <v>1</v>
      </c>
      <c r="BG194" s="228">
        <v>6</v>
      </c>
      <c r="BH194" s="229">
        <v>8.1428999999999991</v>
      </c>
      <c r="BI194" s="230">
        <v>4647</v>
      </c>
      <c r="BJ194" s="228">
        <v>116</v>
      </c>
      <c r="BK194" s="230">
        <v>4531</v>
      </c>
      <c r="BL194" s="229">
        <v>39.072499999999998</v>
      </c>
      <c r="BM194" s="230">
        <v>1196</v>
      </c>
      <c r="BN194" s="228">
        <v>73</v>
      </c>
      <c r="BO194" s="230">
        <v>1123</v>
      </c>
      <c r="BP194" s="229">
        <v>15.350899999999999</v>
      </c>
      <c r="BQ194" s="230">
        <v>6631</v>
      </c>
      <c r="BR194" s="228">
        <v>281</v>
      </c>
      <c r="BS194" s="230">
        <v>6350</v>
      </c>
      <c r="BT194" s="229">
        <v>22.6313</v>
      </c>
      <c r="BU194" s="230">
        <v>9485723</v>
      </c>
      <c r="BV194" s="230">
        <v>438944</v>
      </c>
      <c r="BW194" s="230">
        <v>9046779</v>
      </c>
      <c r="BX194" s="229">
        <v>20.610299999999999</v>
      </c>
      <c r="BY194" s="228">
        <v>822</v>
      </c>
      <c r="BZ194" s="228">
        <v>830</v>
      </c>
      <c r="CA194" s="228">
        <v>-9</v>
      </c>
      <c r="CB194" s="229">
        <v>-1.03E-2</v>
      </c>
      <c r="CC194" s="228">
        <v>756</v>
      </c>
      <c r="CD194" s="228">
        <v>763</v>
      </c>
      <c r="CE194" s="228">
        <v>-8</v>
      </c>
      <c r="CF194" s="229">
        <v>-9.9000000000000008E-3</v>
      </c>
      <c r="CG194" s="228">
        <v>63</v>
      </c>
      <c r="CH194" s="228">
        <v>65</v>
      </c>
      <c r="CI194" s="228">
        <v>-2</v>
      </c>
      <c r="CJ194" s="229">
        <v>-3.4599999999999999E-2</v>
      </c>
      <c r="CK194" s="228">
        <v>3</v>
      </c>
      <c r="CL194" s="228">
        <v>2</v>
      </c>
      <c r="CM194" s="228">
        <v>1</v>
      </c>
      <c r="CN194" s="229">
        <v>0.67649999999999999</v>
      </c>
      <c r="CO194" s="228">
        <v>590</v>
      </c>
      <c r="CP194" s="228">
        <v>270</v>
      </c>
      <c r="CQ194" s="228">
        <v>320</v>
      </c>
      <c r="CR194" s="229">
        <v>1.1846000000000001</v>
      </c>
      <c r="CS194" s="228">
        <v>346</v>
      </c>
      <c r="CT194" s="228">
        <v>256</v>
      </c>
      <c r="CU194" s="228">
        <v>90</v>
      </c>
      <c r="CV194" s="229">
        <v>0.35070000000000001</v>
      </c>
      <c r="CW194" s="230">
        <v>1757</v>
      </c>
      <c r="CX194" s="230">
        <v>1356</v>
      </c>
      <c r="CY194" s="228">
        <v>401</v>
      </c>
      <c r="CZ194" s="229">
        <v>0.29570000000000002</v>
      </c>
      <c r="DA194" s="228">
        <v>29.77</v>
      </c>
      <c r="DB194" s="228">
        <v>23.75</v>
      </c>
      <c r="DC194" s="228">
        <v>6.02</v>
      </c>
      <c r="DD194" s="228">
        <v>6.02</v>
      </c>
      <c r="DE194" s="228">
        <v>30.33</v>
      </c>
      <c r="DF194" s="228">
        <v>29.59</v>
      </c>
      <c r="DG194" s="228">
        <v>-0.56000000000000005</v>
      </c>
      <c r="DH194" s="228">
        <v>0.74</v>
      </c>
      <c r="DI194" s="228">
        <v>29.81</v>
      </c>
      <c r="DJ194" s="228">
        <v>23.77</v>
      </c>
      <c r="DK194" s="228">
        <v>6.04</v>
      </c>
      <c r="DL194" s="228">
        <v>6.04</v>
      </c>
      <c r="DM194" s="228">
        <v>29.62</v>
      </c>
      <c r="DN194" s="228">
        <v>23.71</v>
      </c>
      <c r="DO194" s="228">
        <v>5.91</v>
      </c>
      <c r="DP194" s="228">
        <v>5.91</v>
      </c>
      <c r="DQ194" s="228">
        <v>0.59</v>
      </c>
      <c r="DR194" s="228">
        <v>0.95</v>
      </c>
      <c r="DS194" s="228">
        <v>-0.36</v>
      </c>
      <c r="DT194" s="229">
        <v>-0.37890000000000001</v>
      </c>
      <c r="DU194" s="228">
        <v>680</v>
      </c>
      <c r="DV194" s="228">
        <v>650</v>
      </c>
      <c r="DW194" s="228">
        <v>0.26</v>
      </c>
      <c r="DX194" s="228">
        <v>0.63</v>
      </c>
      <c r="DY194" s="228">
        <v>-0.37</v>
      </c>
      <c r="DZ194" s="229">
        <v>-0.58730000000000004</v>
      </c>
      <c r="EA194" s="229">
        <v>8.0299999999999996E-2</v>
      </c>
      <c r="EB194" s="230">
        <v>974400</v>
      </c>
      <c r="EC194" s="229">
        <v>4.1999999999999997E-3</v>
      </c>
      <c r="ED194" s="229">
        <v>8.0299999999999996E-2</v>
      </c>
      <c r="EE194" s="228">
        <v>1.49</v>
      </c>
      <c r="EF194" s="229">
        <v>2.2000000000000001E-3</v>
      </c>
      <c r="EG194" s="230">
        <v>1158963</v>
      </c>
      <c r="EH194" s="230">
        <v>208950</v>
      </c>
      <c r="EI194" s="229">
        <v>4.5465999999999998</v>
      </c>
      <c r="EJ194" s="229">
        <v>0.1222</v>
      </c>
      <c r="EK194" s="231">
        <v>4804.91</v>
      </c>
      <c r="EL194" s="231">
        <v>1162.6300000000001</v>
      </c>
      <c r="EM194" s="228">
        <v>779.55</v>
      </c>
      <c r="EN194" s="228">
        <v>18.940000000000001</v>
      </c>
      <c r="EO194" s="231">
        <v>6747.09</v>
      </c>
      <c r="EP194" s="228">
        <v>271.02999999999997</v>
      </c>
      <c r="EQ194" s="231">
        <v>6476.05</v>
      </c>
      <c r="ER194" s="229">
        <v>23.893799999999999</v>
      </c>
      <c r="ES194" s="228">
        <v>602.46</v>
      </c>
      <c r="ET194" s="228">
        <v>329.97</v>
      </c>
      <c r="EU194" s="228">
        <v>822.05</v>
      </c>
      <c r="EV194" s="231">
        <v>25116370</v>
      </c>
      <c r="EW194" s="231">
        <v>1754.48</v>
      </c>
      <c r="EX194" s="231">
        <v>1299.9000000000001</v>
      </c>
      <c r="EY194" s="228">
        <v>454.58</v>
      </c>
      <c r="EZ194" s="229">
        <v>0.34970000000000001</v>
      </c>
      <c r="FA194" s="229">
        <v>1.0184</v>
      </c>
      <c r="FB194" s="227" t="s">
        <v>556</v>
      </c>
      <c r="FC194">
        <f t="shared" si="3"/>
        <v>0</v>
      </c>
    </row>
    <row r="195" spans="1:159" ht="17.25" thickBot="1" x14ac:dyDescent="0.3">
      <c r="A195" s="226">
        <v>46029</v>
      </c>
      <c r="B195" s="227" t="s">
        <v>221</v>
      </c>
      <c r="C195" s="227" t="s">
        <v>295</v>
      </c>
      <c r="D195" s="228">
        <v>175</v>
      </c>
      <c r="E195" s="228">
        <v>20</v>
      </c>
      <c r="F195" s="231">
        <v>3286.9</v>
      </c>
      <c r="G195" s="231">
        <v>3249.2</v>
      </c>
      <c r="H195" s="228">
        <v>37.700000000000003</v>
      </c>
      <c r="I195" s="229">
        <v>1.1599999999999999E-2</v>
      </c>
      <c r="J195" s="231">
        <v>3295.6</v>
      </c>
      <c r="K195" s="231">
        <v>3255.8</v>
      </c>
      <c r="L195" s="228">
        <v>39.799999999999997</v>
      </c>
      <c r="M195" s="229">
        <v>1.2200000000000001E-2</v>
      </c>
      <c r="N195" s="231">
        <v>3286.9</v>
      </c>
      <c r="O195" s="231">
        <v>3249.2</v>
      </c>
      <c r="P195" s="228">
        <v>37.700000000000003</v>
      </c>
      <c r="Q195" s="229">
        <v>1.1599999999999999E-2</v>
      </c>
      <c r="R195" s="231">
        <v>3305.7</v>
      </c>
      <c r="S195" s="231">
        <v>3267.6</v>
      </c>
      <c r="T195" s="228">
        <v>38.1</v>
      </c>
      <c r="U195" s="229">
        <v>1.17E-2</v>
      </c>
      <c r="V195" s="231">
        <v>3328.3</v>
      </c>
      <c r="W195" s="231">
        <v>3288.7</v>
      </c>
      <c r="X195" s="228">
        <v>39.6</v>
      </c>
      <c r="Y195" s="229">
        <v>1.2E-2</v>
      </c>
      <c r="Z195" s="228">
        <v>-8.6999999999999993</v>
      </c>
      <c r="AA195" s="228">
        <v>-6.6</v>
      </c>
      <c r="AB195" s="228">
        <v>-2.1</v>
      </c>
      <c r="AC195" s="229">
        <v>-2.5999999999999999E-3</v>
      </c>
      <c r="AD195" s="228">
        <v>-8.6999999999999993</v>
      </c>
      <c r="AE195" s="228">
        <v>-6.6</v>
      </c>
      <c r="AF195" s="228">
        <v>-2.1</v>
      </c>
      <c r="AG195" s="229">
        <v>-2.5999999999999999E-3</v>
      </c>
      <c r="AH195" s="228">
        <v>10.1</v>
      </c>
      <c r="AI195" s="228">
        <v>11.8</v>
      </c>
      <c r="AJ195" s="228">
        <v>-1.7</v>
      </c>
      <c r="AK195" s="229">
        <v>3.0999999999999999E-3</v>
      </c>
      <c r="AL195" s="228">
        <v>32.700000000000003</v>
      </c>
      <c r="AM195" s="228">
        <v>32.9</v>
      </c>
      <c r="AN195" s="228">
        <v>-0.2</v>
      </c>
      <c r="AO195" s="229">
        <v>9.9000000000000008E-3</v>
      </c>
      <c r="AP195" s="231">
        <v>3279.04</v>
      </c>
      <c r="AQ195" s="231">
        <v>3296.72</v>
      </c>
      <c r="AR195" s="228">
        <v>0</v>
      </c>
      <c r="AS195" s="230">
        <v>1013</v>
      </c>
      <c r="AT195" s="228">
        <v>866</v>
      </c>
      <c r="AU195" s="228">
        <v>148</v>
      </c>
      <c r="AV195" s="229">
        <v>0.17069999999999999</v>
      </c>
      <c r="AW195" s="228">
        <v>957</v>
      </c>
      <c r="AX195" s="228">
        <v>824</v>
      </c>
      <c r="AY195" s="228">
        <v>133</v>
      </c>
      <c r="AZ195" s="229">
        <v>0.16170000000000001</v>
      </c>
      <c r="BA195" s="228">
        <v>45</v>
      </c>
      <c r="BB195" s="228">
        <v>33</v>
      </c>
      <c r="BC195" s="228">
        <v>12</v>
      </c>
      <c r="BD195" s="229">
        <v>0.3785</v>
      </c>
      <c r="BE195" s="228">
        <v>11</v>
      </c>
      <c r="BF195" s="228">
        <v>9</v>
      </c>
      <c r="BG195" s="228">
        <v>2</v>
      </c>
      <c r="BH195" s="229">
        <v>0.23130000000000001</v>
      </c>
      <c r="BI195" s="230">
        <v>5386</v>
      </c>
      <c r="BJ195" s="230">
        <v>3616</v>
      </c>
      <c r="BK195" s="230">
        <v>1770</v>
      </c>
      <c r="BL195" s="229">
        <v>0.48959999999999998</v>
      </c>
      <c r="BM195" s="230">
        <v>2301</v>
      </c>
      <c r="BN195" s="230">
        <v>1284</v>
      </c>
      <c r="BO195" s="230">
        <v>1017</v>
      </c>
      <c r="BP195" s="229">
        <v>0.79149999999999998</v>
      </c>
      <c r="BQ195" s="230">
        <v>8700</v>
      </c>
      <c r="BR195" s="230">
        <v>5765</v>
      </c>
      <c r="BS195" s="230">
        <v>2934</v>
      </c>
      <c r="BT195" s="229">
        <v>0.50900000000000001</v>
      </c>
      <c r="BU195" s="230">
        <v>2109383</v>
      </c>
      <c r="BV195" s="230">
        <v>2936991</v>
      </c>
      <c r="BW195" s="230">
        <v>-827608</v>
      </c>
      <c r="BX195" s="229">
        <v>-0.28179999999999999</v>
      </c>
      <c r="BY195" s="230">
        <v>6357</v>
      </c>
      <c r="BZ195" s="230">
        <v>6564</v>
      </c>
      <c r="CA195" s="228">
        <v>-207</v>
      </c>
      <c r="CB195" s="229">
        <v>-3.1600000000000003E-2</v>
      </c>
      <c r="CC195" s="230">
        <v>6143</v>
      </c>
      <c r="CD195" s="230">
        <v>6347</v>
      </c>
      <c r="CE195" s="228">
        <v>-203</v>
      </c>
      <c r="CF195" s="229">
        <v>-3.2099999999999997E-2</v>
      </c>
      <c r="CG195" s="228">
        <v>192</v>
      </c>
      <c r="CH195" s="228">
        <v>196</v>
      </c>
      <c r="CI195" s="228">
        <v>-4</v>
      </c>
      <c r="CJ195" s="229">
        <v>-2.0299999999999999E-2</v>
      </c>
      <c r="CK195" s="228">
        <v>21</v>
      </c>
      <c r="CL195" s="228">
        <v>21</v>
      </c>
      <c r="CM195" s="228">
        <v>0</v>
      </c>
      <c r="CN195" s="229">
        <v>1.38E-2</v>
      </c>
      <c r="CO195" s="230">
        <v>4110</v>
      </c>
      <c r="CP195" s="230">
        <v>3882</v>
      </c>
      <c r="CQ195" s="228">
        <v>229</v>
      </c>
      <c r="CR195" s="229">
        <v>5.8999999999999997E-2</v>
      </c>
      <c r="CS195" s="230">
        <v>2162</v>
      </c>
      <c r="CT195" s="230">
        <v>2079</v>
      </c>
      <c r="CU195" s="228">
        <v>83</v>
      </c>
      <c r="CV195" s="229">
        <v>3.9699999999999999E-2</v>
      </c>
      <c r="CW195" s="230">
        <v>12629</v>
      </c>
      <c r="CX195" s="230">
        <v>12524</v>
      </c>
      <c r="CY195" s="228">
        <v>104</v>
      </c>
      <c r="CZ195" s="229">
        <v>8.3000000000000001E-3</v>
      </c>
      <c r="DA195" s="228">
        <v>19.899999999999999</v>
      </c>
      <c r="DB195" s="228">
        <v>20.55</v>
      </c>
      <c r="DC195" s="228">
        <v>-0.65</v>
      </c>
      <c r="DD195" s="228">
        <v>-0.65</v>
      </c>
      <c r="DE195" s="228">
        <v>23.2</v>
      </c>
      <c r="DF195" s="228">
        <v>23.2</v>
      </c>
      <c r="DG195" s="228">
        <v>-3.3</v>
      </c>
      <c r="DH195" s="228">
        <v>0</v>
      </c>
      <c r="DI195" s="228">
        <v>19.57</v>
      </c>
      <c r="DJ195" s="228">
        <v>20.37</v>
      </c>
      <c r="DK195" s="228">
        <v>-0.8</v>
      </c>
      <c r="DL195" s="228">
        <v>-0.8</v>
      </c>
      <c r="DM195" s="228">
        <v>20.67</v>
      </c>
      <c r="DN195" s="228">
        <v>21.07</v>
      </c>
      <c r="DO195" s="228">
        <v>-0.4</v>
      </c>
      <c r="DP195" s="228">
        <v>-0.4</v>
      </c>
      <c r="DQ195" s="228">
        <v>0.53</v>
      </c>
      <c r="DR195" s="228">
        <v>0.54</v>
      </c>
      <c r="DS195" s="228">
        <v>-0.01</v>
      </c>
      <c r="DT195" s="229">
        <v>-1.8499999999999999E-2</v>
      </c>
      <c r="DU195" s="231">
        <v>3300</v>
      </c>
      <c r="DV195" s="231">
        <v>3200</v>
      </c>
      <c r="DW195" s="228">
        <v>0.43</v>
      </c>
      <c r="DX195" s="228">
        <v>0.36</v>
      </c>
      <c r="DY195" s="228">
        <v>7.0000000000000007E-2</v>
      </c>
      <c r="DZ195" s="229">
        <v>0.19439999999999999</v>
      </c>
      <c r="EA195" s="229">
        <v>3.3500000000000002E-2</v>
      </c>
      <c r="EB195" s="230">
        <v>659575</v>
      </c>
      <c r="EC195" s="229">
        <v>5.7000000000000002E-3</v>
      </c>
      <c r="ED195" s="229">
        <v>3.3500000000000002E-2</v>
      </c>
      <c r="EE195" s="228">
        <v>17.68</v>
      </c>
      <c r="EF195" s="229">
        <v>5.4000000000000003E-3</v>
      </c>
      <c r="EG195" s="230">
        <v>1250416</v>
      </c>
      <c r="EH195" s="230">
        <v>2190262</v>
      </c>
      <c r="EI195" s="229">
        <v>-0.42909999999999998</v>
      </c>
      <c r="EJ195" s="229">
        <v>0.59279999999999999</v>
      </c>
      <c r="EK195" s="231">
        <v>5547.8</v>
      </c>
      <c r="EL195" s="231">
        <v>2247.5100000000002</v>
      </c>
      <c r="EM195" s="231">
        <v>1011.24</v>
      </c>
      <c r="EN195" s="228">
        <v>135.79</v>
      </c>
      <c r="EO195" s="231">
        <v>8806.5499999999993</v>
      </c>
      <c r="EP195" s="231">
        <v>5815.08</v>
      </c>
      <c r="EQ195" s="231">
        <v>2991.47</v>
      </c>
      <c r="ER195" s="229">
        <v>0.51439999999999997</v>
      </c>
      <c r="ES195" s="231">
        <v>4206.58</v>
      </c>
      <c r="ET195" s="231">
        <v>2093.5700000000002</v>
      </c>
      <c r="EU195" s="231">
        <v>6357.92</v>
      </c>
      <c r="EV195" s="231">
        <v>126444612</v>
      </c>
      <c r="EW195" s="231">
        <v>12658.07</v>
      </c>
      <c r="EX195" s="231">
        <v>12463.02</v>
      </c>
      <c r="EY195" s="228">
        <v>195.05</v>
      </c>
      <c r="EZ195" s="229">
        <v>1.5699999999999999E-2</v>
      </c>
      <c r="FA195" s="229">
        <v>0.3039</v>
      </c>
      <c r="FB195" s="227" t="s">
        <v>556</v>
      </c>
      <c r="FC195">
        <f t="shared" ref="FC195:FC258" si="4">BY261-CC261</f>
        <v>0</v>
      </c>
    </row>
    <row r="196" spans="1:159" ht="17.25" thickBot="1" x14ac:dyDescent="0.3">
      <c r="A196" s="226">
        <v>46029</v>
      </c>
      <c r="B196" s="227" t="s">
        <v>221</v>
      </c>
      <c r="C196" s="227" t="s">
        <v>296</v>
      </c>
      <c r="D196" s="228">
        <v>600</v>
      </c>
      <c r="E196" s="228">
        <v>20</v>
      </c>
      <c r="F196" s="231">
        <v>1632</v>
      </c>
      <c r="G196" s="231">
        <v>1608.7</v>
      </c>
      <c r="H196" s="228">
        <v>23.3</v>
      </c>
      <c r="I196" s="229">
        <v>1.4500000000000001E-2</v>
      </c>
      <c r="J196" s="231">
        <v>1625.2</v>
      </c>
      <c r="K196" s="231">
        <v>1601.8</v>
      </c>
      <c r="L196" s="228">
        <v>23.4</v>
      </c>
      <c r="M196" s="229">
        <v>1.46E-2</v>
      </c>
      <c r="N196" s="231">
        <v>1632</v>
      </c>
      <c r="O196" s="231">
        <v>1608.7</v>
      </c>
      <c r="P196" s="228">
        <v>23.3</v>
      </c>
      <c r="Q196" s="229">
        <v>1.4500000000000001E-2</v>
      </c>
      <c r="R196" s="231">
        <v>1642</v>
      </c>
      <c r="S196" s="231">
        <v>1617.9</v>
      </c>
      <c r="T196" s="228">
        <v>24.1</v>
      </c>
      <c r="U196" s="229">
        <v>1.49E-2</v>
      </c>
      <c r="V196" s="231">
        <v>1653</v>
      </c>
      <c r="W196" s="231">
        <v>1627</v>
      </c>
      <c r="X196" s="228">
        <v>26</v>
      </c>
      <c r="Y196" s="229">
        <v>1.6E-2</v>
      </c>
      <c r="Z196" s="228">
        <v>6.8</v>
      </c>
      <c r="AA196" s="228">
        <v>6.9</v>
      </c>
      <c r="AB196" s="228">
        <v>-0.1</v>
      </c>
      <c r="AC196" s="229">
        <v>4.1999999999999997E-3</v>
      </c>
      <c r="AD196" s="228">
        <v>6.8</v>
      </c>
      <c r="AE196" s="228">
        <v>6.9</v>
      </c>
      <c r="AF196" s="228">
        <v>-0.1</v>
      </c>
      <c r="AG196" s="229">
        <v>4.1999999999999997E-3</v>
      </c>
      <c r="AH196" s="228">
        <v>16.8</v>
      </c>
      <c r="AI196" s="228">
        <v>16.100000000000001</v>
      </c>
      <c r="AJ196" s="228">
        <v>0.7</v>
      </c>
      <c r="AK196" s="229">
        <v>1.03E-2</v>
      </c>
      <c r="AL196" s="228">
        <v>27.8</v>
      </c>
      <c r="AM196" s="228">
        <v>25.2</v>
      </c>
      <c r="AN196" s="228">
        <v>2.6</v>
      </c>
      <c r="AO196" s="229">
        <v>1.7100000000000001E-2</v>
      </c>
      <c r="AP196" s="231">
        <v>1629.09</v>
      </c>
      <c r="AQ196" s="231">
        <v>1637.96</v>
      </c>
      <c r="AR196" s="228">
        <v>0</v>
      </c>
      <c r="AS196" s="228">
        <v>468</v>
      </c>
      <c r="AT196" s="228">
        <v>195</v>
      </c>
      <c r="AU196" s="228">
        <v>273</v>
      </c>
      <c r="AV196" s="229">
        <v>1.4027000000000001</v>
      </c>
      <c r="AW196" s="228">
        <v>455</v>
      </c>
      <c r="AX196" s="228">
        <v>188</v>
      </c>
      <c r="AY196" s="228">
        <v>267</v>
      </c>
      <c r="AZ196" s="229">
        <v>1.4188000000000001</v>
      </c>
      <c r="BA196" s="228">
        <v>12</v>
      </c>
      <c r="BB196" s="228">
        <v>6</v>
      </c>
      <c r="BC196" s="228">
        <v>6</v>
      </c>
      <c r="BD196" s="229">
        <v>1.1016999999999999</v>
      </c>
      <c r="BE196" s="228">
        <v>1</v>
      </c>
      <c r="BF196" s="228">
        <v>1</v>
      </c>
      <c r="BG196" s="228">
        <v>0</v>
      </c>
      <c r="BH196" s="229">
        <v>-0.25</v>
      </c>
      <c r="BI196" s="230">
        <v>1252</v>
      </c>
      <c r="BJ196" s="228">
        <v>380</v>
      </c>
      <c r="BK196" s="228">
        <v>873</v>
      </c>
      <c r="BL196" s="229">
        <v>2.2989000000000002</v>
      </c>
      <c r="BM196" s="228">
        <v>336</v>
      </c>
      <c r="BN196" s="228">
        <v>172</v>
      </c>
      <c r="BO196" s="228">
        <v>164</v>
      </c>
      <c r="BP196" s="229">
        <v>0.95379999999999998</v>
      </c>
      <c r="BQ196" s="230">
        <v>2056</v>
      </c>
      <c r="BR196" s="228">
        <v>746</v>
      </c>
      <c r="BS196" s="230">
        <v>1310</v>
      </c>
      <c r="BT196" s="229">
        <v>1.7553000000000001</v>
      </c>
      <c r="BU196" s="230">
        <v>1331377</v>
      </c>
      <c r="BV196" s="230">
        <v>582305</v>
      </c>
      <c r="BW196" s="230">
        <v>749072</v>
      </c>
      <c r="BX196" s="229">
        <v>1.2864</v>
      </c>
      <c r="BY196" s="230">
        <v>3212</v>
      </c>
      <c r="BZ196" s="230">
        <v>3186</v>
      </c>
      <c r="CA196" s="228">
        <v>26</v>
      </c>
      <c r="CB196" s="229">
        <v>8.0999999999999996E-3</v>
      </c>
      <c r="CC196" s="230">
        <v>3182</v>
      </c>
      <c r="CD196" s="230">
        <v>3158</v>
      </c>
      <c r="CE196" s="228">
        <v>24</v>
      </c>
      <c r="CF196" s="229">
        <v>7.6E-3</v>
      </c>
      <c r="CG196" s="228">
        <v>27</v>
      </c>
      <c r="CH196" s="228">
        <v>25</v>
      </c>
      <c r="CI196" s="228">
        <v>2</v>
      </c>
      <c r="CJ196" s="229">
        <v>7.4200000000000002E-2</v>
      </c>
      <c r="CK196" s="228">
        <v>2</v>
      </c>
      <c r="CL196" s="228">
        <v>2</v>
      </c>
      <c r="CM196" s="228">
        <v>0</v>
      </c>
      <c r="CN196" s="229">
        <v>0</v>
      </c>
      <c r="CO196" s="228">
        <v>650</v>
      </c>
      <c r="CP196" s="228">
        <v>634</v>
      </c>
      <c r="CQ196" s="228">
        <v>17</v>
      </c>
      <c r="CR196" s="229">
        <v>2.64E-2</v>
      </c>
      <c r="CS196" s="228">
        <v>497</v>
      </c>
      <c r="CT196" s="228">
        <v>491</v>
      </c>
      <c r="CU196" s="228">
        <v>6</v>
      </c>
      <c r="CV196" s="229">
        <v>1.14E-2</v>
      </c>
      <c r="CW196" s="230">
        <v>4359</v>
      </c>
      <c r="CX196" s="230">
        <v>4311</v>
      </c>
      <c r="CY196" s="228">
        <v>48</v>
      </c>
      <c r="CZ196" s="229">
        <v>1.12E-2</v>
      </c>
      <c r="DA196" s="228">
        <v>26.28</v>
      </c>
      <c r="DB196" s="228">
        <v>25.84</v>
      </c>
      <c r="DC196" s="228">
        <v>0.44</v>
      </c>
      <c r="DD196" s="228">
        <v>0.44</v>
      </c>
      <c r="DE196" s="228">
        <v>28.01</v>
      </c>
      <c r="DF196" s="228">
        <v>28.01</v>
      </c>
      <c r="DG196" s="228">
        <v>-1.73</v>
      </c>
      <c r="DH196" s="228">
        <v>0</v>
      </c>
      <c r="DI196" s="228">
        <v>26.15</v>
      </c>
      <c r="DJ196" s="228">
        <v>25.57</v>
      </c>
      <c r="DK196" s="228">
        <v>0.57999999999999996</v>
      </c>
      <c r="DL196" s="228">
        <v>0.57999999999999996</v>
      </c>
      <c r="DM196" s="228">
        <v>26.79</v>
      </c>
      <c r="DN196" s="228">
        <v>26.42</v>
      </c>
      <c r="DO196" s="228">
        <v>0.37</v>
      </c>
      <c r="DP196" s="228">
        <v>0.37</v>
      </c>
      <c r="DQ196" s="228">
        <v>0.76</v>
      </c>
      <c r="DR196" s="228">
        <v>0.78</v>
      </c>
      <c r="DS196" s="228">
        <v>-0.02</v>
      </c>
      <c r="DT196" s="229">
        <v>-2.5600000000000001E-2</v>
      </c>
      <c r="DU196" s="231">
        <v>1800</v>
      </c>
      <c r="DV196" s="231">
        <v>1620</v>
      </c>
      <c r="DW196" s="228">
        <v>0.27</v>
      </c>
      <c r="DX196" s="228">
        <v>0.45</v>
      </c>
      <c r="DY196" s="228">
        <v>-0.18</v>
      </c>
      <c r="DZ196" s="229">
        <v>-0.4</v>
      </c>
      <c r="EA196" s="229">
        <v>9.1000000000000004E-3</v>
      </c>
      <c r="EB196" s="230">
        <v>168000</v>
      </c>
      <c r="EC196" s="229">
        <v>6.1000000000000004E-3</v>
      </c>
      <c r="ED196" s="229">
        <v>9.1000000000000004E-3</v>
      </c>
      <c r="EE196" s="228">
        <v>8.8699999999999992</v>
      </c>
      <c r="EF196" s="229">
        <v>5.4000000000000003E-3</v>
      </c>
      <c r="EG196" s="230">
        <v>717465</v>
      </c>
      <c r="EH196" s="230">
        <v>278635</v>
      </c>
      <c r="EI196" s="229">
        <v>1.5749</v>
      </c>
      <c r="EJ196" s="229">
        <v>0.53890000000000005</v>
      </c>
      <c r="EK196" s="231">
        <v>1299.56</v>
      </c>
      <c r="EL196" s="228">
        <v>328.81</v>
      </c>
      <c r="EM196" s="228">
        <v>467.2</v>
      </c>
      <c r="EN196" s="228">
        <v>27.64</v>
      </c>
      <c r="EO196" s="231">
        <v>2095.5700000000002</v>
      </c>
      <c r="EP196" s="228">
        <v>751.43</v>
      </c>
      <c r="EQ196" s="231">
        <v>1344.14</v>
      </c>
      <c r="ER196" s="229">
        <v>1.7887999999999999</v>
      </c>
      <c r="ES196" s="228">
        <v>669.81</v>
      </c>
      <c r="ET196" s="228">
        <v>469.94</v>
      </c>
      <c r="EU196" s="231">
        <v>3211.78</v>
      </c>
      <c r="EV196" s="231">
        <v>80031540</v>
      </c>
      <c r="EW196" s="231">
        <v>4351.5200000000004</v>
      </c>
      <c r="EX196" s="231">
        <v>4255.4399999999996</v>
      </c>
      <c r="EY196" s="228">
        <v>96.08</v>
      </c>
      <c r="EZ196" s="229">
        <v>2.2599999999999999E-2</v>
      </c>
      <c r="FA196" s="229">
        <v>0.3337</v>
      </c>
      <c r="FB196" s="227" t="s">
        <v>555</v>
      </c>
      <c r="FC196">
        <f t="shared" si="4"/>
        <v>0</v>
      </c>
    </row>
    <row r="197" spans="1:159" ht="17.25" thickBot="1" x14ac:dyDescent="0.3">
      <c r="A197" s="226">
        <v>46029</v>
      </c>
      <c r="B197" s="227" t="s">
        <v>184</v>
      </c>
      <c r="C197" s="227" t="s">
        <v>595</v>
      </c>
      <c r="D197" s="228">
        <v>200</v>
      </c>
      <c r="E197" s="228">
        <v>20</v>
      </c>
      <c r="F197" s="231">
        <v>2533</v>
      </c>
      <c r="G197" s="231">
        <v>2561.6</v>
      </c>
      <c r="H197" s="228">
        <v>-28.6</v>
      </c>
      <c r="I197" s="229">
        <v>-1.12E-2</v>
      </c>
      <c r="J197" s="231">
        <v>2527.4</v>
      </c>
      <c r="K197" s="231">
        <v>2549</v>
      </c>
      <c r="L197" s="228">
        <v>-21.6</v>
      </c>
      <c r="M197" s="229">
        <v>-8.5000000000000006E-3</v>
      </c>
      <c r="N197" s="231">
        <v>2533</v>
      </c>
      <c r="O197" s="231">
        <v>2561.6</v>
      </c>
      <c r="P197" s="228">
        <v>-28.6</v>
      </c>
      <c r="Q197" s="229">
        <v>-1.12E-2</v>
      </c>
      <c r="R197" s="231">
        <v>2547.6</v>
      </c>
      <c r="S197" s="231">
        <v>2576</v>
      </c>
      <c r="T197" s="228">
        <v>-28.4</v>
      </c>
      <c r="U197" s="229">
        <v>-1.0999999999999999E-2</v>
      </c>
      <c r="V197" s="231">
        <v>2561</v>
      </c>
      <c r="W197" s="231">
        <v>2590</v>
      </c>
      <c r="X197" s="228">
        <v>-29</v>
      </c>
      <c r="Y197" s="229">
        <v>-1.12E-2</v>
      </c>
      <c r="Z197" s="228">
        <v>5.6</v>
      </c>
      <c r="AA197" s="228">
        <v>12.6</v>
      </c>
      <c r="AB197" s="228">
        <v>-7</v>
      </c>
      <c r="AC197" s="229">
        <v>2.2000000000000001E-3</v>
      </c>
      <c r="AD197" s="228">
        <v>5.6</v>
      </c>
      <c r="AE197" s="228">
        <v>12.6</v>
      </c>
      <c r="AF197" s="228">
        <v>-7</v>
      </c>
      <c r="AG197" s="229">
        <v>2.2000000000000001E-3</v>
      </c>
      <c r="AH197" s="228">
        <v>20.2</v>
      </c>
      <c r="AI197" s="228">
        <v>27</v>
      </c>
      <c r="AJ197" s="228">
        <v>-6.8</v>
      </c>
      <c r="AK197" s="229">
        <v>8.0000000000000002E-3</v>
      </c>
      <c r="AL197" s="228">
        <v>33.6</v>
      </c>
      <c r="AM197" s="228">
        <v>41</v>
      </c>
      <c r="AN197" s="228">
        <v>-7.4</v>
      </c>
      <c r="AO197" s="229">
        <v>1.3299999999999999E-2</v>
      </c>
      <c r="AP197" s="231">
        <v>2543.9</v>
      </c>
      <c r="AQ197" s="231">
        <v>2557.9699999999998</v>
      </c>
      <c r="AR197" s="228">
        <v>0</v>
      </c>
      <c r="AS197" s="228">
        <v>83</v>
      </c>
      <c r="AT197" s="228">
        <v>83</v>
      </c>
      <c r="AU197" s="228">
        <v>0</v>
      </c>
      <c r="AV197" s="229">
        <v>3.7000000000000002E-3</v>
      </c>
      <c r="AW197" s="228">
        <v>78</v>
      </c>
      <c r="AX197" s="228">
        <v>78</v>
      </c>
      <c r="AY197" s="228">
        <v>1</v>
      </c>
      <c r="AZ197" s="229">
        <v>6.4999999999999997E-3</v>
      </c>
      <c r="BA197" s="228">
        <v>5</v>
      </c>
      <c r="BB197" s="228">
        <v>5</v>
      </c>
      <c r="BC197" s="228">
        <v>0</v>
      </c>
      <c r="BD197" s="229">
        <v>-3.0300000000000001E-2</v>
      </c>
      <c r="BE197" s="228">
        <v>0</v>
      </c>
      <c r="BF197" s="228">
        <v>0</v>
      </c>
      <c r="BG197" s="228">
        <v>0</v>
      </c>
      <c r="BH197" s="229">
        <v>-0.1429</v>
      </c>
      <c r="BI197" s="228">
        <v>152</v>
      </c>
      <c r="BJ197" s="228">
        <v>164</v>
      </c>
      <c r="BK197" s="228">
        <v>-12</v>
      </c>
      <c r="BL197" s="229">
        <v>-7.2300000000000003E-2</v>
      </c>
      <c r="BM197" s="228">
        <v>72</v>
      </c>
      <c r="BN197" s="228">
        <v>80</v>
      </c>
      <c r="BO197" s="228">
        <v>-8</v>
      </c>
      <c r="BP197" s="229">
        <v>-9.6600000000000005E-2</v>
      </c>
      <c r="BQ197" s="228">
        <v>307</v>
      </c>
      <c r="BR197" s="228">
        <v>327</v>
      </c>
      <c r="BS197" s="228">
        <v>-19</v>
      </c>
      <c r="BT197" s="229">
        <v>-5.8900000000000001E-2</v>
      </c>
      <c r="BU197" s="230">
        <v>171468</v>
      </c>
      <c r="BV197" s="230">
        <v>449177</v>
      </c>
      <c r="BW197" s="230">
        <v>-277709</v>
      </c>
      <c r="BX197" s="229">
        <v>-0.61829999999999996</v>
      </c>
      <c r="BY197" s="228">
        <v>987</v>
      </c>
      <c r="BZ197" s="228">
        <v>992</v>
      </c>
      <c r="CA197" s="228">
        <v>-5</v>
      </c>
      <c r="CB197" s="229">
        <v>-5.0000000000000001E-3</v>
      </c>
      <c r="CC197" s="228">
        <v>965</v>
      </c>
      <c r="CD197" s="228">
        <v>971</v>
      </c>
      <c r="CE197" s="228">
        <v>-6</v>
      </c>
      <c r="CF197" s="229">
        <v>-6.4000000000000003E-3</v>
      </c>
      <c r="CG197" s="228">
        <v>20</v>
      </c>
      <c r="CH197" s="228">
        <v>19</v>
      </c>
      <c r="CI197" s="228">
        <v>1</v>
      </c>
      <c r="CJ197" s="229">
        <v>5.5E-2</v>
      </c>
      <c r="CK197" s="228">
        <v>2</v>
      </c>
      <c r="CL197" s="228">
        <v>1</v>
      </c>
      <c r="CM197" s="228">
        <v>0</v>
      </c>
      <c r="CN197" s="229">
        <v>0.2</v>
      </c>
      <c r="CO197" s="228">
        <v>192</v>
      </c>
      <c r="CP197" s="228">
        <v>177</v>
      </c>
      <c r="CQ197" s="228">
        <v>15</v>
      </c>
      <c r="CR197" s="229">
        <v>8.5199999999999998E-2</v>
      </c>
      <c r="CS197" s="228">
        <v>150</v>
      </c>
      <c r="CT197" s="228">
        <v>155</v>
      </c>
      <c r="CU197" s="228">
        <v>-5</v>
      </c>
      <c r="CV197" s="229">
        <v>-3.1399999999999997E-2</v>
      </c>
      <c r="CW197" s="230">
        <v>1328</v>
      </c>
      <c r="CX197" s="230">
        <v>1323</v>
      </c>
      <c r="CY197" s="228">
        <v>5</v>
      </c>
      <c r="CZ197" s="229">
        <v>4.0000000000000001E-3</v>
      </c>
      <c r="DA197" s="228">
        <v>28.31</v>
      </c>
      <c r="DB197" s="228">
        <v>27.82</v>
      </c>
      <c r="DC197" s="228">
        <v>0.49</v>
      </c>
      <c r="DD197" s="228">
        <v>0.49</v>
      </c>
      <c r="DE197" s="228">
        <v>39.869999999999997</v>
      </c>
      <c r="DF197" s="228">
        <v>39.94</v>
      </c>
      <c r="DG197" s="228">
        <v>-11.56</v>
      </c>
      <c r="DH197" s="228">
        <v>-7.0000000000000007E-2</v>
      </c>
      <c r="DI197" s="228">
        <v>28.45</v>
      </c>
      <c r="DJ197" s="228">
        <v>27.87</v>
      </c>
      <c r="DK197" s="228">
        <v>0.57999999999999996</v>
      </c>
      <c r="DL197" s="228">
        <v>0.57999999999999996</v>
      </c>
      <c r="DM197" s="228">
        <v>28.03</v>
      </c>
      <c r="DN197" s="228">
        <v>27.73</v>
      </c>
      <c r="DO197" s="228">
        <v>0.3</v>
      </c>
      <c r="DP197" s="228">
        <v>0.3</v>
      </c>
      <c r="DQ197" s="228">
        <v>0.78</v>
      </c>
      <c r="DR197" s="228">
        <v>0.88</v>
      </c>
      <c r="DS197" s="228">
        <v>-0.1</v>
      </c>
      <c r="DT197" s="229">
        <v>-0.11360000000000001</v>
      </c>
      <c r="DU197" s="231">
        <v>2600</v>
      </c>
      <c r="DV197" s="231">
        <v>2500</v>
      </c>
      <c r="DW197" s="228">
        <v>0.47</v>
      </c>
      <c r="DX197" s="228">
        <v>0.49</v>
      </c>
      <c r="DY197" s="228">
        <v>-0.02</v>
      </c>
      <c r="DZ197" s="229">
        <v>-4.0800000000000003E-2</v>
      </c>
      <c r="EA197" s="229">
        <v>2.2200000000000001E-2</v>
      </c>
      <c r="EB197" s="230">
        <v>81400</v>
      </c>
      <c r="EC197" s="229">
        <v>5.7999999999999996E-3</v>
      </c>
      <c r="ED197" s="229">
        <v>2.2200000000000001E-2</v>
      </c>
      <c r="EE197" s="228">
        <v>14.07</v>
      </c>
      <c r="EF197" s="229">
        <v>5.4999999999999997E-3</v>
      </c>
      <c r="EG197" s="230">
        <v>85964</v>
      </c>
      <c r="EH197" s="230">
        <v>331167</v>
      </c>
      <c r="EI197" s="229">
        <v>-0.74039999999999995</v>
      </c>
      <c r="EJ197" s="229">
        <v>0.50129999999999997</v>
      </c>
      <c r="EK197" s="228">
        <v>160.88999999999999</v>
      </c>
      <c r="EL197" s="228">
        <v>72.5</v>
      </c>
      <c r="EM197" s="228">
        <v>83.67</v>
      </c>
      <c r="EN197" s="228">
        <v>17.75</v>
      </c>
      <c r="EO197" s="228">
        <v>317.06</v>
      </c>
      <c r="EP197" s="228">
        <v>336.39</v>
      </c>
      <c r="EQ197" s="228">
        <v>-19.329999999999998</v>
      </c>
      <c r="ER197" s="229">
        <v>-5.7500000000000002E-2</v>
      </c>
      <c r="ES197" s="228">
        <v>202.81</v>
      </c>
      <c r="ET197" s="228">
        <v>151.82</v>
      </c>
      <c r="EU197" s="228">
        <v>986.89</v>
      </c>
      <c r="EV197" s="231">
        <v>15879795</v>
      </c>
      <c r="EW197" s="231">
        <v>1341.51</v>
      </c>
      <c r="EX197" s="231">
        <v>1347.35</v>
      </c>
      <c r="EY197" s="228">
        <v>-5.84</v>
      </c>
      <c r="EZ197" s="229">
        <v>-4.3E-3</v>
      </c>
      <c r="FA197" s="229">
        <v>0.33029999999999998</v>
      </c>
      <c r="FB197" s="227" t="s">
        <v>568</v>
      </c>
      <c r="FC197">
        <f t="shared" si="4"/>
        <v>0</v>
      </c>
    </row>
    <row r="198" spans="1:159" ht="17.25" thickBot="1" x14ac:dyDescent="0.3">
      <c r="A198" s="226">
        <v>46029</v>
      </c>
      <c r="B198" s="227" t="s">
        <v>168</v>
      </c>
      <c r="C198" s="227" t="s">
        <v>297</v>
      </c>
      <c r="D198" s="228">
        <v>175</v>
      </c>
      <c r="E198" s="228">
        <v>20</v>
      </c>
      <c r="F198" s="231">
        <v>4293.1000000000004</v>
      </c>
      <c r="G198" s="231">
        <v>4121.3</v>
      </c>
      <c r="H198" s="228">
        <v>171.8</v>
      </c>
      <c r="I198" s="229">
        <v>4.1700000000000001E-2</v>
      </c>
      <c r="J198" s="231">
        <v>4273.2</v>
      </c>
      <c r="K198" s="231">
        <v>4111.8</v>
      </c>
      <c r="L198" s="228">
        <v>161.4</v>
      </c>
      <c r="M198" s="229">
        <v>3.9300000000000002E-2</v>
      </c>
      <c r="N198" s="231">
        <v>4293.1000000000004</v>
      </c>
      <c r="O198" s="231">
        <v>4121.3</v>
      </c>
      <c r="P198" s="228">
        <v>171.8</v>
      </c>
      <c r="Q198" s="229">
        <v>4.1700000000000001E-2</v>
      </c>
      <c r="R198" s="231">
        <v>4318.1000000000004</v>
      </c>
      <c r="S198" s="231">
        <v>4144.8</v>
      </c>
      <c r="T198" s="228">
        <v>173.3</v>
      </c>
      <c r="U198" s="229">
        <v>4.1799999999999997E-2</v>
      </c>
      <c r="V198" s="231">
        <v>4341.8999999999996</v>
      </c>
      <c r="W198" s="231">
        <v>4167.1000000000004</v>
      </c>
      <c r="X198" s="228">
        <v>174.8</v>
      </c>
      <c r="Y198" s="229">
        <v>4.19E-2</v>
      </c>
      <c r="Z198" s="228">
        <v>19.899999999999999</v>
      </c>
      <c r="AA198" s="228">
        <v>9.5</v>
      </c>
      <c r="AB198" s="228">
        <v>10.4</v>
      </c>
      <c r="AC198" s="229">
        <v>4.7000000000000002E-3</v>
      </c>
      <c r="AD198" s="228">
        <v>19.899999999999999</v>
      </c>
      <c r="AE198" s="228">
        <v>9.5</v>
      </c>
      <c r="AF198" s="228">
        <v>10.4</v>
      </c>
      <c r="AG198" s="229">
        <v>4.7000000000000002E-3</v>
      </c>
      <c r="AH198" s="228">
        <v>44.9</v>
      </c>
      <c r="AI198" s="228">
        <v>33</v>
      </c>
      <c r="AJ198" s="228">
        <v>11.9</v>
      </c>
      <c r="AK198" s="229">
        <v>1.0500000000000001E-2</v>
      </c>
      <c r="AL198" s="228">
        <v>68.7</v>
      </c>
      <c r="AM198" s="228">
        <v>55.3</v>
      </c>
      <c r="AN198" s="228">
        <v>13.4</v>
      </c>
      <c r="AO198" s="229">
        <v>1.61E-2</v>
      </c>
      <c r="AP198" s="231">
        <v>4279.57</v>
      </c>
      <c r="AQ198" s="231">
        <v>4311.5</v>
      </c>
      <c r="AR198" s="228">
        <v>0</v>
      </c>
      <c r="AS198" s="230">
        <v>2071</v>
      </c>
      <c r="AT198" s="228">
        <v>506</v>
      </c>
      <c r="AU198" s="230">
        <v>1565</v>
      </c>
      <c r="AV198" s="229">
        <v>3.0924999999999998</v>
      </c>
      <c r="AW198" s="230">
        <v>1974</v>
      </c>
      <c r="AX198" s="228">
        <v>492</v>
      </c>
      <c r="AY198" s="230">
        <v>1482</v>
      </c>
      <c r="AZ198" s="229">
        <v>3.0101</v>
      </c>
      <c r="BA198" s="228">
        <v>81</v>
      </c>
      <c r="BB198" s="228">
        <v>12</v>
      </c>
      <c r="BC198" s="228">
        <v>69</v>
      </c>
      <c r="BD198" s="229">
        <v>5.8164999999999996</v>
      </c>
      <c r="BE198" s="228">
        <v>16</v>
      </c>
      <c r="BF198" s="228">
        <v>2</v>
      </c>
      <c r="BG198" s="228">
        <v>14</v>
      </c>
      <c r="BH198" s="229">
        <v>7.3076999999999996</v>
      </c>
      <c r="BI198" s="230">
        <v>15541</v>
      </c>
      <c r="BJ198" s="230">
        <v>1986</v>
      </c>
      <c r="BK198" s="230">
        <v>13555</v>
      </c>
      <c r="BL198" s="229">
        <v>6.8236999999999997</v>
      </c>
      <c r="BM198" s="230">
        <v>8125</v>
      </c>
      <c r="BN198" s="228">
        <v>825</v>
      </c>
      <c r="BO198" s="230">
        <v>7300</v>
      </c>
      <c r="BP198" s="229">
        <v>8.8498000000000001</v>
      </c>
      <c r="BQ198" s="230">
        <v>25737</v>
      </c>
      <c r="BR198" s="230">
        <v>3317</v>
      </c>
      <c r="BS198" s="230">
        <v>22420</v>
      </c>
      <c r="BT198" s="229">
        <v>6.7582000000000004</v>
      </c>
      <c r="BU198" s="230">
        <v>3773851</v>
      </c>
      <c r="BV198" s="230">
        <v>830420</v>
      </c>
      <c r="BW198" s="230">
        <v>2943431</v>
      </c>
      <c r="BX198" s="229">
        <v>3.5445000000000002</v>
      </c>
      <c r="BY198" s="230">
        <v>4135</v>
      </c>
      <c r="BZ198" s="230">
        <v>4059</v>
      </c>
      <c r="CA198" s="228">
        <v>76</v>
      </c>
      <c r="CB198" s="229">
        <v>1.8700000000000001E-2</v>
      </c>
      <c r="CC198" s="230">
        <v>4037</v>
      </c>
      <c r="CD198" s="230">
        <v>3981</v>
      </c>
      <c r="CE198" s="228">
        <v>56</v>
      </c>
      <c r="CF198" s="229">
        <v>1.4200000000000001E-2</v>
      </c>
      <c r="CG198" s="228">
        <v>85</v>
      </c>
      <c r="CH198" s="228">
        <v>70</v>
      </c>
      <c r="CI198" s="228">
        <v>15</v>
      </c>
      <c r="CJ198" s="229">
        <v>0.20830000000000001</v>
      </c>
      <c r="CK198" s="228">
        <v>13</v>
      </c>
      <c r="CL198" s="228">
        <v>8</v>
      </c>
      <c r="CM198" s="228">
        <v>5</v>
      </c>
      <c r="CN198" s="229">
        <v>0.60909999999999997</v>
      </c>
      <c r="CO198" s="230">
        <v>2303</v>
      </c>
      <c r="CP198" s="230">
        <v>1665</v>
      </c>
      <c r="CQ198" s="228">
        <v>638</v>
      </c>
      <c r="CR198" s="229">
        <v>0.38300000000000001</v>
      </c>
      <c r="CS198" s="230">
        <v>1810</v>
      </c>
      <c r="CT198" s="230">
        <v>1181</v>
      </c>
      <c r="CU198" s="228">
        <v>629</v>
      </c>
      <c r="CV198" s="229">
        <v>0.53249999999999997</v>
      </c>
      <c r="CW198" s="230">
        <v>8249</v>
      </c>
      <c r="CX198" s="230">
        <v>6906</v>
      </c>
      <c r="CY198" s="230">
        <v>1343</v>
      </c>
      <c r="CZ198" s="229">
        <v>0.19450000000000001</v>
      </c>
      <c r="DA198" s="228">
        <v>19.41</v>
      </c>
      <c r="DB198" s="228">
        <v>21.93</v>
      </c>
      <c r="DC198" s="228">
        <v>-2.52</v>
      </c>
      <c r="DD198" s="228">
        <v>-2.52</v>
      </c>
      <c r="DE198" s="228">
        <v>24.86</v>
      </c>
      <c r="DF198" s="228">
        <v>24.37</v>
      </c>
      <c r="DG198" s="228">
        <v>-5.45</v>
      </c>
      <c r="DH198" s="228">
        <v>0.49</v>
      </c>
      <c r="DI198" s="228">
        <v>18.940000000000001</v>
      </c>
      <c r="DJ198" s="228">
        <v>21.59</v>
      </c>
      <c r="DK198" s="228">
        <v>-2.65</v>
      </c>
      <c r="DL198" s="228">
        <v>-2.65</v>
      </c>
      <c r="DM198" s="228">
        <v>20.309999999999999</v>
      </c>
      <c r="DN198" s="228">
        <v>22.76</v>
      </c>
      <c r="DO198" s="228">
        <v>-2.4500000000000002</v>
      </c>
      <c r="DP198" s="228">
        <v>-2.4500000000000002</v>
      </c>
      <c r="DQ198" s="228">
        <v>0.79</v>
      </c>
      <c r="DR198" s="228">
        <v>0.71</v>
      </c>
      <c r="DS198" s="228">
        <v>0.08</v>
      </c>
      <c r="DT198" s="229">
        <v>0.11269999999999999</v>
      </c>
      <c r="DU198" s="231">
        <v>4400</v>
      </c>
      <c r="DV198" s="231">
        <v>4000</v>
      </c>
      <c r="DW198" s="228">
        <v>0.52</v>
      </c>
      <c r="DX198" s="228">
        <v>0.42</v>
      </c>
      <c r="DY198" s="228">
        <v>0.1</v>
      </c>
      <c r="DZ198" s="229">
        <v>0.23810000000000001</v>
      </c>
      <c r="EA198" s="229">
        <v>2.3800000000000002E-2</v>
      </c>
      <c r="EB198" s="230">
        <v>183050</v>
      </c>
      <c r="EC198" s="229">
        <v>5.7999999999999996E-3</v>
      </c>
      <c r="ED198" s="229">
        <v>2.3800000000000002E-2</v>
      </c>
      <c r="EE198" s="228">
        <v>31.93</v>
      </c>
      <c r="EF198" s="229">
        <v>7.4999999999999997E-3</v>
      </c>
      <c r="EG198" s="230">
        <v>1267217</v>
      </c>
      <c r="EH198" s="230">
        <v>553760</v>
      </c>
      <c r="EI198" s="229">
        <v>1.2884</v>
      </c>
      <c r="EJ198" s="229">
        <v>0.33579999999999999</v>
      </c>
      <c r="EK198" s="231">
        <v>15936.41</v>
      </c>
      <c r="EL198" s="231">
        <v>7881.84</v>
      </c>
      <c r="EM198" s="231">
        <v>2065.6999999999998</v>
      </c>
      <c r="EN198" s="228">
        <v>66.86</v>
      </c>
      <c r="EO198" s="231">
        <v>25883.94</v>
      </c>
      <c r="EP198" s="231">
        <v>3235.89</v>
      </c>
      <c r="EQ198" s="231">
        <v>22648.06</v>
      </c>
      <c r="ER198" s="229">
        <v>6.9989999999999997</v>
      </c>
      <c r="ES198" s="231">
        <v>2295.9899999999998</v>
      </c>
      <c r="ET198" s="231">
        <v>1707.68</v>
      </c>
      <c r="EU198" s="231">
        <v>4135.99</v>
      </c>
      <c r="EV198" s="231">
        <v>45680146</v>
      </c>
      <c r="EW198" s="231">
        <v>8139.65</v>
      </c>
      <c r="EX198" s="231">
        <v>6598.41</v>
      </c>
      <c r="EY198" s="231">
        <v>1541.24</v>
      </c>
      <c r="EZ198" s="229">
        <v>0.2336</v>
      </c>
      <c r="FA198" s="229">
        <v>0.42059999999999997</v>
      </c>
      <c r="FB198" s="227" t="s">
        <v>555</v>
      </c>
      <c r="FC198">
        <f t="shared" si="4"/>
        <v>0</v>
      </c>
    </row>
    <row r="199" spans="1:159" ht="17.25" thickBot="1" x14ac:dyDescent="0.3">
      <c r="A199" s="226">
        <v>46029</v>
      </c>
      <c r="B199" s="227" t="s">
        <v>162</v>
      </c>
      <c r="C199" s="227" t="s">
        <v>689</v>
      </c>
      <c r="D199" s="228">
        <v>800</v>
      </c>
      <c r="E199" s="228">
        <v>20</v>
      </c>
      <c r="F199" s="228">
        <v>364.2</v>
      </c>
      <c r="G199" s="228">
        <v>369.8</v>
      </c>
      <c r="H199" s="228">
        <v>-5.6</v>
      </c>
      <c r="I199" s="229">
        <v>-1.5100000000000001E-2</v>
      </c>
      <c r="J199" s="228">
        <v>363.35</v>
      </c>
      <c r="K199" s="228">
        <v>368.9</v>
      </c>
      <c r="L199" s="228">
        <v>-5.55</v>
      </c>
      <c r="M199" s="229">
        <v>-1.4999999999999999E-2</v>
      </c>
      <c r="N199" s="228">
        <v>364.2</v>
      </c>
      <c r="O199" s="228">
        <v>369.8</v>
      </c>
      <c r="P199" s="228">
        <v>-5.6</v>
      </c>
      <c r="Q199" s="229">
        <v>-1.5100000000000001E-2</v>
      </c>
      <c r="R199" s="228">
        <v>366.15</v>
      </c>
      <c r="S199" s="228">
        <v>371.9</v>
      </c>
      <c r="T199" s="228">
        <v>-5.75</v>
      </c>
      <c r="U199" s="229">
        <v>-1.55E-2</v>
      </c>
      <c r="V199" s="228">
        <v>368.65</v>
      </c>
      <c r="W199" s="228">
        <v>374.25</v>
      </c>
      <c r="X199" s="228">
        <v>-5.6</v>
      </c>
      <c r="Y199" s="229">
        <v>-1.4999999999999999E-2</v>
      </c>
      <c r="Z199" s="228">
        <v>0.85</v>
      </c>
      <c r="AA199" s="228">
        <v>0.9</v>
      </c>
      <c r="AB199" s="228">
        <v>-0.05</v>
      </c>
      <c r="AC199" s="229">
        <v>2.3E-3</v>
      </c>
      <c r="AD199" s="228">
        <v>0.85</v>
      </c>
      <c r="AE199" s="228">
        <v>0.9</v>
      </c>
      <c r="AF199" s="228">
        <v>-0.05</v>
      </c>
      <c r="AG199" s="229">
        <v>2.3E-3</v>
      </c>
      <c r="AH199" s="228">
        <v>2.8</v>
      </c>
      <c r="AI199" s="228">
        <v>3</v>
      </c>
      <c r="AJ199" s="228">
        <v>-0.2</v>
      </c>
      <c r="AK199" s="229">
        <v>7.7000000000000002E-3</v>
      </c>
      <c r="AL199" s="228">
        <v>5.3</v>
      </c>
      <c r="AM199" s="228">
        <v>5.35</v>
      </c>
      <c r="AN199" s="228">
        <v>-0.05</v>
      </c>
      <c r="AO199" s="229">
        <v>1.46E-2</v>
      </c>
      <c r="AP199" s="228">
        <v>362.73</v>
      </c>
      <c r="AQ199" s="228">
        <v>364.93</v>
      </c>
      <c r="AR199" s="228">
        <v>0</v>
      </c>
      <c r="AS199" s="228">
        <v>577</v>
      </c>
      <c r="AT199" s="228">
        <v>789</v>
      </c>
      <c r="AU199" s="228">
        <v>-212</v>
      </c>
      <c r="AV199" s="229">
        <v>-0.26840000000000003</v>
      </c>
      <c r="AW199" s="228">
        <v>503</v>
      </c>
      <c r="AX199" s="228">
        <v>720</v>
      </c>
      <c r="AY199" s="228">
        <v>-217</v>
      </c>
      <c r="AZ199" s="229">
        <v>-0.30159999999999998</v>
      </c>
      <c r="BA199" s="228">
        <v>59</v>
      </c>
      <c r="BB199" s="228">
        <v>56</v>
      </c>
      <c r="BC199" s="228">
        <v>3</v>
      </c>
      <c r="BD199" s="229">
        <v>4.9000000000000002E-2</v>
      </c>
      <c r="BE199" s="228">
        <v>16</v>
      </c>
      <c r="BF199" s="228">
        <v>13</v>
      </c>
      <c r="BG199" s="228">
        <v>3</v>
      </c>
      <c r="BH199" s="229">
        <v>0.2114</v>
      </c>
      <c r="BI199" s="230">
        <v>1800</v>
      </c>
      <c r="BJ199" s="230">
        <v>2254</v>
      </c>
      <c r="BK199" s="228">
        <v>-454</v>
      </c>
      <c r="BL199" s="229">
        <v>-0.2016</v>
      </c>
      <c r="BM199" s="228">
        <v>968</v>
      </c>
      <c r="BN199" s="230">
        <v>1267</v>
      </c>
      <c r="BO199" s="228">
        <v>-299</v>
      </c>
      <c r="BP199" s="229">
        <v>-0.23580000000000001</v>
      </c>
      <c r="BQ199" s="230">
        <v>3346</v>
      </c>
      <c r="BR199" s="230">
        <v>4311</v>
      </c>
      <c r="BS199" s="228">
        <v>-965</v>
      </c>
      <c r="BT199" s="229">
        <v>-0.2238</v>
      </c>
      <c r="BU199" s="230">
        <v>10682229</v>
      </c>
      <c r="BV199" s="230">
        <v>17493345</v>
      </c>
      <c r="BW199" s="230">
        <v>-6811116</v>
      </c>
      <c r="BX199" s="229">
        <v>-0.38940000000000002</v>
      </c>
      <c r="BY199" s="230">
        <v>3380</v>
      </c>
      <c r="BZ199" s="230">
        <v>3329</v>
      </c>
      <c r="CA199" s="228">
        <v>51</v>
      </c>
      <c r="CB199" s="229">
        <v>1.5299999999999999E-2</v>
      </c>
      <c r="CC199" s="230">
        <v>3179</v>
      </c>
      <c r="CD199" s="230">
        <v>3154</v>
      </c>
      <c r="CE199" s="228">
        <v>25</v>
      </c>
      <c r="CF199" s="229">
        <v>8.0000000000000002E-3</v>
      </c>
      <c r="CG199" s="228">
        <v>163</v>
      </c>
      <c r="CH199" s="228">
        <v>144</v>
      </c>
      <c r="CI199" s="228">
        <v>19</v>
      </c>
      <c r="CJ199" s="229">
        <v>0.1321</v>
      </c>
      <c r="CK199" s="228">
        <v>38</v>
      </c>
      <c r="CL199" s="228">
        <v>31</v>
      </c>
      <c r="CM199" s="228">
        <v>7</v>
      </c>
      <c r="CN199" s="229">
        <v>0.2155</v>
      </c>
      <c r="CO199" s="230">
        <v>1526</v>
      </c>
      <c r="CP199" s="230">
        <v>1342</v>
      </c>
      <c r="CQ199" s="228">
        <v>184</v>
      </c>
      <c r="CR199" s="229">
        <v>0.1371</v>
      </c>
      <c r="CS199" s="228">
        <v>909</v>
      </c>
      <c r="CT199" s="228">
        <v>903</v>
      </c>
      <c r="CU199" s="228">
        <v>6</v>
      </c>
      <c r="CV199" s="229">
        <v>6.4999999999999997E-3</v>
      </c>
      <c r="CW199" s="230">
        <v>5815</v>
      </c>
      <c r="CX199" s="230">
        <v>5574</v>
      </c>
      <c r="CY199" s="228">
        <v>241</v>
      </c>
      <c r="CZ199" s="229">
        <v>4.3200000000000002E-2</v>
      </c>
      <c r="DA199" s="228">
        <v>25.75</v>
      </c>
      <c r="DB199" s="228">
        <v>25.53</v>
      </c>
      <c r="DC199" s="228">
        <v>0.22</v>
      </c>
      <c r="DD199" s="228">
        <v>0.22</v>
      </c>
      <c r="DE199" s="228">
        <v>33.450000000000003</v>
      </c>
      <c r="DF199" s="228">
        <v>33.47</v>
      </c>
      <c r="DG199" s="228">
        <v>-7.7</v>
      </c>
      <c r="DH199" s="228">
        <v>-0.02</v>
      </c>
      <c r="DI199" s="228">
        <v>25.75</v>
      </c>
      <c r="DJ199" s="228">
        <v>25.36</v>
      </c>
      <c r="DK199" s="228">
        <v>0.39</v>
      </c>
      <c r="DL199" s="228">
        <v>0.39</v>
      </c>
      <c r="DM199" s="228">
        <v>25.77</v>
      </c>
      <c r="DN199" s="228">
        <v>25.84</v>
      </c>
      <c r="DO199" s="228">
        <v>-7.0000000000000007E-2</v>
      </c>
      <c r="DP199" s="228">
        <v>-7.0000000000000007E-2</v>
      </c>
      <c r="DQ199" s="228">
        <v>0.6</v>
      </c>
      <c r="DR199" s="228">
        <v>0.67</v>
      </c>
      <c r="DS199" s="228">
        <v>-7.0000000000000007E-2</v>
      </c>
      <c r="DT199" s="229">
        <v>-0.1045</v>
      </c>
      <c r="DU199" s="228">
        <v>400</v>
      </c>
      <c r="DV199" s="228">
        <v>360</v>
      </c>
      <c r="DW199" s="228">
        <v>0.54</v>
      </c>
      <c r="DX199" s="228">
        <v>0.56000000000000005</v>
      </c>
      <c r="DY199" s="228">
        <v>-0.02</v>
      </c>
      <c r="DZ199" s="229">
        <v>-3.5700000000000003E-2</v>
      </c>
      <c r="EA199" s="229">
        <v>5.9499999999999997E-2</v>
      </c>
      <c r="EB199" s="230">
        <v>4814400</v>
      </c>
      <c r="EC199" s="229">
        <v>5.4000000000000003E-3</v>
      </c>
      <c r="ED199" s="229">
        <v>5.9499999999999997E-2</v>
      </c>
      <c r="EE199" s="228">
        <v>2.2000000000000002</v>
      </c>
      <c r="EF199" s="229">
        <v>6.1000000000000004E-3</v>
      </c>
      <c r="EG199" s="230">
        <v>5379806</v>
      </c>
      <c r="EH199" s="230">
        <v>9885210</v>
      </c>
      <c r="EI199" s="229">
        <v>-0.45579999999999998</v>
      </c>
      <c r="EJ199" s="229">
        <v>0.50360000000000005</v>
      </c>
      <c r="EK199" s="231">
        <v>1899.12</v>
      </c>
      <c r="EL199" s="228">
        <v>957.64</v>
      </c>
      <c r="EM199" s="228">
        <v>575.57000000000005</v>
      </c>
      <c r="EN199" s="228">
        <v>183.64</v>
      </c>
      <c r="EO199" s="231">
        <v>3432.32</v>
      </c>
      <c r="EP199" s="231">
        <v>4460.33</v>
      </c>
      <c r="EQ199" s="231">
        <v>-1028.01</v>
      </c>
      <c r="ER199" s="229">
        <v>-0.23050000000000001</v>
      </c>
      <c r="ES199" s="231">
        <v>1622.74</v>
      </c>
      <c r="ET199" s="228">
        <v>894.47</v>
      </c>
      <c r="EU199" s="231">
        <v>3381.09</v>
      </c>
      <c r="EV199" s="231">
        <v>317235726</v>
      </c>
      <c r="EW199" s="231">
        <v>5898.3</v>
      </c>
      <c r="EX199" s="231">
        <v>5703.86</v>
      </c>
      <c r="EY199" s="228">
        <v>194.44</v>
      </c>
      <c r="EZ199" s="229">
        <v>3.4099999999999998E-2</v>
      </c>
      <c r="FA199" s="229">
        <v>0.50329999999999997</v>
      </c>
      <c r="FB199" s="227" t="s">
        <v>567</v>
      </c>
      <c r="FC199">
        <f t="shared" si="4"/>
        <v>0</v>
      </c>
    </row>
    <row r="200" spans="1:159" ht="17.25" thickBot="1" x14ac:dyDescent="0.3">
      <c r="A200" s="226">
        <v>46029</v>
      </c>
      <c r="B200" s="227" t="s">
        <v>170</v>
      </c>
      <c r="C200" s="227" t="s">
        <v>298</v>
      </c>
      <c r="D200" s="228">
        <v>250</v>
      </c>
      <c r="E200" s="228">
        <v>20</v>
      </c>
      <c r="F200" s="231">
        <v>4080.3</v>
      </c>
      <c r="G200" s="231">
        <v>3937.7</v>
      </c>
      <c r="H200" s="228">
        <v>142.6</v>
      </c>
      <c r="I200" s="229">
        <v>3.6200000000000003E-2</v>
      </c>
      <c r="J200" s="231">
        <v>4092.2</v>
      </c>
      <c r="K200" s="231">
        <v>3936.8</v>
      </c>
      <c r="L200" s="228">
        <v>155.4</v>
      </c>
      <c r="M200" s="229">
        <v>3.95E-2</v>
      </c>
      <c r="N200" s="231">
        <v>4080.3</v>
      </c>
      <c r="O200" s="231">
        <v>3937.7</v>
      </c>
      <c r="P200" s="228">
        <v>142.6</v>
      </c>
      <c r="Q200" s="229">
        <v>3.6200000000000003E-2</v>
      </c>
      <c r="R200" s="231">
        <v>4081.2</v>
      </c>
      <c r="S200" s="231">
        <v>3937.4</v>
      </c>
      <c r="T200" s="228">
        <v>143.80000000000001</v>
      </c>
      <c r="U200" s="229">
        <v>3.6499999999999998E-2</v>
      </c>
      <c r="V200" s="231">
        <v>4080</v>
      </c>
      <c r="W200" s="231">
        <v>3945</v>
      </c>
      <c r="X200" s="228">
        <v>135</v>
      </c>
      <c r="Y200" s="229">
        <v>3.4200000000000001E-2</v>
      </c>
      <c r="Z200" s="228">
        <v>-11.9</v>
      </c>
      <c r="AA200" s="228">
        <v>0.9</v>
      </c>
      <c r="AB200" s="228">
        <v>-12.8</v>
      </c>
      <c r="AC200" s="229">
        <v>-2.8999999999999998E-3</v>
      </c>
      <c r="AD200" s="228">
        <v>-11.9</v>
      </c>
      <c r="AE200" s="228">
        <v>0.9</v>
      </c>
      <c r="AF200" s="228">
        <v>-12.8</v>
      </c>
      <c r="AG200" s="229">
        <v>-2.8999999999999998E-3</v>
      </c>
      <c r="AH200" s="228">
        <v>-11</v>
      </c>
      <c r="AI200" s="228">
        <v>0.6</v>
      </c>
      <c r="AJ200" s="228">
        <v>-11.6</v>
      </c>
      <c r="AK200" s="229">
        <v>-2.7000000000000001E-3</v>
      </c>
      <c r="AL200" s="228">
        <v>-12.2</v>
      </c>
      <c r="AM200" s="228">
        <v>8.1999999999999993</v>
      </c>
      <c r="AN200" s="228">
        <v>-20.399999999999999</v>
      </c>
      <c r="AO200" s="229">
        <v>-3.0000000000000001E-3</v>
      </c>
      <c r="AP200" s="231">
        <v>4034.68</v>
      </c>
      <c r="AQ200" s="231">
        <v>4048.97</v>
      </c>
      <c r="AR200" s="228">
        <v>0</v>
      </c>
      <c r="AS200" s="228">
        <v>492</v>
      </c>
      <c r="AT200" s="228">
        <v>146</v>
      </c>
      <c r="AU200" s="228">
        <v>346</v>
      </c>
      <c r="AV200" s="229">
        <v>2.3633000000000002</v>
      </c>
      <c r="AW200" s="228">
        <v>452</v>
      </c>
      <c r="AX200" s="228">
        <v>143</v>
      </c>
      <c r="AY200" s="228">
        <v>309</v>
      </c>
      <c r="AZ200" s="229">
        <v>2.165</v>
      </c>
      <c r="BA200" s="228">
        <v>39</v>
      </c>
      <c r="BB200" s="228">
        <v>3</v>
      </c>
      <c r="BC200" s="228">
        <v>36</v>
      </c>
      <c r="BD200" s="229">
        <v>11.6333</v>
      </c>
      <c r="BE200" s="228">
        <v>1</v>
      </c>
      <c r="BF200" s="228">
        <v>0</v>
      </c>
      <c r="BG200" s="228">
        <v>1</v>
      </c>
      <c r="BH200" s="229">
        <v>2.25</v>
      </c>
      <c r="BI200" s="230">
        <v>1939</v>
      </c>
      <c r="BJ200" s="228">
        <v>442</v>
      </c>
      <c r="BK200" s="230">
        <v>1497</v>
      </c>
      <c r="BL200" s="229">
        <v>3.3858000000000001</v>
      </c>
      <c r="BM200" s="228">
        <v>367</v>
      </c>
      <c r="BN200" s="228">
        <v>90</v>
      </c>
      <c r="BO200" s="228">
        <v>277</v>
      </c>
      <c r="BP200" s="229">
        <v>3.0840999999999998</v>
      </c>
      <c r="BQ200" s="230">
        <v>2798</v>
      </c>
      <c r="BR200" s="228">
        <v>678</v>
      </c>
      <c r="BS200" s="230">
        <v>2119</v>
      </c>
      <c r="BT200" s="229">
        <v>3.1253000000000002</v>
      </c>
      <c r="BU200" s="230">
        <v>915659</v>
      </c>
      <c r="BV200" s="230">
        <v>195942</v>
      </c>
      <c r="BW200" s="230">
        <v>719717</v>
      </c>
      <c r="BX200" s="229">
        <v>3.6730999999999998</v>
      </c>
      <c r="BY200" s="228">
        <v>946</v>
      </c>
      <c r="BZ200" s="228">
        <v>873</v>
      </c>
      <c r="CA200" s="228">
        <v>73</v>
      </c>
      <c r="CB200" s="229">
        <v>8.4000000000000005E-2</v>
      </c>
      <c r="CC200" s="228">
        <v>917</v>
      </c>
      <c r="CD200" s="228">
        <v>867</v>
      </c>
      <c r="CE200" s="228">
        <v>50</v>
      </c>
      <c r="CF200" s="229">
        <v>5.8099999999999999E-2</v>
      </c>
      <c r="CG200" s="228">
        <v>28</v>
      </c>
      <c r="CH200" s="228">
        <v>6</v>
      </c>
      <c r="CI200" s="228">
        <v>22</v>
      </c>
      <c r="CJ200" s="229">
        <v>4.0369999999999999</v>
      </c>
      <c r="CK200" s="228">
        <v>1</v>
      </c>
      <c r="CL200" s="228">
        <v>0</v>
      </c>
      <c r="CM200" s="228">
        <v>1</v>
      </c>
      <c r="CN200" s="229">
        <v>2.3332999999999999</v>
      </c>
      <c r="CO200" s="228">
        <v>217</v>
      </c>
      <c r="CP200" s="228">
        <v>161</v>
      </c>
      <c r="CQ200" s="228">
        <v>56</v>
      </c>
      <c r="CR200" s="229">
        <v>0.3468</v>
      </c>
      <c r="CS200" s="228">
        <v>132</v>
      </c>
      <c r="CT200" s="228">
        <v>78</v>
      </c>
      <c r="CU200" s="228">
        <v>54</v>
      </c>
      <c r="CV200" s="229">
        <v>0.69279999999999997</v>
      </c>
      <c r="CW200" s="230">
        <v>1296</v>
      </c>
      <c r="CX200" s="230">
        <v>1112</v>
      </c>
      <c r="CY200" s="228">
        <v>183</v>
      </c>
      <c r="CZ200" s="229">
        <v>0.16489999999999999</v>
      </c>
      <c r="DA200" s="228">
        <v>20.7</v>
      </c>
      <c r="DB200" s="228">
        <v>19.8</v>
      </c>
      <c r="DC200" s="228">
        <v>0.9</v>
      </c>
      <c r="DD200" s="228">
        <v>0.9</v>
      </c>
      <c r="DE200" s="228">
        <v>25.28</v>
      </c>
      <c r="DF200" s="228">
        <v>24.79</v>
      </c>
      <c r="DG200" s="228">
        <v>-4.58</v>
      </c>
      <c r="DH200" s="228">
        <v>0.49</v>
      </c>
      <c r="DI200" s="228">
        <v>20.58</v>
      </c>
      <c r="DJ200" s="228">
        <v>19.84</v>
      </c>
      <c r="DK200" s="228">
        <v>0.74</v>
      </c>
      <c r="DL200" s="228">
        <v>0.74</v>
      </c>
      <c r="DM200" s="228">
        <v>21.37</v>
      </c>
      <c r="DN200" s="228">
        <v>19.59</v>
      </c>
      <c r="DO200" s="228">
        <v>1.78</v>
      </c>
      <c r="DP200" s="228">
        <v>1.78</v>
      </c>
      <c r="DQ200" s="228">
        <v>0.61</v>
      </c>
      <c r="DR200" s="228">
        <v>0.48</v>
      </c>
      <c r="DS200" s="228">
        <v>0.13</v>
      </c>
      <c r="DT200" s="229">
        <v>0.27079999999999999</v>
      </c>
      <c r="DU200" s="231">
        <v>4100</v>
      </c>
      <c r="DV200" s="231">
        <v>4000</v>
      </c>
      <c r="DW200" s="228">
        <v>0.19</v>
      </c>
      <c r="DX200" s="228">
        <v>0.2</v>
      </c>
      <c r="DY200" s="228">
        <v>-0.01</v>
      </c>
      <c r="DZ200" s="229">
        <v>-0.05</v>
      </c>
      <c r="EA200" s="229">
        <v>3.04E-2</v>
      </c>
      <c r="EB200" s="230">
        <v>14250</v>
      </c>
      <c r="EC200" s="229">
        <v>2.0000000000000001E-4</v>
      </c>
      <c r="ED200" s="229">
        <v>3.04E-2</v>
      </c>
      <c r="EE200" s="228">
        <v>14.29</v>
      </c>
      <c r="EF200" s="229">
        <v>3.5000000000000001E-3</v>
      </c>
      <c r="EG200" s="230">
        <v>449421</v>
      </c>
      <c r="EH200" s="230">
        <v>86918</v>
      </c>
      <c r="EI200" s="229">
        <v>4.1706000000000003</v>
      </c>
      <c r="EJ200" s="229">
        <v>0.49080000000000001</v>
      </c>
      <c r="EK200" s="231">
        <v>1967.91</v>
      </c>
      <c r="EL200" s="228">
        <v>355.52</v>
      </c>
      <c r="EM200" s="228">
        <v>486.62</v>
      </c>
      <c r="EN200" s="228">
        <v>9.57</v>
      </c>
      <c r="EO200" s="231">
        <v>2810.05</v>
      </c>
      <c r="EP200" s="228">
        <v>662.2</v>
      </c>
      <c r="EQ200" s="231">
        <v>2147.85</v>
      </c>
      <c r="ER200" s="229">
        <v>3.2435</v>
      </c>
      <c r="ES200" s="228">
        <v>217.06</v>
      </c>
      <c r="ET200" s="228">
        <v>124.01</v>
      </c>
      <c r="EU200" s="228">
        <v>946.13</v>
      </c>
      <c r="EV200" s="231">
        <v>10726004</v>
      </c>
      <c r="EW200" s="231">
        <v>1287.19</v>
      </c>
      <c r="EX200" s="231">
        <v>1071.08</v>
      </c>
      <c r="EY200" s="228">
        <v>216.11</v>
      </c>
      <c r="EZ200" s="229">
        <v>0.20180000000000001</v>
      </c>
      <c r="FA200" s="229">
        <v>0.29609999999999997</v>
      </c>
      <c r="FB200" s="227" t="s">
        <v>555</v>
      </c>
      <c r="FC200">
        <f t="shared" si="4"/>
        <v>0</v>
      </c>
    </row>
    <row r="201" spans="1:159" ht="17.25" thickBot="1" x14ac:dyDescent="0.3">
      <c r="A201" s="226">
        <v>46029</v>
      </c>
      <c r="B201" s="227" t="s">
        <v>161</v>
      </c>
      <c r="C201" s="227" t="s">
        <v>299</v>
      </c>
      <c r="D201" s="228">
        <v>425</v>
      </c>
      <c r="E201" s="228">
        <v>20</v>
      </c>
      <c r="F201" s="231">
        <v>1397.5</v>
      </c>
      <c r="G201" s="231">
        <v>1410.8</v>
      </c>
      <c r="H201" s="228">
        <v>-13.3</v>
      </c>
      <c r="I201" s="229">
        <v>-9.4000000000000004E-3</v>
      </c>
      <c r="J201" s="231">
        <v>1396.8</v>
      </c>
      <c r="K201" s="231">
        <v>1409</v>
      </c>
      <c r="L201" s="228">
        <v>-12.2</v>
      </c>
      <c r="M201" s="229">
        <v>-8.6999999999999994E-3</v>
      </c>
      <c r="N201" s="231">
        <v>1397.5</v>
      </c>
      <c r="O201" s="231">
        <v>1410.8</v>
      </c>
      <c r="P201" s="228">
        <v>-13.3</v>
      </c>
      <c r="Q201" s="229">
        <v>-9.4000000000000004E-3</v>
      </c>
      <c r="R201" s="231">
        <v>1394.8</v>
      </c>
      <c r="S201" s="231">
        <v>1405.5</v>
      </c>
      <c r="T201" s="228">
        <v>-10.7</v>
      </c>
      <c r="U201" s="229">
        <v>-7.6E-3</v>
      </c>
      <c r="V201" s="231">
        <v>1411</v>
      </c>
      <c r="W201" s="231">
        <v>1408</v>
      </c>
      <c r="X201" s="228">
        <v>3</v>
      </c>
      <c r="Y201" s="229">
        <v>2.0999999999999999E-3</v>
      </c>
      <c r="Z201" s="228">
        <v>0.7</v>
      </c>
      <c r="AA201" s="228">
        <v>1.8</v>
      </c>
      <c r="AB201" s="228">
        <v>-1.1000000000000001</v>
      </c>
      <c r="AC201" s="229">
        <v>5.0000000000000001E-4</v>
      </c>
      <c r="AD201" s="228">
        <v>0.7</v>
      </c>
      <c r="AE201" s="228">
        <v>1.8</v>
      </c>
      <c r="AF201" s="228">
        <v>-1.1000000000000001</v>
      </c>
      <c r="AG201" s="229">
        <v>5.0000000000000001E-4</v>
      </c>
      <c r="AH201" s="228">
        <v>-2</v>
      </c>
      <c r="AI201" s="228">
        <v>-3.5</v>
      </c>
      <c r="AJ201" s="228">
        <v>1.5</v>
      </c>
      <c r="AK201" s="229">
        <v>-1.4E-3</v>
      </c>
      <c r="AL201" s="228">
        <v>14.2</v>
      </c>
      <c r="AM201" s="228">
        <v>-1</v>
      </c>
      <c r="AN201" s="228">
        <v>15.2</v>
      </c>
      <c r="AO201" s="229">
        <v>1.0200000000000001E-2</v>
      </c>
      <c r="AP201" s="231">
        <v>1398.65</v>
      </c>
      <c r="AQ201" s="231">
        <v>1395.36</v>
      </c>
      <c r="AR201" s="228">
        <v>0</v>
      </c>
      <c r="AS201" s="228">
        <v>60</v>
      </c>
      <c r="AT201" s="228">
        <v>51</v>
      </c>
      <c r="AU201" s="228">
        <v>9</v>
      </c>
      <c r="AV201" s="229">
        <v>0.17050000000000001</v>
      </c>
      <c r="AW201" s="228">
        <v>57</v>
      </c>
      <c r="AX201" s="228">
        <v>51</v>
      </c>
      <c r="AY201" s="228">
        <v>7</v>
      </c>
      <c r="AZ201" s="229">
        <v>0.13619999999999999</v>
      </c>
      <c r="BA201" s="228">
        <v>2</v>
      </c>
      <c r="BB201" s="228">
        <v>1</v>
      </c>
      <c r="BC201" s="228">
        <v>1</v>
      </c>
      <c r="BD201" s="229">
        <v>2.4</v>
      </c>
      <c r="BE201" s="228">
        <v>0</v>
      </c>
      <c r="BF201" s="228">
        <v>0</v>
      </c>
      <c r="BG201" s="228">
        <v>0</v>
      </c>
      <c r="BH201" s="229">
        <v>0</v>
      </c>
      <c r="BI201" s="228">
        <v>122</v>
      </c>
      <c r="BJ201" s="228">
        <v>149</v>
      </c>
      <c r="BK201" s="228">
        <v>-26</v>
      </c>
      <c r="BL201" s="229">
        <v>-0.1767</v>
      </c>
      <c r="BM201" s="228">
        <v>44</v>
      </c>
      <c r="BN201" s="228">
        <v>49</v>
      </c>
      <c r="BO201" s="228">
        <v>-5</v>
      </c>
      <c r="BP201" s="229">
        <v>-0.1096</v>
      </c>
      <c r="BQ201" s="228">
        <v>226</v>
      </c>
      <c r="BR201" s="228">
        <v>249</v>
      </c>
      <c r="BS201" s="228">
        <v>-23</v>
      </c>
      <c r="BT201" s="229">
        <v>-9.1999999999999998E-2</v>
      </c>
      <c r="BU201" s="230">
        <v>210327</v>
      </c>
      <c r="BV201" s="230">
        <v>289638</v>
      </c>
      <c r="BW201" s="230">
        <v>-79311</v>
      </c>
      <c r="BX201" s="229">
        <v>-0.27379999999999999</v>
      </c>
      <c r="BY201" s="228">
        <v>401</v>
      </c>
      <c r="BZ201" s="228">
        <v>406</v>
      </c>
      <c r="CA201" s="228">
        <v>-5</v>
      </c>
      <c r="CB201" s="229">
        <v>-1.23E-2</v>
      </c>
      <c r="CC201" s="228">
        <v>390</v>
      </c>
      <c r="CD201" s="228">
        <v>395</v>
      </c>
      <c r="CE201" s="228">
        <v>-5</v>
      </c>
      <c r="CF201" s="229">
        <v>-1.2500000000000001E-2</v>
      </c>
      <c r="CG201" s="228">
        <v>9</v>
      </c>
      <c r="CH201" s="228">
        <v>9</v>
      </c>
      <c r="CI201" s="228">
        <v>0</v>
      </c>
      <c r="CJ201" s="229">
        <v>0</v>
      </c>
      <c r="CK201" s="228">
        <v>1</v>
      </c>
      <c r="CL201" s="228">
        <v>1</v>
      </c>
      <c r="CM201" s="228">
        <v>0</v>
      </c>
      <c r="CN201" s="229">
        <v>-0.05</v>
      </c>
      <c r="CO201" s="228">
        <v>158</v>
      </c>
      <c r="CP201" s="228">
        <v>149</v>
      </c>
      <c r="CQ201" s="228">
        <v>10</v>
      </c>
      <c r="CR201" s="229">
        <v>6.4199999999999993E-2</v>
      </c>
      <c r="CS201" s="228">
        <v>95</v>
      </c>
      <c r="CT201" s="228">
        <v>97</v>
      </c>
      <c r="CU201" s="228">
        <v>-2</v>
      </c>
      <c r="CV201" s="229">
        <v>-2.2700000000000001E-2</v>
      </c>
      <c r="CW201" s="228">
        <v>654</v>
      </c>
      <c r="CX201" s="228">
        <v>652</v>
      </c>
      <c r="CY201" s="228">
        <v>2</v>
      </c>
      <c r="CZ201" s="229">
        <v>3.5999999999999999E-3</v>
      </c>
      <c r="DA201" s="228">
        <v>26.22</v>
      </c>
      <c r="DB201" s="228">
        <v>25.63</v>
      </c>
      <c r="DC201" s="228">
        <v>0.59</v>
      </c>
      <c r="DD201" s="228">
        <v>0.59</v>
      </c>
      <c r="DE201" s="228">
        <v>39.65</v>
      </c>
      <c r="DF201" s="228">
        <v>39.729999999999997</v>
      </c>
      <c r="DG201" s="228">
        <v>-13.43</v>
      </c>
      <c r="DH201" s="228">
        <v>-0.08</v>
      </c>
      <c r="DI201" s="228">
        <v>25.96</v>
      </c>
      <c r="DJ201" s="228">
        <v>25.36</v>
      </c>
      <c r="DK201" s="228">
        <v>0.6</v>
      </c>
      <c r="DL201" s="228">
        <v>0.6</v>
      </c>
      <c r="DM201" s="228">
        <v>26.95</v>
      </c>
      <c r="DN201" s="228">
        <v>26.43</v>
      </c>
      <c r="DO201" s="228">
        <v>0.52</v>
      </c>
      <c r="DP201" s="228">
        <v>0.52</v>
      </c>
      <c r="DQ201" s="228">
        <v>0.6</v>
      </c>
      <c r="DR201" s="228">
        <v>0.65</v>
      </c>
      <c r="DS201" s="228">
        <v>-0.05</v>
      </c>
      <c r="DT201" s="229">
        <v>-7.6899999999999996E-2</v>
      </c>
      <c r="DU201" s="231">
        <v>1400</v>
      </c>
      <c r="DV201" s="231">
        <v>1300</v>
      </c>
      <c r="DW201" s="228">
        <v>0.36</v>
      </c>
      <c r="DX201" s="228">
        <v>0.33</v>
      </c>
      <c r="DY201" s="228">
        <v>0.03</v>
      </c>
      <c r="DZ201" s="229">
        <v>9.0899999999999995E-2</v>
      </c>
      <c r="EA201" s="229">
        <v>2.58E-2</v>
      </c>
      <c r="EB201" s="230">
        <v>74375</v>
      </c>
      <c r="EC201" s="229">
        <v>-1.9E-3</v>
      </c>
      <c r="ED201" s="229">
        <v>2.58E-2</v>
      </c>
      <c r="EE201" s="228">
        <v>-3.29</v>
      </c>
      <c r="EF201" s="229">
        <v>-2.3999999999999998E-3</v>
      </c>
      <c r="EG201" s="230">
        <v>84928</v>
      </c>
      <c r="EH201" s="230">
        <v>157082</v>
      </c>
      <c r="EI201" s="229">
        <v>-0.45929999999999999</v>
      </c>
      <c r="EJ201" s="229">
        <v>0.40379999999999999</v>
      </c>
      <c r="EK201" s="228">
        <v>127.24</v>
      </c>
      <c r="EL201" s="228">
        <v>42.45</v>
      </c>
      <c r="EM201" s="228">
        <v>59.97</v>
      </c>
      <c r="EN201" s="228">
        <v>17.190000000000001</v>
      </c>
      <c r="EO201" s="228">
        <v>229.67</v>
      </c>
      <c r="EP201" s="228">
        <v>253.73</v>
      </c>
      <c r="EQ201" s="228">
        <v>-24.07</v>
      </c>
      <c r="ER201" s="229">
        <v>-9.4899999999999998E-2</v>
      </c>
      <c r="ES201" s="228">
        <v>160.51</v>
      </c>
      <c r="ET201" s="228">
        <v>89.3</v>
      </c>
      <c r="EU201" s="228">
        <v>400.78</v>
      </c>
      <c r="EV201" s="231">
        <v>24646022</v>
      </c>
      <c r="EW201" s="228">
        <v>650.59</v>
      </c>
      <c r="EX201" s="228">
        <v>651.11</v>
      </c>
      <c r="EY201" s="228">
        <v>-0.52</v>
      </c>
      <c r="EZ201" s="229">
        <v>-8.0000000000000004E-4</v>
      </c>
      <c r="FA201" s="229">
        <v>0.18990000000000001</v>
      </c>
      <c r="FB201" s="227" t="s">
        <v>568</v>
      </c>
      <c r="FC201">
        <f t="shared" si="4"/>
        <v>0</v>
      </c>
    </row>
    <row r="202" spans="1:159" ht="17.25" thickBot="1" x14ac:dyDescent="0.3">
      <c r="A202" s="226">
        <v>46029</v>
      </c>
      <c r="B202" s="227" t="s">
        <v>197</v>
      </c>
      <c r="C202" s="227" t="s">
        <v>482</v>
      </c>
      <c r="D202" s="228">
        <v>100</v>
      </c>
      <c r="E202" s="228">
        <v>20</v>
      </c>
      <c r="F202" s="231">
        <v>4079.5</v>
      </c>
      <c r="G202" s="231">
        <v>4067</v>
      </c>
      <c r="H202" s="228">
        <v>12.5</v>
      </c>
      <c r="I202" s="229">
        <v>3.0999999999999999E-3</v>
      </c>
      <c r="J202" s="231">
        <v>4060.5</v>
      </c>
      <c r="K202" s="231">
        <v>4047.6</v>
      </c>
      <c r="L202" s="228">
        <v>12.9</v>
      </c>
      <c r="M202" s="229">
        <v>3.2000000000000002E-3</v>
      </c>
      <c r="N202" s="231">
        <v>4079.5</v>
      </c>
      <c r="O202" s="231">
        <v>4067</v>
      </c>
      <c r="P202" s="228">
        <v>12.5</v>
      </c>
      <c r="Q202" s="229">
        <v>3.0999999999999999E-3</v>
      </c>
      <c r="R202" s="231">
        <v>4103</v>
      </c>
      <c r="S202" s="231">
        <v>4090.4</v>
      </c>
      <c r="T202" s="228">
        <v>12.6</v>
      </c>
      <c r="U202" s="229">
        <v>3.0999999999999999E-3</v>
      </c>
      <c r="V202" s="231">
        <v>4127.7</v>
      </c>
      <c r="W202" s="231">
        <v>4119.1000000000004</v>
      </c>
      <c r="X202" s="228">
        <v>8.6</v>
      </c>
      <c r="Y202" s="229">
        <v>2.0999999999999999E-3</v>
      </c>
      <c r="Z202" s="228">
        <v>19</v>
      </c>
      <c r="AA202" s="228">
        <v>19.399999999999999</v>
      </c>
      <c r="AB202" s="228">
        <v>-0.4</v>
      </c>
      <c r="AC202" s="229">
        <v>4.7000000000000002E-3</v>
      </c>
      <c r="AD202" s="228">
        <v>19</v>
      </c>
      <c r="AE202" s="228">
        <v>19.399999999999999</v>
      </c>
      <c r="AF202" s="228">
        <v>-0.4</v>
      </c>
      <c r="AG202" s="229">
        <v>4.7000000000000002E-3</v>
      </c>
      <c r="AH202" s="228">
        <v>42.5</v>
      </c>
      <c r="AI202" s="228">
        <v>42.8</v>
      </c>
      <c r="AJ202" s="228">
        <v>-0.3</v>
      </c>
      <c r="AK202" s="229">
        <v>1.0500000000000001E-2</v>
      </c>
      <c r="AL202" s="228">
        <v>67.2</v>
      </c>
      <c r="AM202" s="228">
        <v>71.5</v>
      </c>
      <c r="AN202" s="228">
        <v>-4.3</v>
      </c>
      <c r="AO202" s="229">
        <v>1.6500000000000001E-2</v>
      </c>
      <c r="AP202" s="231">
        <v>4052.12</v>
      </c>
      <c r="AQ202" s="231">
        <v>4074.91</v>
      </c>
      <c r="AR202" s="228">
        <v>0</v>
      </c>
      <c r="AS202" s="228">
        <v>656</v>
      </c>
      <c r="AT202" s="230">
        <v>2334</v>
      </c>
      <c r="AU202" s="230">
        <v>-1678</v>
      </c>
      <c r="AV202" s="229">
        <v>-0.71909999999999996</v>
      </c>
      <c r="AW202" s="228">
        <v>579</v>
      </c>
      <c r="AX202" s="230">
        <v>2119</v>
      </c>
      <c r="AY202" s="230">
        <v>-1540</v>
      </c>
      <c r="AZ202" s="229">
        <v>-0.7268</v>
      </c>
      <c r="BA202" s="228">
        <v>62</v>
      </c>
      <c r="BB202" s="228">
        <v>177</v>
      </c>
      <c r="BC202" s="228">
        <v>-115</v>
      </c>
      <c r="BD202" s="229">
        <v>-0.64890000000000003</v>
      </c>
      <c r="BE202" s="228">
        <v>14</v>
      </c>
      <c r="BF202" s="228">
        <v>38</v>
      </c>
      <c r="BG202" s="228">
        <v>-24</v>
      </c>
      <c r="BH202" s="229">
        <v>-0.62039999999999995</v>
      </c>
      <c r="BI202" s="230">
        <v>3917</v>
      </c>
      <c r="BJ202" s="230">
        <v>8762</v>
      </c>
      <c r="BK202" s="230">
        <v>-4845</v>
      </c>
      <c r="BL202" s="229">
        <v>-0.55300000000000005</v>
      </c>
      <c r="BM202" s="230">
        <v>2588</v>
      </c>
      <c r="BN202" s="230">
        <v>6879</v>
      </c>
      <c r="BO202" s="230">
        <v>-4291</v>
      </c>
      <c r="BP202" s="229">
        <v>-0.62380000000000002</v>
      </c>
      <c r="BQ202" s="230">
        <v>7160</v>
      </c>
      <c r="BR202" s="230">
        <v>17975</v>
      </c>
      <c r="BS202" s="230">
        <v>-10815</v>
      </c>
      <c r="BT202" s="229">
        <v>-0.60170000000000001</v>
      </c>
      <c r="BU202" s="230">
        <v>1587775</v>
      </c>
      <c r="BV202" s="230">
        <v>6385458</v>
      </c>
      <c r="BW202" s="230">
        <v>-4797683</v>
      </c>
      <c r="BX202" s="229">
        <v>-0.75129999999999997</v>
      </c>
      <c r="BY202" s="230">
        <v>3894</v>
      </c>
      <c r="BZ202" s="230">
        <v>3930</v>
      </c>
      <c r="CA202" s="228">
        <v>-35</v>
      </c>
      <c r="CB202" s="229">
        <v>-8.9999999999999993E-3</v>
      </c>
      <c r="CC202" s="230">
        <v>3666</v>
      </c>
      <c r="CD202" s="230">
        <v>3722</v>
      </c>
      <c r="CE202" s="228">
        <v>-56</v>
      </c>
      <c r="CF202" s="229">
        <v>-1.5100000000000001E-2</v>
      </c>
      <c r="CG202" s="228">
        <v>194</v>
      </c>
      <c r="CH202" s="228">
        <v>175</v>
      </c>
      <c r="CI202" s="228">
        <v>19</v>
      </c>
      <c r="CJ202" s="229">
        <v>0.1056</v>
      </c>
      <c r="CK202" s="228">
        <v>35</v>
      </c>
      <c r="CL202" s="228">
        <v>32</v>
      </c>
      <c r="CM202" s="228">
        <v>2</v>
      </c>
      <c r="CN202" s="229">
        <v>7.7499999999999999E-2</v>
      </c>
      <c r="CO202" s="230">
        <v>2434</v>
      </c>
      <c r="CP202" s="230">
        <v>2189</v>
      </c>
      <c r="CQ202" s="228">
        <v>244</v>
      </c>
      <c r="CR202" s="229">
        <v>0.1116</v>
      </c>
      <c r="CS202" s="230">
        <v>1373</v>
      </c>
      <c r="CT202" s="230">
        <v>1324</v>
      </c>
      <c r="CU202" s="228">
        <v>49</v>
      </c>
      <c r="CV202" s="229">
        <v>3.7100000000000001E-2</v>
      </c>
      <c r="CW202" s="230">
        <v>7701</v>
      </c>
      <c r="CX202" s="230">
        <v>7442</v>
      </c>
      <c r="CY202" s="228">
        <v>258</v>
      </c>
      <c r="CZ202" s="229">
        <v>3.4700000000000002E-2</v>
      </c>
      <c r="DA202" s="228">
        <v>29.04</v>
      </c>
      <c r="DB202" s="228">
        <v>30.99</v>
      </c>
      <c r="DC202" s="228">
        <v>-1.95</v>
      </c>
      <c r="DD202" s="228">
        <v>-1.95</v>
      </c>
      <c r="DE202" s="228">
        <v>43.35</v>
      </c>
      <c r="DF202" s="228">
        <v>43.45</v>
      </c>
      <c r="DG202" s="228">
        <v>-14.31</v>
      </c>
      <c r="DH202" s="228">
        <v>-0.1</v>
      </c>
      <c r="DI202" s="228">
        <v>28.91</v>
      </c>
      <c r="DJ202" s="228">
        <v>31.03</v>
      </c>
      <c r="DK202" s="228">
        <v>-2.12</v>
      </c>
      <c r="DL202" s="228">
        <v>-2.12</v>
      </c>
      <c r="DM202" s="228">
        <v>29.24</v>
      </c>
      <c r="DN202" s="228">
        <v>30.94</v>
      </c>
      <c r="DO202" s="228">
        <v>-1.7</v>
      </c>
      <c r="DP202" s="228">
        <v>-1.7</v>
      </c>
      <c r="DQ202" s="228">
        <v>0.56000000000000005</v>
      </c>
      <c r="DR202" s="228">
        <v>0.6</v>
      </c>
      <c r="DS202" s="228">
        <v>-0.04</v>
      </c>
      <c r="DT202" s="229">
        <v>-6.6699999999999995E-2</v>
      </c>
      <c r="DU202" s="231">
        <v>4200</v>
      </c>
      <c r="DV202" s="231">
        <v>4000</v>
      </c>
      <c r="DW202" s="228">
        <v>0.66</v>
      </c>
      <c r="DX202" s="228">
        <v>0.79</v>
      </c>
      <c r="DY202" s="228">
        <v>-0.13</v>
      </c>
      <c r="DZ202" s="229">
        <v>-0.1646</v>
      </c>
      <c r="EA202" s="229">
        <v>5.8700000000000002E-2</v>
      </c>
      <c r="EB202" s="230">
        <v>508600</v>
      </c>
      <c r="EC202" s="229">
        <v>5.7999999999999996E-3</v>
      </c>
      <c r="ED202" s="229">
        <v>5.8700000000000002E-2</v>
      </c>
      <c r="EE202" s="228">
        <v>22.79</v>
      </c>
      <c r="EF202" s="229">
        <v>5.5999999999999999E-3</v>
      </c>
      <c r="EG202" s="230">
        <v>616692</v>
      </c>
      <c r="EH202" s="230">
        <v>2736173</v>
      </c>
      <c r="EI202" s="229">
        <v>-0.77459999999999996</v>
      </c>
      <c r="EJ202" s="229">
        <v>0.38840000000000002</v>
      </c>
      <c r="EK202" s="231">
        <v>4166.1499999999996</v>
      </c>
      <c r="EL202" s="231">
        <v>2524.9699999999998</v>
      </c>
      <c r="EM202" s="228">
        <v>651.72</v>
      </c>
      <c r="EN202" s="228">
        <v>214.24</v>
      </c>
      <c r="EO202" s="231">
        <v>7342.84</v>
      </c>
      <c r="EP202" s="231">
        <v>18692.27</v>
      </c>
      <c r="EQ202" s="231">
        <v>-11349.42</v>
      </c>
      <c r="ER202" s="229">
        <v>-0.60719999999999996</v>
      </c>
      <c r="ES202" s="231">
        <v>2622.4</v>
      </c>
      <c r="ET202" s="231">
        <v>1368.82</v>
      </c>
      <c r="EU202" s="231">
        <v>3895.9</v>
      </c>
      <c r="EV202" s="231">
        <v>33590487</v>
      </c>
      <c r="EW202" s="231">
        <v>7887.12</v>
      </c>
      <c r="EX202" s="231">
        <v>7612.06</v>
      </c>
      <c r="EY202" s="228">
        <v>275.06</v>
      </c>
      <c r="EZ202" s="229">
        <v>3.61E-2</v>
      </c>
      <c r="FA202" s="229">
        <v>0.56200000000000006</v>
      </c>
      <c r="FB202" s="227" t="s">
        <v>556</v>
      </c>
      <c r="FC202">
        <f t="shared" si="4"/>
        <v>0</v>
      </c>
    </row>
    <row r="203" spans="1:159" ht="17.25" thickBot="1" x14ac:dyDescent="0.3">
      <c r="A203" s="226">
        <v>46029</v>
      </c>
      <c r="B203" s="227" t="s">
        <v>162</v>
      </c>
      <c r="C203" s="227" t="s">
        <v>300</v>
      </c>
      <c r="D203" s="228">
        <v>175</v>
      </c>
      <c r="E203" s="228">
        <v>20</v>
      </c>
      <c r="F203" s="231">
        <v>3856.8</v>
      </c>
      <c r="G203" s="231">
        <v>3887.1</v>
      </c>
      <c r="H203" s="228">
        <v>-30.3</v>
      </c>
      <c r="I203" s="229">
        <v>-7.7999999999999996E-3</v>
      </c>
      <c r="J203" s="231">
        <v>3840.2</v>
      </c>
      <c r="K203" s="231">
        <v>3866.1</v>
      </c>
      <c r="L203" s="228">
        <v>-25.9</v>
      </c>
      <c r="M203" s="229">
        <v>-6.7000000000000002E-3</v>
      </c>
      <c r="N203" s="231">
        <v>3856.8</v>
      </c>
      <c r="O203" s="231">
        <v>3887.1</v>
      </c>
      <c r="P203" s="228">
        <v>-30.3</v>
      </c>
      <c r="Q203" s="229">
        <v>-7.7999999999999996E-3</v>
      </c>
      <c r="R203" s="231">
        <v>3873.6</v>
      </c>
      <c r="S203" s="231">
        <v>3902.6</v>
      </c>
      <c r="T203" s="228">
        <v>-29</v>
      </c>
      <c r="U203" s="229">
        <v>-7.4000000000000003E-3</v>
      </c>
      <c r="V203" s="231">
        <v>3890</v>
      </c>
      <c r="W203" s="231">
        <v>3921.3</v>
      </c>
      <c r="X203" s="228">
        <v>-31.3</v>
      </c>
      <c r="Y203" s="229">
        <v>-8.0000000000000002E-3</v>
      </c>
      <c r="Z203" s="228">
        <v>16.600000000000001</v>
      </c>
      <c r="AA203" s="228">
        <v>21</v>
      </c>
      <c r="AB203" s="228">
        <v>-4.4000000000000004</v>
      </c>
      <c r="AC203" s="229">
        <v>4.3E-3</v>
      </c>
      <c r="AD203" s="228">
        <v>16.600000000000001</v>
      </c>
      <c r="AE203" s="228">
        <v>21</v>
      </c>
      <c r="AF203" s="228">
        <v>-4.4000000000000004</v>
      </c>
      <c r="AG203" s="229">
        <v>4.3E-3</v>
      </c>
      <c r="AH203" s="228">
        <v>33.4</v>
      </c>
      <c r="AI203" s="228">
        <v>36.5</v>
      </c>
      <c r="AJ203" s="228">
        <v>-3.1</v>
      </c>
      <c r="AK203" s="229">
        <v>8.6999999999999994E-3</v>
      </c>
      <c r="AL203" s="228">
        <v>49.8</v>
      </c>
      <c r="AM203" s="228">
        <v>55.2</v>
      </c>
      <c r="AN203" s="228">
        <v>-5.4</v>
      </c>
      <c r="AO203" s="229">
        <v>1.2999999999999999E-2</v>
      </c>
      <c r="AP203" s="231">
        <v>3864.11</v>
      </c>
      <c r="AQ203" s="231">
        <v>3879.09</v>
      </c>
      <c r="AR203" s="228">
        <v>0</v>
      </c>
      <c r="AS203" s="228">
        <v>218</v>
      </c>
      <c r="AT203" s="228">
        <v>242</v>
      </c>
      <c r="AU203" s="228">
        <v>-24</v>
      </c>
      <c r="AV203" s="229">
        <v>-0.1</v>
      </c>
      <c r="AW203" s="228">
        <v>208</v>
      </c>
      <c r="AX203" s="228">
        <v>236</v>
      </c>
      <c r="AY203" s="228">
        <v>-28</v>
      </c>
      <c r="AZ203" s="229">
        <v>-0.1188</v>
      </c>
      <c r="BA203" s="228">
        <v>9</v>
      </c>
      <c r="BB203" s="228">
        <v>6</v>
      </c>
      <c r="BC203" s="228">
        <v>4</v>
      </c>
      <c r="BD203" s="229">
        <v>0.68289999999999995</v>
      </c>
      <c r="BE203" s="228">
        <v>1</v>
      </c>
      <c r="BF203" s="228">
        <v>1</v>
      </c>
      <c r="BG203" s="228">
        <v>0</v>
      </c>
      <c r="BH203" s="229">
        <v>0.125</v>
      </c>
      <c r="BI203" s="228">
        <v>497</v>
      </c>
      <c r="BJ203" s="228">
        <v>605</v>
      </c>
      <c r="BK203" s="228">
        <v>-108</v>
      </c>
      <c r="BL203" s="229">
        <v>-0.17829999999999999</v>
      </c>
      <c r="BM203" s="228">
        <v>454</v>
      </c>
      <c r="BN203" s="228">
        <v>376</v>
      </c>
      <c r="BO203" s="228">
        <v>78</v>
      </c>
      <c r="BP203" s="229">
        <v>0.2069</v>
      </c>
      <c r="BQ203" s="230">
        <v>1169</v>
      </c>
      <c r="BR203" s="230">
        <v>1223</v>
      </c>
      <c r="BS203" s="228">
        <v>-54</v>
      </c>
      <c r="BT203" s="229">
        <v>-4.4299999999999999E-2</v>
      </c>
      <c r="BU203" s="230">
        <v>351829</v>
      </c>
      <c r="BV203" s="230">
        <v>388617</v>
      </c>
      <c r="BW203" s="230">
        <v>-36788</v>
      </c>
      <c r="BX203" s="229">
        <v>-9.4700000000000006E-2</v>
      </c>
      <c r="BY203" s="230">
        <v>2960</v>
      </c>
      <c r="BZ203" s="230">
        <v>2972</v>
      </c>
      <c r="CA203" s="228">
        <v>-12</v>
      </c>
      <c r="CB203" s="229">
        <v>-4.1000000000000003E-3</v>
      </c>
      <c r="CC203" s="230">
        <v>2930</v>
      </c>
      <c r="CD203" s="230">
        <v>2939</v>
      </c>
      <c r="CE203" s="228">
        <v>-9</v>
      </c>
      <c r="CF203" s="229">
        <v>-3.2000000000000002E-3</v>
      </c>
      <c r="CG203" s="228">
        <v>26</v>
      </c>
      <c r="CH203" s="228">
        <v>29</v>
      </c>
      <c r="CI203" s="228">
        <v>-3</v>
      </c>
      <c r="CJ203" s="229">
        <v>-9.5299999999999996E-2</v>
      </c>
      <c r="CK203" s="228">
        <v>4</v>
      </c>
      <c r="CL203" s="228">
        <v>4</v>
      </c>
      <c r="CM203" s="228">
        <v>0</v>
      </c>
      <c r="CN203" s="229">
        <v>0</v>
      </c>
      <c r="CO203" s="228">
        <v>786</v>
      </c>
      <c r="CP203" s="228">
        <v>755</v>
      </c>
      <c r="CQ203" s="228">
        <v>31</v>
      </c>
      <c r="CR203" s="229">
        <v>4.1399999999999999E-2</v>
      </c>
      <c r="CS203" s="228">
        <v>561</v>
      </c>
      <c r="CT203" s="228">
        <v>555</v>
      </c>
      <c r="CU203" s="228">
        <v>6</v>
      </c>
      <c r="CV203" s="229">
        <v>1.1299999999999999E-2</v>
      </c>
      <c r="CW203" s="230">
        <v>4307</v>
      </c>
      <c r="CX203" s="230">
        <v>4282</v>
      </c>
      <c r="CY203" s="228">
        <v>25</v>
      </c>
      <c r="CZ203" s="229">
        <v>5.8999999999999999E-3</v>
      </c>
      <c r="DA203" s="228">
        <v>24.42</v>
      </c>
      <c r="DB203" s="228">
        <v>23.81</v>
      </c>
      <c r="DC203" s="228">
        <v>0.61</v>
      </c>
      <c r="DD203" s="228">
        <v>0.61</v>
      </c>
      <c r="DE203" s="228">
        <v>29.45</v>
      </c>
      <c r="DF203" s="228">
        <v>29.51</v>
      </c>
      <c r="DG203" s="228">
        <v>-5.03</v>
      </c>
      <c r="DH203" s="228">
        <v>-0.06</v>
      </c>
      <c r="DI203" s="228">
        <v>23.91</v>
      </c>
      <c r="DJ203" s="228">
        <v>23.34</v>
      </c>
      <c r="DK203" s="228">
        <v>0.56999999999999995</v>
      </c>
      <c r="DL203" s="228">
        <v>0.56999999999999995</v>
      </c>
      <c r="DM203" s="228">
        <v>24.98</v>
      </c>
      <c r="DN203" s="228">
        <v>24.55</v>
      </c>
      <c r="DO203" s="228">
        <v>0.43</v>
      </c>
      <c r="DP203" s="228">
        <v>0.43</v>
      </c>
      <c r="DQ203" s="228">
        <v>0.71</v>
      </c>
      <c r="DR203" s="228">
        <v>0.73</v>
      </c>
      <c r="DS203" s="228">
        <v>-0.02</v>
      </c>
      <c r="DT203" s="229">
        <v>-2.7400000000000001E-2</v>
      </c>
      <c r="DU203" s="231">
        <v>3900</v>
      </c>
      <c r="DV203" s="231">
        <v>3600</v>
      </c>
      <c r="DW203" s="228">
        <v>0.91</v>
      </c>
      <c r="DX203" s="228">
        <v>0.62</v>
      </c>
      <c r="DY203" s="228">
        <v>0.28999999999999998</v>
      </c>
      <c r="DZ203" s="229">
        <v>0.4677</v>
      </c>
      <c r="EA203" s="229">
        <v>1.01E-2</v>
      </c>
      <c r="EB203" s="230">
        <v>84525</v>
      </c>
      <c r="EC203" s="229">
        <v>4.4000000000000003E-3</v>
      </c>
      <c r="ED203" s="229">
        <v>1.01E-2</v>
      </c>
      <c r="EE203" s="228">
        <v>14.98</v>
      </c>
      <c r="EF203" s="229">
        <v>3.8999999999999998E-3</v>
      </c>
      <c r="EG203" s="230">
        <v>210227</v>
      </c>
      <c r="EH203" s="230">
        <v>223489</v>
      </c>
      <c r="EI203" s="229">
        <v>-5.9299999999999999E-2</v>
      </c>
      <c r="EJ203" s="229">
        <v>0.59750000000000003</v>
      </c>
      <c r="EK203" s="228">
        <v>516.16999999999996</v>
      </c>
      <c r="EL203" s="228">
        <v>448.65</v>
      </c>
      <c r="EM203" s="228">
        <v>218.59</v>
      </c>
      <c r="EN203" s="228">
        <v>55.95</v>
      </c>
      <c r="EO203" s="231">
        <v>1183.4100000000001</v>
      </c>
      <c r="EP203" s="231">
        <v>1243.1099999999999</v>
      </c>
      <c r="EQ203" s="228">
        <v>-59.7</v>
      </c>
      <c r="ER203" s="229">
        <v>-4.8000000000000001E-2</v>
      </c>
      <c r="ES203" s="228">
        <v>794.21</v>
      </c>
      <c r="ET203" s="228">
        <v>532.1</v>
      </c>
      <c r="EU203" s="231">
        <v>2960.09</v>
      </c>
      <c r="EV203" s="231">
        <v>31634588</v>
      </c>
      <c r="EW203" s="231">
        <v>4286.41</v>
      </c>
      <c r="EX203" s="231">
        <v>4284.9399999999996</v>
      </c>
      <c r="EY203" s="228">
        <v>1.47</v>
      </c>
      <c r="EZ203" s="229">
        <v>2.9999999999999997E-4</v>
      </c>
      <c r="FA203" s="229">
        <v>0.35299999999999998</v>
      </c>
      <c r="FB203" s="227" t="s">
        <v>568</v>
      </c>
      <c r="FC203">
        <f t="shared" si="4"/>
        <v>0</v>
      </c>
    </row>
    <row r="204" spans="1:159" ht="17.25" thickBot="1" x14ac:dyDescent="0.3">
      <c r="A204" s="226">
        <v>46029</v>
      </c>
      <c r="B204" s="227" t="s">
        <v>157</v>
      </c>
      <c r="C204" s="227" t="s">
        <v>302</v>
      </c>
      <c r="D204" s="228">
        <v>50</v>
      </c>
      <c r="E204" s="228">
        <v>20</v>
      </c>
      <c r="F204" s="231">
        <v>12210</v>
      </c>
      <c r="G204" s="231">
        <v>12256</v>
      </c>
      <c r="H204" s="228">
        <v>-46</v>
      </c>
      <c r="I204" s="229">
        <v>-3.8E-3</v>
      </c>
      <c r="J204" s="231">
        <v>12184</v>
      </c>
      <c r="K204" s="231">
        <v>12204</v>
      </c>
      <c r="L204" s="228">
        <v>-20</v>
      </c>
      <c r="M204" s="229">
        <v>-1.6000000000000001E-3</v>
      </c>
      <c r="N204" s="231">
        <v>12210</v>
      </c>
      <c r="O204" s="231">
        <v>12256</v>
      </c>
      <c r="P204" s="228">
        <v>-46</v>
      </c>
      <c r="Q204" s="229">
        <v>-3.8E-3</v>
      </c>
      <c r="R204" s="231">
        <v>12281</v>
      </c>
      <c r="S204" s="231">
        <v>12325</v>
      </c>
      <c r="T204" s="228">
        <v>-44</v>
      </c>
      <c r="U204" s="229">
        <v>-3.5999999999999999E-3</v>
      </c>
      <c r="V204" s="231">
        <v>12353</v>
      </c>
      <c r="W204" s="231">
        <v>12423</v>
      </c>
      <c r="X204" s="228">
        <v>-70</v>
      </c>
      <c r="Y204" s="229">
        <v>-5.5999999999999999E-3</v>
      </c>
      <c r="Z204" s="228">
        <v>26</v>
      </c>
      <c r="AA204" s="228">
        <v>52</v>
      </c>
      <c r="AB204" s="228">
        <v>-26</v>
      </c>
      <c r="AC204" s="229">
        <v>2.0999999999999999E-3</v>
      </c>
      <c r="AD204" s="228">
        <v>26</v>
      </c>
      <c r="AE204" s="228">
        <v>52</v>
      </c>
      <c r="AF204" s="228">
        <v>-26</v>
      </c>
      <c r="AG204" s="229">
        <v>2.0999999999999999E-3</v>
      </c>
      <c r="AH204" s="228">
        <v>97</v>
      </c>
      <c r="AI204" s="228">
        <v>121</v>
      </c>
      <c r="AJ204" s="228">
        <v>-24</v>
      </c>
      <c r="AK204" s="229">
        <v>8.0000000000000002E-3</v>
      </c>
      <c r="AL204" s="228">
        <v>169</v>
      </c>
      <c r="AM204" s="228">
        <v>219</v>
      </c>
      <c r="AN204" s="228">
        <v>-50</v>
      </c>
      <c r="AO204" s="229">
        <v>1.3899999999999999E-2</v>
      </c>
      <c r="AP204" s="231">
        <v>12184.85</v>
      </c>
      <c r="AQ204" s="231">
        <v>12256.41</v>
      </c>
      <c r="AR204" s="228">
        <v>0</v>
      </c>
      <c r="AS204" s="228">
        <v>319</v>
      </c>
      <c r="AT204" s="228">
        <v>488</v>
      </c>
      <c r="AU204" s="228">
        <v>-169</v>
      </c>
      <c r="AV204" s="229">
        <v>-0.34660000000000002</v>
      </c>
      <c r="AW204" s="228">
        <v>313</v>
      </c>
      <c r="AX204" s="228">
        <v>474</v>
      </c>
      <c r="AY204" s="228">
        <v>-161</v>
      </c>
      <c r="AZ204" s="229">
        <v>-0.33939999999999998</v>
      </c>
      <c r="BA204" s="228">
        <v>5</v>
      </c>
      <c r="BB204" s="228">
        <v>12</v>
      </c>
      <c r="BC204" s="228">
        <v>-8</v>
      </c>
      <c r="BD204" s="229">
        <v>-0.61760000000000004</v>
      </c>
      <c r="BE204" s="228">
        <v>1</v>
      </c>
      <c r="BF204" s="228">
        <v>2</v>
      </c>
      <c r="BG204" s="228">
        <v>-1</v>
      </c>
      <c r="BH204" s="229">
        <v>-0.3548</v>
      </c>
      <c r="BI204" s="228">
        <v>958</v>
      </c>
      <c r="BJ204" s="230">
        <v>1370</v>
      </c>
      <c r="BK204" s="228">
        <v>-412</v>
      </c>
      <c r="BL204" s="229">
        <v>-0.30080000000000001</v>
      </c>
      <c r="BM204" s="228">
        <v>467</v>
      </c>
      <c r="BN204" s="228">
        <v>584</v>
      </c>
      <c r="BO204" s="228">
        <v>-117</v>
      </c>
      <c r="BP204" s="229">
        <v>-0.20039999999999999</v>
      </c>
      <c r="BQ204" s="230">
        <v>1744</v>
      </c>
      <c r="BR204" s="230">
        <v>2442</v>
      </c>
      <c r="BS204" s="228">
        <v>-698</v>
      </c>
      <c r="BT204" s="229">
        <v>-0.28599999999999998</v>
      </c>
      <c r="BU204" s="230">
        <v>250201</v>
      </c>
      <c r="BV204" s="230">
        <v>229024</v>
      </c>
      <c r="BW204" s="230">
        <v>21177</v>
      </c>
      <c r="BX204" s="229">
        <v>9.2499999999999999E-2</v>
      </c>
      <c r="BY204" s="230">
        <v>3484</v>
      </c>
      <c r="BZ204" s="230">
        <v>3526</v>
      </c>
      <c r="CA204" s="228">
        <v>-42</v>
      </c>
      <c r="CB204" s="229">
        <v>-1.1900000000000001E-2</v>
      </c>
      <c r="CC204" s="230">
        <v>3444</v>
      </c>
      <c r="CD204" s="230">
        <v>3487</v>
      </c>
      <c r="CE204" s="228">
        <v>-43</v>
      </c>
      <c r="CF204" s="229">
        <v>-1.2200000000000001E-2</v>
      </c>
      <c r="CG204" s="228">
        <v>36</v>
      </c>
      <c r="CH204" s="228">
        <v>36</v>
      </c>
      <c r="CI204" s="228">
        <v>0</v>
      </c>
      <c r="CJ204" s="229">
        <v>8.5000000000000006E-3</v>
      </c>
      <c r="CK204" s="228">
        <v>4</v>
      </c>
      <c r="CL204" s="228">
        <v>4</v>
      </c>
      <c r="CM204" s="228">
        <v>0</v>
      </c>
      <c r="CN204" s="229">
        <v>8.0600000000000005E-2</v>
      </c>
      <c r="CO204" s="228">
        <v>627</v>
      </c>
      <c r="CP204" s="228">
        <v>542</v>
      </c>
      <c r="CQ204" s="228">
        <v>85</v>
      </c>
      <c r="CR204" s="229">
        <v>0.1573</v>
      </c>
      <c r="CS204" s="228">
        <v>483</v>
      </c>
      <c r="CT204" s="228">
        <v>476</v>
      </c>
      <c r="CU204" s="228">
        <v>7</v>
      </c>
      <c r="CV204" s="229">
        <v>1.44E-2</v>
      </c>
      <c r="CW204" s="230">
        <v>4594</v>
      </c>
      <c r="CX204" s="230">
        <v>4544</v>
      </c>
      <c r="CY204" s="228">
        <v>50</v>
      </c>
      <c r="CZ204" s="229">
        <v>1.0999999999999999E-2</v>
      </c>
      <c r="DA204" s="228">
        <v>18.18</v>
      </c>
      <c r="DB204" s="228">
        <v>18.440000000000001</v>
      </c>
      <c r="DC204" s="228">
        <v>-0.26</v>
      </c>
      <c r="DD204" s="228">
        <v>-0.26</v>
      </c>
      <c r="DE204" s="228">
        <v>23.55</v>
      </c>
      <c r="DF204" s="228">
        <v>23.61</v>
      </c>
      <c r="DG204" s="228">
        <v>-5.37</v>
      </c>
      <c r="DH204" s="228">
        <v>-0.06</v>
      </c>
      <c r="DI204" s="228">
        <v>18</v>
      </c>
      <c r="DJ204" s="228">
        <v>18.18</v>
      </c>
      <c r="DK204" s="228">
        <v>-0.18</v>
      </c>
      <c r="DL204" s="228">
        <v>-0.18</v>
      </c>
      <c r="DM204" s="228">
        <v>18.559999999999999</v>
      </c>
      <c r="DN204" s="228">
        <v>19.059999999999999</v>
      </c>
      <c r="DO204" s="228">
        <v>-0.5</v>
      </c>
      <c r="DP204" s="228">
        <v>-0.5</v>
      </c>
      <c r="DQ204" s="228">
        <v>0.77</v>
      </c>
      <c r="DR204" s="228">
        <v>0.88</v>
      </c>
      <c r="DS204" s="228">
        <v>-0.11</v>
      </c>
      <c r="DT204" s="229">
        <v>-0.125</v>
      </c>
      <c r="DU204" s="231">
        <v>12200</v>
      </c>
      <c r="DV204" s="231">
        <v>11500</v>
      </c>
      <c r="DW204" s="228">
        <v>0.49</v>
      </c>
      <c r="DX204" s="228">
        <v>0.43</v>
      </c>
      <c r="DY204" s="228">
        <v>0.06</v>
      </c>
      <c r="DZ204" s="229">
        <v>0.13950000000000001</v>
      </c>
      <c r="EA204" s="229">
        <v>1.15E-2</v>
      </c>
      <c r="EB204" s="230">
        <v>32350</v>
      </c>
      <c r="EC204" s="229">
        <v>5.7999999999999996E-3</v>
      </c>
      <c r="ED204" s="229">
        <v>1.15E-2</v>
      </c>
      <c r="EE204" s="228">
        <v>71.56</v>
      </c>
      <c r="EF204" s="229">
        <v>5.8999999999999999E-3</v>
      </c>
      <c r="EG204" s="230">
        <v>166892</v>
      </c>
      <c r="EH204" s="230">
        <v>129271</v>
      </c>
      <c r="EI204" s="229">
        <v>0.29099999999999998</v>
      </c>
      <c r="EJ204" s="229">
        <v>0.66700000000000004</v>
      </c>
      <c r="EK204" s="228">
        <v>988.58</v>
      </c>
      <c r="EL204" s="228">
        <v>458.02</v>
      </c>
      <c r="EM204" s="228">
        <v>318.55</v>
      </c>
      <c r="EN204" s="228">
        <v>58.79</v>
      </c>
      <c r="EO204" s="231">
        <v>1765.15</v>
      </c>
      <c r="EP204" s="231">
        <v>2477.85</v>
      </c>
      <c r="EQ204" s="228">
        <v>-712.7</v>
      </c>
      <c r="ER204" s="229">
        <v>-0.28760000000000002</v>
      </c>
      <c r="ES204" s="228">
        <v>638.46</v>
      </c>
      <c r="ET204" s="228">
        <v>460.67</v>
      </c>
      <c r="EU204" s="231">
        <v>3484.63</v>
      </c>
      <c r="EV204" s="231">
        <v>11955674</v>
      </c>
      <c r="EW204" s="231">
        <v>4583.76</v>
      </c>
      <c r="EX204" s="231">
        <v>4546.46</v>
      </c>
      <c r="EY204" s="228">
        <v>37.299999999999997</v>
      </c>
      <c r="EZ204" s="229">
        <v>8.2000000000000007E-3</v>
      </c>
      <c r="FA204" s="229">
        <v>0.31469999999999998</v>
      </c>
      <c r="FB204" s="227" t="s">
        <v>568</v>
      </c>
      <c r="FC204">
        <f t="shared" si="4"/>
        <v>0</v>
      </c>
    </row>
    <row r="205" spans="1:159" ht="17.25" thickBot="1" x14ac:dyDescent="0.3">
      <c r="A205" s="226">
        <v>46029</v>
      </c>
      <c r="B205" s="227" t="s">
        <v>172</v>
      </c>
      <c r="C205" s="227" t="s">
        <v>593</v>
      </c>
      <c r="D205" s="228">
        <v>4425</v>
      </c>
      <c r="E205" s="228">
        <v>20</v>
      </c>
      <c r="F205" s="228">
        <v>166.79</v>
      </c>
      <c r="G205" s="228">
        <v>166.18</v>
      </c>
      <c r="H205" s="228">
        <v>0.61</v>
      </c>
      <c r="I205" s="229">
        <v>3.7000000000000002E-3</v>
      </c>
      <c r="J205" s="228">
        <v>166.33</v>
      </c>
      <c r="K205" s="228">
        <v>165.74</v>
      </c>
      <c r="L205" s="228">
        <v>0.59</v>
      </c>
      <c r="M205" s="229">
        <v>3.5999999999999999E-3</v>
      </c>
      <c r="N205" s="228">
        <v>166.79</v>
      </c>
      <c r="O205" s="228">
        <v>166.18</v>
      </c>
      <c r="P205" s="228">
        <v>0.61</v>
      </c>
      <c r="Q205" s="229">
        <v>3.7000000000000002E-3</v>
      </c>
      <c r="R205" s="228">
        <v>167.82</v>
      </c>
      <c r="S205" s="228">
        <v>167.14</v>
      </c>
      <c r="T205" s="228">
        <v>0.68</v>
      </c>
      <c r="U205" s="229">
        <v>4.1000000000000003E-3</v>
      </c>
      <c r="V205" s="228">
        <v>168.9</v>
      </c>
      <c r="W205" s="228">
        <v>168.09</v>
      </c>
      <c r="X205" s="228">
        <v>0.81</v>
      </c>
      <c r="Y205" s="229">
        <v>4.7999999999999996E-3</v>
      </c>
      <c r="Z205" s="228">
        <v>0.46</v>
      </c>
      <c r="AA205" s="228">
        <v>0.44</v>
      </c>
      <c r="AB205" s="228">
        <v>0.02</v>
      </c>
      <c r="AC205" s="229">
        <v>2.8E-3</v>
      </c>
      <c r="AD205" s="228">
        <v>0.46</v>
      </c>
      <c r="AE205" s="228">
        <v>0.44</v>
      </c>
      <c r="AF205" s="228">
        <v>0.02</v>
      </c>
      <c r="AG205" s="229">
        <v>2.8E-3</v>
      </c>
      <c r="AH205" s="228">
        <v>1.49</v>
      </c>
      <c r="AI205" s="228">
        <v>1.4</v>
      </c>
      <c r="AJ205" s="228">
        <v>0.09</v>
      </c>
      <c r="AK205" s="229">
        <v>8.9999999999999993E-3</v>
      </c>
      <c r="AL205" s="228">
        <v>2.57</v>
      </c>
      <c r="AM205" s="228">
        <v>2.35</v>
      </c>
      <c r="AN205" s="228">
        <v>0.22</v>
      </c>
      <c r="AO205" s="229">
        <v>1.55E-2</v>
      </c>
      <c r="AP205" s="228">
        <v>165.86</v>
      </c>
      <c r="AQ205" s="228">
        <v>166.83</v>
      </c>
      <c r="AR205" s="228">
        <v>0</v>
      </c>
      <c r="AS205" s="228">
        <v>227</v>
      </c>
      <c r="AT205" s="228">
        <v>469</v>
      </c>
      <c r="AU205" s="228">
        <v>-242</v>
      </c>
      <c r="AV205" s="229">
        <v>-0.51539999999999997</v>
      </c>
      <c r="AW205" s="228">
        <v>214</v>
      </c>
      <c r="AX205" s="228">
        <v>430</v>
      </c>
      <c r="AY205" s="228">
        <v>-216</v>
      </c>
      <c r="AZ205" s="229">
        <v>-0.50270000000000004</v>
      </c>
      <c r="BA205" s="228">
        <v>12</v>
      </c>
      <c r="BB205" s="228">
        <v>35</v>
      </c>
      <c r="BC205" s="228">
        <v>-23</v>
      </c>
      <c r="BD205" s="229">
        <v>-0.65739999999999998</v>
      </c>
      <c r="BE205" s="228">
        <v>2</v>
      </c>
      <c r="BF205" s="228">
        <v>5</v>
      </c>
      <c r="BG205" s="228">
        <v>-3</v>
      </c>
      <c r="BH205" s="229">
        <v>-0.63080000000000003</v>
      </c>
      <c r="BI205" s="228">
        <v>350</v>
      </c>
      <c r="BJ205" s="230">
        <v>1445</v>
      </c>
      <c r="BK205" s="230">
        <v>-1095</v>
      </c>
      <c r="BL205" s="229">
        <v>-0.75760000000000005</v>
      </c>
      <c r="BM205" s="228">
        <v>214</v>
      </c>
      <c r="BN205" s="228">
        <v>673</v>
      </c>
      <c r="BO205" s="228">
        <v>-460</v>
      </c>
      <c r="BP205" s="229">
        <v>-0.68279999999999996</v>
      </c>
      <c r="BQ205" s="228">
        <v>791</v>
      </c>
      <c r="BR205" s="230">
        <v>2588</v>
      </c>
      <c r="BS205" s="230">
        <v>-1796</v>
      </c>
      <c r="BT205" s="229">
        <v>-0.69420000000000004</v>
      </c>
      <c r="BU205" s="230">
        <v>10096883</v>
      </c>
      <c r="BV205" s="230">
        <v>29032756</v>
      </c>
      <c r="BW205" s="230">
        <v>-18935873</v>
      </c>
      <c r="BX205" s="229">
        <v>-0.6522</v>
      </c>
      <c r="BY205" s="230">
        <v>1186</v>
      </c>
      <c r="BZ205" s="230">
        <v>1191</v>
      </c>
      <c r="CA205" s="228">
        <v>-5</v>
      </c>
      <c r="CB205" s="229">
        <v>-4.1999999999999997E-3</v>
      </c>
      <c r="CC205" s="230">
        <v>1153</v>
      </c>
      <c r="CD205" s="230">
        <v>1158</v>
      </c>
      <c r="CE205" s="228">
        <v>-5</v>
      </c>
      <c r="CF205" s="229">
        <v>-4.1000000000000003E-3</v>
      </c>
      <c r="CG205" s="228">
        <v>27</v>
      </c>
      <c r="CH205" s="228">
        <v>28</v>
      </c>
      <c r="CI205" s="228">
        <v>-1</v>
      </c>
      <c r="CJ205" s="229">
        <v>-3.6900000000000002E-2</v>
      </c>
      <c r="CK205" s="228">
        <v>6</v>
      </c>
      <c r="CL205" s="228">
        <v>5</v>
      </c>
      <c r="CM205" s="228">
        <v>1</v>
      </c>
      <c r="CN205" s="229">
        <v>0.1515</v>
      </c>
      <c r="CO205" s="228">
        <v>452</v>
      </c>
      <c r="CP205" s="228">
        <v>437</v>
      </c>
      <c r="CQ205" s="228">
        <v>16</v>
      </c>
      <c r="CR205" s="229">
        <v>3.6200000000000003E-2</v>
      </c>
      <c r="CS205" s="228">
        <v>428</v>
      </c>
      <c r="CT205" s="228">
        <v>426</v>
      </c>
      <c r="CU205" s="228">
        <v>2</v>
      </c>
      <c r="CV205" s="229">
        <v>4.7000000000000002E-3</v>
      </c>
      <c r="CW205" s="230">
        <v>2067</v>
      </c>
      <c r="CX205" s="230">
        <v>2054</v>
      </c>
      <c r="CY205" s="228">
        <v>13</v>
      </c>
      <c r="CZ205" s="229">
        <v>6.1999999999999998E-3</v>
      </c>
      <c r="DA205" s="228">
        <v>30.14</v>
      </c>
      <c r="DB205" s="228">
        <v>30.02</v>
      </c>
      <c r="DC205" s="228">
        <v>0.12</v>
      </c>
      <c r="DD205" s="228">
        <v>0.12</v>
      </c>
      <c r="DE205" s="228">
        <v>39.94</v>
      </c>
      <c r="DF205" s="228">
        <v>40.04</v>
      </c>
      <c r="DG205" s="228">
        <v>-9.8000000000000007</v>
      </c>
      <c r="DH205" s="228">
        <v>-0.1</v>
      </c>
      <c r="DI205" s="228">
        <v>29.87</v>
      </c>
      <c r="DJ205" s="228">
        <v>29.94</v>
      </c>
      <c r="DK205" s="228">
        <v>-7.0000000000000007E-2</v>
      </c>
      <c r="DL205" s="228">
        <v>-7.0000000000000007E-2</v>
      </c>
      <c r="DM205" s="228">
        <v>30.57</v>
      </c>
      <c r="DN205" s="228">
        <v>30.19</v>
      </c>
      <c r="DO205" s="228">
        <v>0.38</v>
      </c>
      <c r="DP205" s="228">
        <v>0.38</v>
      </c>
      <c r="DQ205" s="228">
        <v>0.95</v>
      </c>
      <c r="DR205" s="228">
        <v>0.98</v>
      </c>
      <c r="DS205" s="228">
        <v>-0.03</v>
      </c>
      <c r="DT205" s="229">
        <v>-3.0599999999999999E-2</v>
      </c>
      <c r="DU205" s="228">
        <v>170</v>
      </c>
      <c r="DV205" s="228">
        <v>155</v>
      </c>
      <c r="DW205" s="228">
        <v>0.61</v>
      </c>
      <c r="DX205" s="228">
        <v>0.47</v>
      </c>
      <c r="DY205" s="228">
        <v>0.14000000000000001</v>
      </c>
      <c r="DZ205" s="229">
        <v>0.2979</v>
      </c>
      <c r="EA205" s="229">
        <v>2.7400000000000001E-2</v>
      </c>
      <c r="EB205" s="230">
        <v>1969125</v>
      </c>
      <c r="EC205" s="229">
        <v>6.1999999999999998E-3</v>
      </c>
      <c r="ED205" s="229">
        <v>2.7400000000000001E-2</v>
      </c>
      <c r="EE205" s="228">
        <v>0.97</v>
      </c>
      <c r="EF205" s="229">
        <v>5.7999999999999996E-3</v>
      </c>
      <c r="EG205" s="230">
        <v>4558780</v>
      </c>
      <c r="EH205" s="230">
        <v>10521210</v>
      </c>
      <c r="EI205" s="229">
        <v>-0.56669999999999998</v>
      </c>
      <c r="EJ205" s="229">
        <v>0.45150000000000001</v>
      </c>
      <c r="EK205" s="228">
        <v>365.89</v>
      </c>
      <c r="EL205" s="228">
        <v>207.01</v>
      </c>
      <c r="EM205" s="228">
        <v>226.29</v>
      </c>
      <c r="EN205" s="228">
        <v>58.85</v>
      </c>
      <c r="EO205" s="228">
        <v>799.2</v>
      </c>
      <c r="EP205" s="231">
        <v>2630.84</v>
      </c>
      <c r="EQ205" s="231">
        <v>-1831.64</v>
      </c>
      <c r="ER205" s="229">
        <v>-0.69620000000000004</v>
      </c>
      <c r="ES205" s="228">
        <v>455.28</v>
      </c>
      <c r="ET205" s="228">
        <v>396</v>
      </c>
      <c r="EU205" s="231">
        <v>1186.1300000000001</v>
      </c>
      <c r="EV205" s="231">
        <v>289041713</v>
      </c>
      <c r="EW205" s="231">
        <v>2037.41</v>
      </c>
      <c r="EX205" s="231">
        <v>2018.25</v>
      </c>
      <c r="EY205" s="228">
        <v>19.16</v>
      </c>
      <c r="EZ205" s="229">
        <v>9.4999999999999998E-3</v>
      </c>
      <c r="FA205" s="229">
        <v>0.42870000000000003</v>
      </c>
      <c r="FB205" s="227" t="s">
        <v>556</v>
      </c>
      <c r="FC205">
        <f t="shared" si="4"/>
        <v>0</v>
      </c>
    </row>
    <row r="206" spans="1:159" ht="17.25" thickBot="1" x14ac:dyDescent="0.3">
      <c r="A206" s="226">
        <v>46029</v>
      </c>
      <c r="B206" s="227" t="s">
        <v>168</v>
      </c>
      <c r="C206" s="227" t="s">
        <v>569</v>
      </c>
      <c r="D206" s="228">
        <v>400</v>
      </c>
      <c r="E206" s="228">
        <v>20</v>
      </c>
      <c r="F206" s="231">
        <v>1380.8</v>
      </c>
      <c r="G206" s="231">
        <v>1383.6</v>
      </c>
      <c r="H206" s="228">
        <v>-2.8</v>
      </c>
      <c r="I206" s="229">
        <v>-2E-3</v>
      </c>
      <c r="J206" s="231">
        <v>1377.8</v>
      </c>
      <c r="K206" s="231">
        <v>1376.6</v>
      </c>
      <c r="L206" s="228">
        <v>1.2</v>
      </c>
      <c r="M206" s="229">
        <v>8.9999999999999998E-4</v>
      </c>
      <c r="N206" s="231">
        <v>1380.8</v>
      </c>
      <c r="O206" s="231">
        <v>1383.6</v>
      </c>
      <c r="P206" s="228">
        <v>-2.8</v>
      </c>
      <c r="Q206" s="229">
        <v>-2E-3</v>
      </c>
      <c r="R206" s="231">
        <v>1389.3</v>
      </c>
      <c r="S206" s="231">
        <v>1391.5</v>
      </c>
      <c r="T206" s="228">
        <v>-2.2000000000000002</v>
      </c>
      <c r="U206" s="229">
        <v>-1.6000000000000001E-3</v>
      </c>
      <c r="V206" s="231">
        <v>1397.9</v>
      </c>
      <c r="W206" s="231">
        <v>1402.4</v>
      </c>
      <c r="X206" s="228">
        <v>-4.5</v>
      </c>
      <c r="Y206" s="229">
        <v>-3.2000000000000002E-3</v>
      </c>
      <c r="Z206" s="228">
        <v>3</v>
      </c>
      <c r="AA206" s="228">
        <v>7</v>
      </c>
      <c r="AB206" s="228">
        <v>-4</v>
      </c>
      <c r="AC206" s="229">
        <v>2.2000000000000001E-3</v>
      </c>
      <c r="AD206" s="228">
        <v>3</v>
      </c>
      <c r="AE206" s="228">
        <v>7</v>
      </c>
      <c r="AF206" s="228">
        <v>-4</v>
      </c>
      <c r="AG206" s="229">
        <v>2.2000000000000001E-3</v>
      </c>
      <c r="AH206" s="228">
        <v>11.5</v>
      </c>
      <c r="AI206" s="228">
        <v>14.9</v>
      </c>
      <c r="AJ206" s="228">
        <v>-3.4</v>
      </c>
      <c r="AK206" s="229">
        <v>8.3000000000000001E-3</v>
      </c>
      <c r="AL206" s="228">
        <v>20.100000000000001</v>
      </c>
      <c r="AM206" s="228">
        <v>25.8</v>
      </c>
      <c r="AN206" s="228">
        <v>-5.7</v>
      </c>
      <c r="AO206" s="229">
        <v>1.46E-2</v>
      </c>
      <c r="AP206" s="231">
        <v>1378.93</v>
      </c>
      <c r="AQ206" s="231">
        <v>1385.42</v>
      </c>
      <c r="AR206" s="228">
        <v>0</v>
      </c>
      <c r="AS206" s="228">
        <v>104</v>
      </c>
      <c r="AT206" s="228">
        <v>203</v>
      </c>
      <c r="AU206" s="228">
        <v>-99</v>
      </c>
      <c r="AV206" s="229">
        <v>-0.48899999999999999</v>
      </c>
      <c r="AW206" s="228">
        <v>98</v>
      </c>
      <c r="AX206" s="228">
        <v>192</v>
      </c>
      <c r="AY206" s="228">
        <v>-95</v>
      </c>
      <c r="AZ206" s="229">
        <v>-0.49280000000000002</v>
      </c>
      <c r="BA206" s="228">
        <v>4</v>
      </c>
      <c r="BB206" s="228">
        <v>8</v>
      </c>
      <c r="BC206" s="228">
        <v>-4</v>
      </c>
      <c r="BD206" s="229">
        <v>-0.53190000000000004</v>
      </c>
      <c r="BE206" s="228">
        <v>2</v>
      </c>
      <c r="BF206" s="228">
        <v>3</v>
      </c>
      <c r="BG206" s="228">
        <v>0</v>
      </c>
      <c r="BH206" s="229">
        <v>-6.5199999999999994E-2</v>
      </c>
      <c r="BI206" s="228">
        <v>186</v>
      </c>
      <c r="BJ206" s="228">
        <v>313</v>
      </c>
      <c r="BK206" s="228">
        <v>-127</v>
      </c>
      <c r="BL206" s="229">
        <v>-0.4052</v>
      </c>
      <c r="BM206" s="228">
        <v>47</v>
      </c>
      <c r="BN206" s="228">
        <v>107</v>
      </c>
      <c r="BO206" s="228">
        <v>-60</v>
      </c>
      <c r="BP206" s="229">
        <v>-0.56340000000000001</v>
      </c>
      <c r="BQ206" s="228">
        <v>337</v>
      </c>
      <c r="BR206" s="228">
        <v>623</v>
      </c>
      <c r="BS206" s="228">
        <v>-286</v>
      </c>
      <c r="BT206" s="229">
        <v>-0.45960000000000001</v>
      </c>
      <c r="BU206" s="230">
        <v>1161083</v>
      </c>
      <c r="BV206" s="230">
        <v>1211458</v>
      </c>
      <c r="BW206" s="230">
        <v>-50375</v>
      </c>
      <c r="BX206" s="229">
        <v>-4.1599999999999998E-2</v>
      </c>
      <c r="BY206" s="230">
        <v>1809</v>
      </c>
      <c r="BZ206" s="230">
        <v>1804</v>
      </c>
      <c r="CA206" s="228">
        <v>5</v>
      </c>
      <c r="CB206" s="229">
        <v>3.0000000000000001E-3</v>
      </c>
      <c r="CC206" s="230">
        <v>1773</v>
      </c>
      <c r="CD206" s="230">
        <v>1770</v>
      </c>
      <c r="CE206" s="228">
        <v>3</v>
      </c>
      <c r="CF206" s="229">
        <v>1.8E-3</v>
      </c>
      <c r="CG206" s="228">
        <v>29</v>
      </c>
      <c r="CH206" s="228">
        <v>28</v>
      </c>
      <c r="CI206" s="228">
        <v>1</v>
      </c>
      <c r="CJ206" s="229">
        <v>4.1700000000000001E-2</v>
      </c>
      <c r="CK206" s="228">
        <v>7</v>
      </c>
      <c r="CL206" s="228">
        <v>6</v>
      </c>
      <c r="CM206" s="228">
        <v>1</v>
      </c>
      <c r="CN206" s="229">
        <v>0.1651</v>
      </c>
      <c r="CO206" s="228">
        <v>570</v>
      </c>
      <c r="CP206" s="228">
        <v>554</v>
      </c>
      <c r="CQ206" s="228">
        <v>16</v>
      </c>
      <c r="CR206" s="229">
        <v>2.8899999999999999E-2</v>
      </c>
      <c r="CS206" s="228">
        <v>412</v>
      </c>
      <c r="CT206" s="228">
        <v>409</v>
      </c>
      <c r="CU206" s="228">
        <v>3</v>
      </c>
      <c r="CV206" s="229">
        <v>7.7999999999999996E-3</v>
      </c>
      <c r="CW206" s="230">
        <v>2792</v>
      </c>
      <c r="CX206" s="230">
        <v>2767</v>
      </c>
      <c r="CY206" s="228">
        <v>25</v>
      </c>
      <c r="CZ206" s="229">
        <v>8.8999999999999999E-3</v>
      </c>
      <c r="DA206" s="228">
        <v>24.27</v>
      </c>
      <c r="DB206" s="228">
        <v>24.13</v>
      </c>
      <c r="DC206" s="228">
        <v>0.14000000000000001</v>
      </c>
      <c r="DD206" s="228">
        <v>0.14000000000000001</v>
      </c>
      <c r="DE206" s="228">
        <v>26.93</v>
      </c>
      <c r="DF206" s="228">
        <v>27</v>
      </c>
      <c r="DG206" s="228">
        <v>-2.66</v>
      </c>
      <c r="DH206" s="228">
        <v>-7.0000000000000007E-2</v>
      </c>
      <c r="DI206" s="228">
        <v>24.33</v>
      </c>
      <c r="DJ206" s="228">
        <v>24.2</v>
      </c>
      <c r="DK206" s="228">
        <v>0.13</v>
      </c>
      <c r="DL206" s="228">
        <v>0.13</v>
      </c>
      <c r="DM206" s="228">
        <v>24.05</v>
      </c>
      <c r="DN206" s="228">
        <v>23.93</v>
      </c>
      <c r="DO206" s="228">
        <v>0.12</v>
      </c>
      <c r="DP206" s="228">
        <v>0.12</v>
      </c>
      <c r="DQ206" s="228">
        <v>0.72</v>
      </c>
      <c r="DR206" s="228">
        <v>0.74</v>
      </c>
      <c r="DS206" s="228">
        <v>-0.02</v>
      </c>
      <c r="DT206" s="229">
        <v>-2.7E-2</v>
      </c>
      <c r="DU206" s="231">
        <v>1440</v>
      </c>
      <c r="DV206" s="231">
        <v>1300</v>
      </c>
      <c r="DW206" s="228">
        <v>0.25</v>
      </c>
      <c r="DX206" s="228">
        <v>0.34</v>
      </c>
      <c r="DY206" s="228">
        <v>-0.09</v>
      </c>
      <c r="DZ206" s="229">
        <v>-0.26469999999999999</v>
      </c>
      <c r="EA206" s="229">
        <v>1.9900000000000001E-2</v>
      </c>
      <c r="EB206" s="230">
        <v>244800</v>
      </c>
      <c r="EC206" s="229">
        <v>6.1999999999999998E-3</v>
      </c>
      <c r="ED206" s="229">
        <v>1.9900000000000001E-2</v>
      </c>
      <c r="EE206" s="228">
        <v>6.49</v>
      </c>
      <c r="EF206" s="229">
        <v>4.7000000000000002E-3</v>
      </c>
      <c r="EG206" s="230">
        <v>862362</v>
      </c>
      <c r="EH206" s="230">
        <v>853783</v>
      </c>
      <c r="EI206" s="229">
        <v>0.01</v>
      </c>
      <c r="EJ206" s="229">
        <v>0.74270000000000003</v>
      </c>
      <c r="EK206" s="228">
        <v>194.85</v>
      </c>
      <c r="EL206" s="228">
        <v>46.4</v>
      </c>
      <c r="EM206" s="228">
        <v>103.46</v>
      </c>
      <c r="EN206" s="228">
        <v>44.82</v>
      </c>
      <c r="EO206" s="228">
        <v>344.71</v>
      </c>
      <c r="EP206" s="228">
        <v>636.75</v>
      </c>
      <c r="EQ206" s="228">
        <v>-292.04000000000002</v>
      </c>
      <c r="ER206" s="229">
        <v>-0.45860000000000001</v>
      </c>
      <c r="ES206" s="228">
        <v>600.59</v>
      </c>
      <c r="ET206" s="228">
        <v>412.68</v>
      </c>
      <c r="EU206" s="231">
        <v>1809.67</v>
      </c>
      <c r="EV206" s="231">
        <v>37091426</v>
      </c>
      <c r="EW206" s="231">
        <v>2822.93</v>
      </c>
      <c r="EX206" s="231">
        <v>2801.91</v>
      </c>
      <c r="EY206" s="228">
        <v>21.02</v>
      </c>
      <c r="EZ206" s="229">
        <v>7.4999999999999997E-3</v>
      </c>
      <c r="FA206" s="229">
        <v>0.54510000000000003</v>
      </c>
      <c r="FB206" s="227" t="s">
        <v>567</v>
      </c>
      <c r="FC206">
        <f t="shared" si="4"/>
        <v>0</v>
      </c>
    </row>
    <row r="207" spans="1:159" ht="17.25" thickBot="1" x14ac:dyDescent="0.3">
      <c r="A207" s="226">
        <v>46029</v>
      </c>
      <c r="B207" s="227" t="s">
        <v>162</v>
      </c>
      <c r="C207" s="227" t="s">
        <v>674</v>
      </c>
      <c r="D207" s="228">
        <v>550</v>
      </c>
      <c r="E207" s="228">
        <v>20</v>
      </c>
      <c r="F207" s="231">
        <v>1323.1</v>
      </c>
      <c r="G207" s="231">
        <v>1324</v>
      </c>
      <c r="H207" s="228">
        <v>-0.9</v>
      </c>
      <c r="I207" s="229">
        <v>-6.9999999999999999E-4</v>
      </c>
      <c r="J207" s="231">
        <v>1318.2</v>
      </c>
      <c r="K207" s="231">
        <v>1320.9</v>
      </c>
      <c r="L207" s="228">
        <v>-2.7</v>
      </c>
      <c r="M207" s="229">
        <v>-2E-3</v>
      </c>
      <c r="N207" s="231">
        <v>1323.1</v>
      </c>
      <c r="O207" s="231">
        <v>1324</v>
      </c>
      <c r="P207" s="228">
        <v>-0.9</v>
      </c>
      <c r="Q207" s="229">
        <v>-6.9999999999999999E-4</v>
      </c>
      <c r="R207" s="231">
        <v>1331.7</v>
      </c>
      <c r="S207" s="231">
        <v>1331.7</v>
      </c>
      <c r="T207" s="228">
        <v>0</v>
      </c>
      <c r="U207" s="229">
        <v>0</v>
      </c>
      <c r="V207" s="231">
        <v>1335.8</v>
      </c>
      <c r="W207" s="228">
        <v>0</v>
      </c>
      <c r="X207" s="231">
        <v>1335.8</v>
      </c>
      <c r="Y207" s="229">
        <v>0</v>
      </c>
      <c r="Z207" s="228">
        <v>4.9000000000000004</v>
      </c>
      <c r="AA207" s="228">
        <v>3.1</v>
      </c>
      <c r="AB207" s="228">
        <v>1.8</v>
      </c>
      <c r="AC207" s="229">
        <v>3.7000000000000002E-3</v>
      </c>
      <c r="AD207" s="228">
        <v>4.9000000000000004</v>
      </c>
      <c r="AE207" s="228">
        <v>3.1</v>
      </c>
      <c r="AF207" s="228">
        <v>1.8</v>
      </c>
      <c r="AG207" s="229">
        <v>3.7000000000000002E-3</v>
      </c>
      <c r="AH207" s="228">
        <v>13.5</v>
      </c>
      <c r="AI207" s="228">
        <v>10.8</v>
      </c>
      <c r="AJ207" s="228">
        <v>2.7</v>
      </c>
      <c r="AK207" s="229">
        <v>1.0200000000000001E-2</v>
      </c>
      <c r="AL207" s="228">
        <v>17.600000000000001</v>
      </c>
      <c r="AM207" s="228">
        <v>0</v>
      </c>
      <c r="AN207" s="228">
        <v>17.600000000000001</v>
      </c>
      <c r="AO207" s="229">
        <v>1.34E-2</v>
      </c>
      <c r="AP207" s="231">
        <v>1321.46</v>
      </c>
      <c r="AQ207" s="231">
        <v>1326.8</v>
      </c>
      <c r="AR207" s="228">
        <v>0</v>
      </c>
      <c r="AS207" s="228">
        <v>250</v>
      </c>
      <c r="AT207" s="228">
        <v>121</v>
      </c>
      <c r="AU207" s="228">
        <v>129</v>
      </c>
      <c r="AV207" s="229">
        <v>1.0611999999999999</v>
      </c>
      <c r="AW207" s="228">
        <v>185</v>
      </c>
      <c r="AX207" s="228">
        <v>119</v>
      </c>
      <c r="AY207" s="228">
        <v>66</v>
      </c>
      <c r="AZ207" s="229">
        <v>0.54869999999999997</v>
      </c>
      <c r="BA207" s="228">
        <v>64</v>
      </c>
      <c r="BB207" s="228">
        <v>2</v>
      </c>
      <c r="BC207" s="228">
        <v>63</v>
      </c>
      <c r="BD207" s="229">
        <v>34.4</v>
      </c>
      <c r="BE207" s="228">
        <v>1</v>
      </c>
      <c r="BF207" s="228">
        <v>0</v>
      </c>
      <c r="BG207" s="228">
        <v>1</v>
      </c>
      <c r="BH207" s="229">
        <v>0</v>
      </c>
      <c r="BI207" s="228">
        <v>496</v>
      </c>
      <c r="BJ207" s="228">
        <v>155</v>
      </c>
      <c r="BK207" s="228">
        <v>341</v>
      </c>
      <c r="BL207" s="229">
        <v>2.1991000000000001</v>
      </c>
      <c r="BM207" s="228">
        <v>215</v>
      </c>
      <c r="BN207" s="228">
        <v>52</v>
      </c>
      <c r="BO207" s="228">
        <v>163</v>
      </c>
      <c r="BP207" s="229">
        <v>3.1198000000000001</v>
      </c>
      <c r="BQ207" s="228">
        <v>961</v>
      </c>
      <c r="BR207" s="228">
        <v>329</v>
      </c>
      <c r="BS207" s="228">
        <v>633</v>
      </c>
      <c r="BT207" s="229">
        <v>1.9254</v>
      </c>
      <c r="BU207" s="230">
        <v>619142</v>
      </c>
      <c r="BV207" s="230">
        <v>403647</v>
      </c>
      <c r="BW207" s="230">
        <v>215495</v>
      </c>
      <c r="BX207" s="229">
        <v>0.53390000000000004</v>
      </c>
      <c r="BY207" s="228">
        <v>588</v>
      </c>
      <c r="BZ207" s="228">
        <v>579</v>
      </c>
      <c r="CA207" s="228">
        <v>9</v>
      </c>
      <c r="CB207" s="229">
        <v>1.6E-2</v>
      </c>
      <c r="CC207" s="228">
        <v>578</v>
      </c>
      <c r="CD207" s="228">
        <v>574</v>
      </c>
      <c r="CE207" s="228">
        <v>4</v>
      </c>
      <c r="CF207" s="229">
        <v>6.7999999999999996E-3</v>
      </c>
      <c r="CG207" s="228">
        <v>10</v>
      </c>
      <c r="CH207" s="228">
        <v>5</v>
      </c>
      <c r="CI207" s="228">
        <v>5</v>
      </c>
      <c r="CJ207" s="229">
        <v>0.87839999999999996</v>
      </c>
      <c r="CK207" s="228">
        <v>1</v>
      </c>
      <c r="CL207" s="228">
        <v>0</v>
      </c>
      <c r="CM207" s="228">
        <v>1</v>
      </c>
      <c r="CN207" s="229">
        <v>0</v>
      </c>
      <c r="CO207" s="228">
        <v>154</v>
      </c>
      <c r="CP207" s="228">
        <v>138</v>
      </c>
      <c r="CQ207" s="228">
        <v>15</v>
      </c>
      <c r="CR207" s="229">
        <v>0.1099</v>
      </c>
      <c r="CS207" s="228">
        <v>105</v>
      </c>
      <c r="CT207" s="228">
        <v>90</v>
      </c>
      <c r="CU207" s="228">
        <v>15</v>
      </c>
      <c r="CV207" s="229">
        <v>0.16850000000000001</v>
      </c>
      <c r="CW207" s="228">
        <v>847</v>
      </c>
      <c r="CX207" s="228">
        <v>808</v>
      </c>
      <c r="CY207" s="228">
        <v>40</v>
      </c>
      <c r="CZ207" s="229">
        <v>4.9099999999999998E-2</v>
      </c>
      <c r="DA207" s="228">
        <v>27.16</v>
      </c>
      <c r="DB207" s="228">
        <v>27.75</v>
      </c>
      <c r="DC207" s="228">
        <v>-0.59</v>
      </c>
      <c r="DD207" s="228">
        <v>-0.59</v>
      </c>
      <c r="DE207" s="228">
        <v>39.75</v>
      </c>
      <c r="DF207" s="228">
        <v>39.85</v>
      </c>
      <c r="DG207" s="228">
        <v>-12.59</v>
      </c>
      <c r="DH207" s="228">
        <v>-0.1</v>
      </c>
      <c r="DI207" s="228">
        <v>27.57</v>
      </c>
      <c r="DJ207" s="228">
        <v>27.64</v>
      </c>
      <c r="DK207" s="228">
        <v>-7.0000000000000007E-2</v>
      </c>
      <c r="DL207" s="228">
        <v>-7.0000000000000007E-2</v>
      </c>
      <c r="DM207" s="228">
        <v>26.21</v>
      </c>
      <c r="DN207" s="228">
        <v>28.09</v>
      </c>
      <c r="DO207" s="228">
        <v>-1.88</v>
      </c>
      <c r="DP207" s="228">
        <v>-1.88</v>
      </c>
      <c r="DQ207" s="228">
        <v>0.69</v>
      </c>
      <c r="DR207" s="228">
        <v>0.65</v>
      </c>
      <c r="DS207" s="228">
        <v>0.04</v>
      </c>
      <c r="DT207" s="229">
        <v>6.1499999999999999E-2</v>
      </c>
      <c r="DU207" s="231">
        <v>1340</v>
      </c>
      <c r="DV207" s="231">
        <v>1340</v>
      </c>
      <c r="DW207" s="228">
        <v>0.43</v>
      </c>
      <c r="DX207" s="228">
        <v>0.34</v>
      </c>
      <c r="DY207" s="228">
        <v>0.09</v>
      </c>
      <c r="DZ207" s="229">
        <v>0.26469999999999999</v>
      </c>
      <c r="EA207" s="229">
        <v>1.8200000000000001E-2</v>
      </c>
      <c r="EB207" s="230">
        <v>40700</v>
      </c>
      <c r="EC207" s="229">
        <v>6.4999999999999997E-3</v>
      </c>
      <c r="ED207" s="229">
        <v>1.8200000000000001E-2</v>
      </c>
      <c r="EE207" s="228">
        <v>5.34</v>
      </c>
      <c r="EF207" s="229">
        <v>4.0000000000000001E-3</v>
      </c>
      <c r="EG207" s="230">
        <v>158294</v>
      </c>
      <c r="EH207" s="230">
        <v>206154</v>
      </c>
      <c r="EI207" s="229">
        <v>-0.23219999999999999</v>
      </c>
      <c r="EJ207" s="229">
        <v>0.25569999999999998</v>
      </c>
      <c r="EK207" s="228">
        <v>513.04</v>
      </c>
      <c r="EL207" s="228">
        <v>218.74</v>
      </c>
      <c r="EM207" s="228">
        <v>250</v>
      </c>
      <c r="EN207" s="228">
        <v>20.3</v>
      </c>
      <c r="EO207" s="228">
        <v>981.77</v>
      </c>
      <c r="EP207" s="228">
        <v>335.26</v>
      </c>
      <c r="EQ207" s="228">
        <v>646.52</v>
      </c>
      <c r="ER207" s="229">
        <v>1.9283999999999999</v>
      </c>
      <c r="ES207" s="228">
        <v>158.06</v>
      </c>
      <c r="ET207" s="228">
        <v>101.43</v>
      </c>
      <c r="EU207" s="228">
        <v>588.41999999999996</v>
      </c>
      <c r="EV207" s="231">
        <v>27292222</v>
      </c>
      <c r="EW207" s="228">
        <v>847.91</v>
      </c>
      <c r="EX207" s="228">
        <v>808.28</v>
      </c>
      <c r="EY207" s="228">
        <v>39.630000000000003</v>
      </c>
      <c r="EZ207" s="229">
        <v>4.9000000000000002E-2</v>
      </c>
      <c r="FA207" s="229">
        <v>0.23469999999999999</v>
      </c>
      <c r="FB207" s="227" t="s">
        <v>567</v>
      </c>
      <c r="FC207">
        <f t="shared" si="4"/>
        <v>0</v>
      </c>
    </row>
    <row r="208" spans="1:159" ht="17.25" thickBot="1" x14ac:dyDescent="0.3">
      <c r="A208" s="226">
        <v>46029</v>
      </c>
      <c r="B208" s="227" t="s">
        <v>498</v>
      </c>
      <c r="C208" s="227" t="s">
        <v>303</v>
      </c>
      <c r="D208" s="228">
        <v>1355</v>
      </c>
      <c r="E208" s="228">
        <v>20</v>
      </c>
      <c r="F208" s="228">
        <v>806.8</v>
      </c>
      <c r="G208" s="228">
        <v>803.5</v>
      </c>
      <c r="H208" s="228">
        <v>3.3</v>
      </c>
      <c r="I208" s="229">
        <v>4.1000000000000003E-3</v>
      </c>
      <c r="J208" s="228">
        <v>802.95</v>
      </c>
      <c r="K208" s="228">
        <v>799.3</v>
      </c>
      <c r="L208" s="228">
        <v>3.65</v>
      </c>
      <c r="M208" s="229">
        <v>4.5999999999999999E-3</v>
      </c>
      <c r="N208" s="228">
        <v>806.8</v>
      </c>
      <c r="O208" s="228">
        <v>803.5</v>
      </c>
      <c r="P208" s="228">
        <v>3.3</v>
      </c>
      <c r="Q208" s="229">
        <v>4.1000000000000003E-3</v>
      </c>
      <c r="R208" s="228">
        <v>812.4</v>
      </c>
      <c r="S208" s="228">
        <v>807.65</v>
      </c>
      <c r="T208" s="228">
        <v>4.75</v>
      </c>
      <c r="U208" s="229">
        <v>5.8999999999999999E-3</v>
      </c>
      <c r="V208" s="228">
        <v>816.5</v>
      </c>
      <c r="W208" s="228">
        <v>812.75</v>
      </c>
      <c r="X208" s="228">
        <v>3.75</v>
      </c>
      <c r="Y208" s="229">
        <v>4.5999999999999999E-3</v>
      </c>
      <c r="Z208" s="228">
        <v>3.85</v>
      </c>
      <c r="AA208" s="228">
        <v>4.2</v>
      </c>
      <c r="AB208" s="228">
        <v>-0.35</v>
      </c>
      <c r="AC208" s="229">
        <v>4.7999999999999996E-3</v>
      </c>
      <c r="AD208" s="228">
        <v>3.85</v>
      </c>
      <c r="AE208" s="228">
        <v>4.2</v>
      </c>
      <c r="AF208" s="228">
        <v>-0.35</v>
      </c>
      <c r="AG208" s="229">
        <v>4.7999999999999996E-3</v>
      </c>
      <c r="AH208" s="228">
        <v>9.4499999999999993</v>
      </c>
      <c r="AI208" s="228">
        <v>8.35</v>
      </c>
      <c r="AJ208" s="228">
        <v>1.1000000000000001</v>
      </c>
      <c r="AK208" s="229">
        <v>1.18E-2</v>
      </c>
      <c r="AL208" s="228">
        <v>13.55</v>
      </c>
      <c r="AM208" s="228">
        <v>13.45</v>
      </c>
      <c r="AN208" s="228">
        <v>0.1</v>
      </c>
      <c r="AO208" s="229">
        <v>1.6899999999999998E-2</v>
      </c>
      <c r="AP208" s="228">
        <v>806.09</v>
      </c>
      <c r="AQ208" s="228">
        <v>811.37</v>
      </c>
      <c r="AR208" s="228">
        <v>0</v>
      </c>
      <c r="AS208" s="228">
        <v>479</v>
      </c>
      <c r="AT208" s="228">
        <v>350</v>
      </c>
      <c r="AU208" s="228">
        <v>130</v>
      </c>
      <c r="AV208" s="229">
        <v>0.371</v>
      </c>
      <c r="AW208" s="228">
        <v>468</v>
      </c>
      <c r="AX208" s="228">
        <v>338</v>
      </c>
      <c r="AY208" s="228">
        <v>130</v>
      </c>
      <c r="AZ208" s="229">
        <v>0.38329999999999997</v>
      </c>
      <c r="BA208" s="228">
        <v>10</v>
      </c>
      <c r="BB208" s="228">
        <v>10</v>
      </c>
      <c r="BC208" s="228">
        <v>1</v>
      </c>
      <c r="BD208" s="229">
        <v>5.7500000000000002E-2</v>
      </c>
      <c r="BE208" s="228">
        <v>1</v>
      </c>
      <c r="BF208" s="228">
        <v>2</v>
      </c>
      <c r="BG208" s="228">
        <v>-1</v>
      </c>
      <c r="BH208" s="229">
        <v>-0.3125</v>
      </c>
      <c r="BI208" s="230">
        <v>1155</v>
      </c>
      <c r="BJ208" s="228">
        <v>920</v>
      </c>
      <c r="BK208" s="228">
        <v>235</v>
      </c>
      <c r="BL208" s="229">
        <v>0.25519999999999998</v>
      </c>
      <c r="BM208" s="228">
        <v>437</v>
      </c>
      <c r="BN208" s="228">
        <v>387</v>
      </c>
      <c r="BO208" s="228">
        <v>50</v>
      </c>
      <c r="BP208" s="229">
        <v>0.1295</v>
      </c>
      <c r="BQ208" s="230">
        <v>2071</v>
      </c>
      <c r="BR208" s="230">
        <v>1656</v>
      </c>
      <c r="BS208" s="228">
        <v>415</v>
      </c>
      <c r="BT208" s="229">
        <v>0.25030000000000002</v>
      </c>
      <c r="BU208" s="230">
        <v>3983555</v>
      </c>
      <c r="BV208" s="230">
        <v>1887833</v>
      </c>
      <c r="BW208" s="230">
        <v>2095722</v>
      </c>
      <c r="BX208" s="229">
        <v>1.1101000000000001</v>
      </c>
      <c r="BY208" s="230">
        <v>3206</v>
      </c>
      <c r="BZ208" s="230">
        <v>3257</v>
      </c>
      <c r="CA208" s="228">
        <v>-51</v>
      </c>
      <c r="CB208" s="229">
        <v>-1.55E-2</v>
      </c>
      <c r="CC208" s="230">
        <v>3167</v>
      </c>
      <c r="CD208" s="230">
        <v>3220</v>
      </c>
      <c r="CE208" s="228">
        <v>-52</v>
      </c>
      <c r="CF208" s="229">
        <v>-1.6299999999999999E-2</v>
      </c>
      <c r="CG208" s="228">
        <v>33</v>
      </c>
      <c r="CH208" s="228">
        <v>31</v>
      </c>
      <c r="CI208" s="228">
        <v>2</v>
      </c>
      <c r="CJ208" s="229">
        <v>4.9099999999999998E-2</v>
      </c>
      <c r="CK208" s="228">
        <v>6</v>
      </c>
      <c r="CL208" s="228">
        <v>6</v>
      </c>
      <c r="CM208" s="228">
        <v>0</v>
      </c>
      <c r="CN208" s="229">
        <v>7.6899999999999996E-2</v>
      </c>
      <c r="CO208" s="230">
        <v>1030</v>
      </c>
      <c r="CP208" s="228">
        <v>977</v>
      </c>
      <c r="CQ208" s="228">
        <v>52</v>
      </c>
      <c r="CR208" s="229">
        <v>5.3699999999999998E-2</v>
      </c>
      <c r="CS208" s="228">
        <v>642</v>
      </c>
      <c r="CT208" s="228">
        <v>615</v>
      </c>
      <c r="CU208" s="228">
        <v>27</v>
      </c>
      <c r="CV208" s="229">
        <v>4.4299999999999999E-2</v>
      </c>
      <c r="CW208" s="230">
        <v>4878</v>
      </c>
      <c r="CX208" s="230">
        <v>4849</v>
      </c>
      <c r="CY208" s="228">
        <v>29</v>
      </c>
      <c r="CZ208" s="229">
        <v>6.0000000000000001E-3</v>
      </c>
      <c r="DA208" s="228">
        <v>24.4</v>
      </c>
      <c r="DB208" s="228">
        <v>24.65</v>
      </c>
      <c r="DC208" s="228">
        <v>-0.25</v>
      </c>
      <c r="DD208" s="228">
        <v>-0.25</v>
      </c>
      <c r="DE208" s="228">
        <v>31.57</v>
      </c>
      <c r="DF208" s="228">
        <v>31.65</v>
      </c>
      <c r="DG208" s="228">
        <v>-7.17</v>
      </c>
      <c r="DH208" s="228">
        <v>-0.08</v>
      </c>
      <c r="DI208" s="228">
        <v>24.29</v>
      </c>
      <c r="DJ208" s="228">
        <v>24.68</v>
      </c>
      <c r="DK208" s="228">
        <v>-0.39</v>
      </c>
      <c r="DL208" s="228">
        <v>-0.39</v>
      </c>
      <c r="DM208" s="228">
        <v>24.69</v>
      </c>
      <c r="DN208" s="228">
        <v>24.59</v>
      </c>
      <c r="DO208" s="228">
        <v>0.1</v>
      </c>
      <c r="DP208" s="228">
        <v>0.1</v>
      </c>
      <c r="DQ208" s="228">
        <v>0.62</v>
      </c>
      <c r="DR208" s="228">
        <v>0.63</v>
      </c>
      <c r="DS208" s="228">
        <v>-0.01</v>
      </c>
      <c r="DT208" s="229">
        <v>-1.5900000000000001E-2</v>
      </c>
      <c r="DU208" s="228">
        <v>800</v>
      </c>
      <c r="DV208" s="228">
        <v>800</v>
      </c>
      <c r="DW208" s="228">
        <v>0.38</v>
      </c>
      <c r="DX208" s="228">
        <v>0.42</v>
      </c>
      <c r="DY208" s="228">
        <v>-0.04</v>
      </c>
      <c r="DZ208" s="229">
        <v>-9.5200000000000007E-2</v>
      </c>
      <c r="EA208" s="229">
        <v>1.21E-2</v>
      </c>
      <c r="EB208" s="230">
        <v>456635</v>
      </c>
      <c r="EC208" s="229">
        <v>6.8999999999999999E-3</v>
      </c>
      <c r="ED208" s="229">
        <v>1.21E-2</v>
      </c>
      <c r="EE208" s="228">
        <v>5.28</v>
      </c>
      <c r="EF208" s="229">
        <v>6.6E-3</v>
      </c>
      <c r="EG208" s="230">
        <v>2850625</v>
      </c>
      <c r="EH208" s="230">
        <v>1260700</v>
      </c>
      <c r="EI208" s="229">
        <v>1.2611000000000001</v>
      </c>
      <c r="EJ208" s="229">
        <v>0.71560000000000001</v>
      </c>
      <c r="EK208" s="231">
        <v>1194.27</v>
      </c>
      <c r="EL208" s="228">
        <v>433.82</v>
      </c>
      <c r="EM208" s="228">
        <v>478.81</v>
      </c>
      <c r="EN208" s="228">
        <v>45.78</v>
      </c>
      <c r="EO208" s="231">
        <v>2106.9</v>
      </c>
      <c r="EP208" s="231">
        <v>1689.08</v>
      </c>
      <c r="EQ208" s="228">
        <v>417.82</v>
      </c>
      <c r="ER208" s="229">
        <v>0.24740000000000001</v>
      </c>
      <c r="ES208" s="231">
        <v>1044.5999999999999</v>
      </c>
      <c r="ET208" s="228">
        <v>611.82000000000005</v>
      </c>
      <c r="EU208" s="231">
        <v>3206.59</v>
      </c>
      <c r="EV208" s="231">
        <v>84228583</v>
      </c>
      <c r="EW208" s="231">
        <v>4863</v>
      </c>
      <c r="EX208" s="231">
        <v>4819.24</v>
      </c>
      <c r="EY208" s="228">
        <v>43.76</v>
      </c>
      <c r="EZ208" s="229">
        <v>9.1000000000000004E-3</v>
      </c>
      <c r="FA208" s="229">
        <v>0.71779999999999999</v>
      </c>
      <c r="FB208" s="227" t="s">
        <v>556</v>
      </c>
      <c r="FC208">
        <f t="shared" si="4"/>
        <v>0</v>
      </c>
    </row>
    <row r="209" spans="1:159" ht="17.25" thickBot="1" x14ac:dyDescent="0.3">
      <c r="A209" s="226">
        <v>46029</v>
      </c>
      <c r="B209" s="227" t="s">
        <v>168</v>
      </c>
      <c r="C209" s="227" t="s">
        <v>586</v>
      </c>
      <c r="D209" s="228">
        <v>1125</v>
      </c>
      <c r="E209" s="228">
        <v>20</v>
      </c>
      <c r="F209" s="228">
        <v>511.65</v>
      </c>
      <c r="G209" s="228">
        <v>500.85</v>
      </c>
      <c r="H209" s="228">
        <v>10.8</v>
      </c>
      <c r="I209" s="229">
        <v>2.1600000000000001E-2</v>
      </c>
      <c r="J209" s="228">
        <v>509.7</v>
      </c>
      <c r="K209" s="228">
        <v>498.85</v>
      </c>
      <c r="L209" s="228">
        <v>10.85</v>
      </c>
      <c r="M209" s="229">
        <v>2.18E-2</v>
      </c>
      <c r="N209" s="228">
        <v>511.65</v>
      </c>
      <c r="O209" s="228">
        <v>500.85</v>
      </c>
      <c r="P209" s="228">
        <v>10.8</v>
      </c>
      <c r="Q209" s="229">
        <v>2.1600000000000001E-2</v>
      </c>
      <c r="R209" s="228">
        <v>514.29999999999995</v>
      </c>
      <c r="S209" s="228">
        <v>503.75</v>
      </c>
      <c r="T209" s="228">
        <v>10.55</v>
      </c>
      <c r="U209" s="229">
        <v>2.0899999999999998E-2</v>
      </c>
      <c r="V209" s="228">
        <v>517.4</v>
      </c>
      <c r="W209" s="228">
        <v>507</v>
      </c>
      <c r="X209" s="228">
        <v>10.4</v>
      </c>
      <c r="Y209" s="229">
        <v>2.0500000000000001E-2</v>
      </c>
      <c r="Z209" s="228">
        <v>1.95</v>
      </c>
      <c r="AA209" s="228">
        <v>2</v>
      </c>
      <c r="AB209" s="228">
        <v>-0.05</v>
      </c>
      <c r="AC209" s="229">
        <v>3.8E-3</v>
      </c>
      <c r="AD209" s="228">
        <v>1.95</v>
      </c>
      <c r="AE209" s="228">
        <v>2</v>
      </c>
      <c r="AF209" s="228">
        <v>-0.05</v>
      </c>
      <c r="AG209" s="229">
        <v>3.8E-3</v>
      </c>
      <c r="AH209" s="228">
        <v>4.5999999999999996</v>
      </c>
      <c r="AI209" s="228">
        <v>4.9000000000000004</v>
      </c>
      <c r="AJ209" s="228">
        <v>-0.3</v>
      </c>
      <c r="AK209" s="229">
        <v>8.9999999999999993E-3</v>
      </c>
      <c r="AL209" s="228">
        <v>7.7</v>
      </c>
      <c r="AM209" s="228">
        <v>8.15</v>
      </c>
      <c r="AN209" s="228">
        <v>-0.45</v>
      </c>
      <c r="AO209" s="229">
        <v>1.5100000000000001E-2</v>
      </c>
      <c r="AP209" s="228">
        <v>507.82</v>
      </c>
      <c r="AQ209" s="228">
        <v>509.29</v>
      </c>
      <c r="AR209" s="228">
        <v>0</v>
      </c>
      <c r="AS209" s="228">
        <v>565</v>
      </c>
      <c r="AT209" s="228">
        <v>591</v>
      </c>
      <c r="AU209" s="228">
        <v>-27</v>
      </c>
      <c r="AV209" s="229">
        <v>-4.5199999999999997E-2</v>
      </c>
      <c r="AW209" s="228">
        <v>544</v>
      </c>
      <c r="AX209" s="228">
        <v>570</v>
      </c>
      <c r="AY209" s="228">
        <v>-25</v>
      </c>
      <c r="AZ209" s="229">
        <v>-4.48E-2</v>
      </c>
      <c r="BA209" s="228">
        <v>18</v>
      </c>
      <c r="BB209" s="228">
        <v>19</v>
      </c>
      <c r="BC209" s="228">
        <v>-2</v>
      </c>
      <c r="BD209" s="229">
        <v>-9.5000000000000001E-2</v>
      </c>
      <c r="BE209" s="228">
        <v>3</v>
      </c>
      <c r="BF209" s="228">
        <v>2</v>
      </c>
      <c r="BG209" s="228">
        <v>1</v>
      </c>
      <c r="BH209" s="229">
        <v>0.26829999999999998</v>
      </c>
      <c r="BI209" s="230">
        <v>1476</v>
      </c>
      <c r="BJ209" s="230">
        <v>1332</v>
      </c>
      <c r="BK209" s="228">
        <v>144</v>
      </c>
      <c r="BL209" s="229">
        <v>0.108</v>
      </c>
      <c r="BM209" s="228">
        <v>471</v>
      </c>
      <c r="BN209" s="228">
        <v>718</v>
      </c>
      <c r="BO209" s="228">
        <v>-247</v>
      </c>
      <c r="BP209" s="229">
        <v>-0.34439999999999998</v>
      </c>
      <c r="BQ209" s="230">
        <v>2511</v>
      </c>
      <c r="BR209" s="230">
        <v>2642</v>
      </c>
      <c r="BS209" s="228">
        <v>-130</v>
      </c>
      <c r="BT209" s="229">
        <v>-4.9200000000000001E-2</v>
      </c>
      <c r="BU209" s="230">
        <v>6107241</v>
      </c>
      <c r="BV209" s="230">
        <v>8367834</v>
      </c>
      <c r="BW209" s="230">
        <v>-2260593</v>
      </c>
      <c r="BX209" s="229">
        <v>-0.2702</v>
      </c>
      <c r="BY209" s="230">
        <v>2632</v>
      </c>
      <c r="BZ209" s="230">
        <v>2589</v>
      </c>
      <c r="CA209" s="228">
        <v>43</v>
      </c>
      <c r="CB209" s="229">
        <v>1.66E-2</v>
      </c>
      <c r="CC209" s="230">
        <v>2598</v>
      </c>
      <c r="CD209" s="230">
        <v>2556</v>
      </c>
      <c r="CE209" s="228">
        <v>43</v>
      </c>
      <c r="CF209" s="229">
        <v>1.67E-2</v>
      </c>
      <c r="CG209" s="228">
        <v>30</v>
      </c>
      <c r="CH209" s="228">
        <v>29</v>
      </c>
      <c r="CI209" s="228">
        <v>0</v>
      </c>
      <c r="CJ209" s="229">
        <v>3.8999999999999998E-3</v>
      </c>
      <c r="CK209" s="228">
        <v>4</v>
      </c>
      <c r="CL209" s="228">
        <v>4</v>
      </c>
      <c r="CM209" s="228">
        <v>0</v>
      </c>
      <c r="CN209" s="229">
        <v>4.1700000000000001E-2</v>
      </c>
      <c r="CO209" s="228">
        <v>521</v>
      </c>
      <c r="CP209" s="228">
        <v>558</v>
      </c>
      <c r="CQ209" s="228">
        <v>-37</v>
      </c>
      <c r="CR209" s="229">
        <v>-6.5799999999999997E-2</v>
      </c>
      <c r="CS209" s="228">
        <v>414</v>
      </c>
      <c r="CT209" s="228">
        <v>386</v>
      </c>
      <c r="CU209" s="228">
        <v>28</v>
      </c>
      <c r="CV209" s="229">
        <v>7.1800000000000003E-2</v>
      </c>
      <c r="CW209" s="230">
        <v>3567</v>
      </c>
      <c r="CX209" s="230">
        <v>3533</v>
      </c>
      <c r="CY209" s="228">
        <v>34</v>
      </c>
      <c r="CZ209" s="229">
        <v>9.5999999999999992E-3</v>
      </c>
      <c r="DA209" s="228">
        <v>27.15</v>
      </c>
      <c r="DB209" s="228">
        <v>28.03</v>
      </c>
      <c r="DC209" s="228">
        <v>-0.88</v>
      </c>
      <c r="DD209" s="228">
        <v>-0.88</v>
      </c>
      <c r="DE209" s="228">
        <v>37.17</v>
      </c>
      <c r="DF209" s="228">
        <v>37.15</v>
      </c>
      <c r="DG209" s="228">
        <v>-10.02</v>
      </c>
      <c r="DH209" s="228">
        <v>0.02</v>
      </c>
      <c r="DI209" s="228">
        <v>26.91</v>
      </c>
      <c r="DJ209" s="228">
        <v>27.91</v>
      </c>
      <c r="DK209" s="228">
        <v>-1</v>
      </c>
      <c r="DL209" s="228">
        <v>-1</v>
      </c>
      <c r="DM209" s="228">
        <v>27.87</v>
      </c>
      <c r="DN209" s="228">
        <v>28.26</v>
      </c>
      <c r="DO209" s="228">
        <v>-0.39</v>
      </c>
      <c r="DP209" s="228">
        <v>-0.39</v>
      </c>
      <c r="DQ209" s="228">
        <v>0.79</v>
      </c>
      <c r="DR209" s="228">
        <v>0.69</v>
      </c>
      <c r="DS209" s="228">
        <v>0.1</v>
      </c>
      <c r="DT209" s="229">
        <v>0.1449</v>
      </c>
      <c r="DU209" s="228">
        <v>500</v>
      </c>
      <c r="DV209" s="228">
        <v>475</v>
      </c>
      <c r="DW209" s="228">
        <v>0.32</v>
      </c>
      <c r="DX209" s="228">
        <v>0.54</v>
      </c>
      <c r="DY209" s="228">
        <v>-0.22</v>
      </c>
      <c r="DZ209" s="229">
        <v>-0.40739999999999998</v>
      </c>
      <c r="EA209" s="229">
        <v>1.29E-2</v>
      </c>
      <c r="EB209" s="230">
        <v>655875</v>
      </c>
      <c r="EC209" s="229">
        <v>5.1999999999999998E-3</v>
      </c>
      <c r="ED209" s="229">
        <v>1.29E-2</v>
      </c>
      <c r="EE209" s="228">
        <v>1.47</v>
      </c>
      <c r="EF209" s="229">
        <v>2.8999999999999998E-3</v>
      </c>
      <c r="EG209" s="230">
        <v>2959851</v>
      </c>
      <c r="EH209" s="230">
        <v>4481667</v>
      </c>
      <c r="EI209" s="229">
        <v>-0.33960000000000001</v>
      </c>
      <c r="EJ209" s="229">
        <v>0.48459999999999998</v>
      </c>
      <c r="EK209" s="231">
        <v>1516.63</v>
      </c>
      <c r="EL209" s="228">
        <v>455.13</v>
      </c>
      <c r="EM209" s="228">
        <v>560.46</v>
      </c>
      <c r="EN209" s="228">
        <v>60.03</v>
      </c>
      <c r="EO209" s="231">
        <v>2532.2199999999998</v>
      </c>
      <c r="EP209" s="231">
        <v>2593.64</v>
      </c>
      <c r="EQ209" s="228">
        <v>-61.42</v>
      </c>
      <c r="ER209" s="229">
        <v>-2.3699999999999999E-2</v>
      </c>
      <c r="ES209" s="228">
        <v>522.45000000000005</v>
      </c>
      <c r="ET209" s="228">
        <v>383.24</v>
      </c>
      <c r="EU209" s="231">
        <v>2632.16</v>
      </c>
      <c r="EV209" s="231">
        <v>205761118</v>
      </c>
      <c r="EW209" s="231">
        <v>3537.85</v>
      </c>
      <c r="EX209" s="231">
        <v>3447.98</v>
      </c>
      <c r="EY209" s="228">
        <v>89.87</v>
      </c>
      <c r="EZ209" s="229">
        <v>2.6100000000000002E-2</v>
      </c>
      <c r="FA209" s="229">
        <v>0.33879999999999999</v>
      </c>
      <c r="FB209" s="227" t="s">
        <v>555</v>
      </c>
      <c r="FC209">
        <f t="shared" si="4"/>
        <v>0</v>
      </c>
    </row>
    <row r="210" spans="1:159" ht="17.25" thickBot="1" x14ac:dyDescent="0.3">
      <c r="A210" s="226">
        <v>46029</v>
      </c>
      <c r="B210" s="227" t="s">
        <v>227</v>
      </c>
      <c r="C210" s="227" t="s">
        <v>304</v>
      </c>
      <c r="D210" s="228">
        <v>1150</v>
      </c>
      <c r="E210" s="228">
        <v>20</v>
      </c>
      <c r="F210" s="228">
        <v>622.20000000000005</v>
      </c>
      <c r="G210" s="228">
        <v>622.1</v>
      </c>
      <c r="H210" s="228">
        <v>0.1</v>
      </c>
      <c r="I210" s="229">
        <v>2.0000000000000001E-4</v>
      </c>
      <c r="J210" s="228">
        <v>622.20000000000005</v>
      </c>
      <c r="K210" s="228">
        <v>621.75</v>
      </c>
      <c r="L210" s="228">
        <v>0.45</v>
      </c>
      <c r="M210" s="229">
        <v>6.9999999999999999E-4</v>
      </c>
      <c r="N210" s="228">
        <v>622.20000000000005</v>
      </c>
      <c r="O210" s="228">
        <v>622.1</v>
      </c>
      <c r="P210" s="228">
        <v>0.1</v>
      </c>
      <c r="Q210" s="229">
        <v>2.0000000000000001E-4</v>
      </c>
      <c r="R210" s="228">
        <v>623.29999999999995</v>
      </c>
      <c r="S210" s="228">
        <v>623.45000000000005</v>
      </c>
      <c r="T210" s="228">
        <v>-0.15</v>
      </c>
      <c r="U210" s="229">
        <v>-2.0000000000000001E-4</v>
      </c>
      <c r="V210" s="228">
        <v>624.1</v>
      </c>
      <c r="W210" s="228">
        <v>624.54999999999995</v>
      </c>
      <c r="X210" s="228">
        <v>-0.45</v>
      </c>
      <c r="Y210" s="229">
        <v>-6.9999999999999999E-4</v>
      </c>
      <c r="Z210" s="228">
        <v>0</v>
      </c>
      <c r="AA210" s="228">
        <v>0.35</v>
      </c>
      <c r="AB210" s="228">
        <v>-0.35</v>
      </c>
      <c r="AC210" s="229">
        <v>0</v>
      </c>
      <c r="AD210" s="228">
        <v>0</v>
      </c>
      <c r="AE210" s="228">
        <v>0.35</v>
      </c>
      <c r="AF210" s="228">
        <v>-0.35</v>
      </c>
      <c r="AG210" s="229">
        <v>0</v>
      </c>
      <c r="AH210" s="228">
        <v>1.1000000000000001</v>
      </c>
      <c r="AI210" s="228">
        <v>1.7</v>
      </c>
      <c r="AJ210" s="228">
        <v>-0.6</v>
      </c>
      <c r="AK210" s="229">
        <v>1.8E-3</v>
      </c>
      <c r="AL210" s="228">
        <v>1.9</v>
      </c>
      <c r="AM210" s="228">
        <v>2.8</v>
      </c>
      <c r="AN210" s="228">
        <v>-0.9</v>
      </c>
      <c r="AO210" s="229">
        <v>3.0999999999999999E-3</v>
      </c>
      <c r="AP210" s="228">
        <v>623.84</v>
      </c>
      <c r="AQ210" s="228">
        <v>625.63</v>
      </c>
      <c r="AR210" s="228">
        <v>0</v>
      </c>
      <c r="AS210" s="228">
        <v>842</v>
      </c>
      <c r="AT210" s="230">
        <v>1037</v>
      </c>
      <c r="AU210" s="228">
        <v>-194</v>
      </c>
      <c r="AV210" s="229">
        <v>-0.18740000000000001</v>
      </c>
      <c r="AW210" s="228">
        <v>772</v>
      </c>
      <c r="AX210" s="228">
        <v>959</v>
      </c>
      <c r="AY210" s="228">
        <v>-187</v>
      </c>
      <c r="AZ210" s="229">
        <v>-0.19520000000000001</v>
      </c>
      <c r="BA210" s="228">
        <v>62</v>
      </c>
      <c r="BB210" s="228">
        <v>54</v>
      </c>
      <c r="BC210" s="228">
        <v>8</v>
      </c>
      <c r="BD210" s="229">
        <v>0.14019999999999999</v>
      </c>
      <c r="BE210" s="228">
        <v>9</v>
      </c>
      <c r="BF210" s="228">
        <v>23</v>
      </c>
      <c r="BG210" s="228">
        <v>-15</v>
      </c>
      <c r="BH210" s="229">
        <v>-0.62960000000000005</v>
      </c>
      <c r="BI210" s="230">
        <v>2283</v>
      </c>
      <c r="BJ210" s="230">
        <v>3269</v>
      </c>
      <c r="BK210" s="228">
        <v>-986</v>
      </c>
      <c r="BL210" s="229">
        <v>-0.30159999999999998</v>
      </c>
      <c r="BM210" s="230">
        <v>1426</v>
      </c>
      <c r="BN210" s="230">
        <v>1558</v>
      </c>
      <c r="BO210" s="228">
        <v>-132</v>
      </c>
      <c r="BP210" s="229">
        <v>-8.4599999999999995E-2</v>
      </c>
      <c r="BQ210" s="230">
        <v>4551</v>
      </c>
      <c r="BR210" s="230">
        <v>5863</v>
      </c>
      <c r="BS210" s="230">
        <v>-1312</v>
      </c>
      <c r="BT210" s="229">
        <v>-0.2238</v>
      </c>
      <c r="BU210" s="230">
        <v>10714747</v>
      </c>
      <c r="BV210" s="230">
        <v>11357273</v>
      </c>
      <c r="BW210" s="230">
        <v>-642526</v>
      </c>
      <c r="BX210" s="229">
        <v>-5.6599999999999998E-2</v>
      </c>
      <c r="BY210" s="230">
        <v>5593</v>
      </c>
      <c r="BZ210" s="230">
        <v>5680</v>
      </c>
      <c r="CA210" s="228">
        <v>-87</v>
      </c>
      <c r="CB210" s="229">
        <v>-1.54E-2</v>
      </c>
      <c r="CC210" s="230">
        <v>5431</v>
      </c>
      <c r="CD210" s="230">
        <v>5537</v>
      </c>
      <c r="CE210" s="228">
        <v>-105</v>
      </c>
      <c r="CF210" s="229">
        <v>-1.9E-2</v>
      </c>
      <c r="CG210" s="228">
        <v>134</v>
      </c>
      <c r="CH210" s="228">
        <v>116</v>
      </c>
      <c r="CI210" s="228">
        <v>17</v>
      </c>
      <c r="CJ210" s="229">
        <v>0.14680000000000001</v>
      </c>
      <c r="CK210" s="228">
        <v>28</v>
      </c>
      <c r="CL210" s="228">
        <v>27</v>
      </c>
      <c r="CM210" s="228">
        <v>1</v>
      </c>
      <c r="CN210" s="229">
        <v>3.49E-2</v>
      </c>
      <c r="CO210" s="230">
        <v>2531</v>
      </c>
      <c r="CP210" s="230">
        <v>2474</v>
      </c>
      <c r="CQ210" s="228">
        <v>57</v>
      </c>
      <c r="CR210" s="229">
        <v>2.3099999999999999E-2</v>
      </c>
      <c r="CS210" s="230">
        <v>1506</v>
      </c>
      <c r="CT210" s="230">
        <v>1439</v>
      </c>
      <c r="CU210" s="228">
        <v>67</v>
      </c>
      <c r="CV210" s="229">
        <v>4.6300000000000001E-2</v>
      </c>
      <c r="CW210" s="230">
        <v>9629</v>
      </c>
      <c r="CX210" s="230">
        <v>9593</v>
      </c>
      <c r="CY210" s="228">
        <v>36</v>
      </c>
      <c r="CZ210" s="229">
        <v>3.8E-3</v>
      </c>
      <c r="DA210" s="228">
        <v>30.28</v>
      </c>
      <c r="DB210" s="228">
        <v>29.75</v>
      </c>
      <c r="DC210" s="228">
        <v>0.53</v>
      </c>
      <c r="DD210" s="228">
        <v>0.53</v>
      </c>
      <c r="DE210" s="228">
        <v>36.33</v>
      </c>
      <c r="DF210" s="228">
        <v>36.42</v>
      </c>
      <c r="DG210" s="228">
        <v>-6.05</v>
      </c>
      <c r="DH210" s="228">
        <v>-0.09</v>
      </c>
      <c r="DI210" s="228">
        <v>30.51</v>
      </c>
      <c r="DJ210" s="228">
        <v>29.79</v>
      </c>
      <c r="DK210" s="228">
        <v>0.72</v>
      </c>
      <c r="DL210" s="228">
        <v>0.72</v>
      </c>
      <c r="DM210" s="228">
        <v>29.89</v>
      </c>
      <c r="DN210" s="228">
        <v>29.66</v>
      </c>
      <c r="DO210" s="228">
        <v>0.23</v>
      </c>
      <c r="DP210" s="228">
        <v>0.23</v>
      </c>
      <c r="DQ210" s="228">
        <v>0.59</v>
      </c>
      <c r="DR210" s="228">
        <v>0.57999999999999996</v>
      </c>
      <c r="DS210" s="228">
        <v>0.01</v>
      </c>
      <c r="DT210" s="229">
        <v>1.72E-2</v>
      </c>
      <c r="DU210" s="228">
        <v>650</v>
      </c>
      <c r="DV210" s="228">
        <v>600</v>
      </c>
      <c r="DW210" s="228">
        <v>0.62</v>
      </c>
      <c r="DX210" s="228">
        <v>0.48</v>
      </c>
      <c r="DY210" s="228">
        <v>0.14000000000000001</v>
      </c>
      <c r="DZ210" s="229">
        <v>0.29170000000000001</v>
      </c>
      <c r="EA210" s="229">
        <v>2.8799999999999999E-2</v>
      </c>
      <c r="EB210" s="230">
        <v>2300000</v>
      </c>
      <c r="EC210" s="229">
        <v>1.8E-3</v>
      </c>
      <c r="ED210" s="229">
        <v>2.8799999999999999E-2</v>
      </c>
      <c r="EE210" s="228">
        <v>1.79</v>
      </c>
      <c r="EF210" s="229">
        <v>2.8999999999999998E-3</v>
      </c>
      <c r="EG210" s="230">
        <v>6397645</v>
      </c>
      <c r="EH210" s="230">
        <v>5406884</v>
      </c>
      <c r="EI210" s="229">
        <v>0.1832</v>
      </c>
      <c r="EJ210" s="229">
        <v>0.59709999999999996</v>
      </c>
      <c r="EK210" s="231">
        <v>2400.62</v>
      </c>
      <c r="EL210" s="231">
        <v>1403.86</v>
      </c>
      <c r="EM210" s="228">
        <v>844.77</v>
      </c>
      <c r="EN210" s="228">
        <v>109.59</v>
      </c>
      <c r="EO210" s="231">
        <v>4649.25</v>
      </c>
      <c r="EP210" s="231">
        <v>5993.92</v>
      </c>
      <c r="EQ210" s="231">
        <v>-1344.66</v>
      </c>
      <c r="ER210" s="229">
        <v>-0.2243</v>
      </c>
      <c r="ES210" s="231">
        <v>2557.1799999999998</v>
      </c>
      <c r="ET210" s="231">
        <v>1388.12</v>
      </c>
      <c r="EU210" s="231">
        <v>5592.83</v>
      </c>
      <c r="EV210" s="231">
        <v>255091106</v>
      </c>
      <c r="EW210" s="231">
        <v>9538.1200000000008</v>
      </c>
      <c r="EX210" s="231">
        <v>9496.15</v>
      </c>
      <c r="EY210" s="228">
        <v>41.97</v>
      </c>
      <c r="EZ210" s="229">
        <v>4.4000000000000003E-3</v>
      </c>
      <c r="FA210" s="229">
        <v>0.60670000000000002</v>
      </c>
      <c r="FB210" s="227" t="s">
        <v>556</v>
      </c>
      <c r="FC210">
        <f t="shared" si="4"/>
        <v>0</v>
      </c>
    </row>
    <row r="211" spans="1:159" ht="17.25" thickBot="1" x14ac:dyDescent="0.3">
      <c r="A211" s="226">
        <v>46029</v>
      </c>
      <c r="B211" s="227" t="s">
        <v>184</v>
      </c>
      <c r="C211" s="227" t="s">
        <v>305</v>
      </c>
      <c r="D211" s="228">
        <v>375</v>
      </c>
      <c r="E211" s="228">
        <v>20</v>
      </c>
      <c r="F211" s="231">
        <v>1510.1</v>
      </c>
      <c r="G211" s="231">
        <v>1491.5</v>
      </c>
      <c r="H211" s="228">
        <v>18.600000000000001</v>
      </c>
      <c r="I211" s="229">
        <v>1.2500000000000001E-2</v>
      </c>
      <c r="J211" s="231">
        <v>1507.6</v>
      </c>
      <c r="K211" s="231">
        <v>1486.2</v>
      </c>
      <c r="L211" s="228">
        <v>21.4</v>
      </c>
      <c r="M211" s="229">
        <v>1.44E-2</v>
      </c>
      <c r="N211" s="231">
        <v>1510.1</v>
      </c>
      <c r="O211" s="231">
        <v>1491.5</v>
      </c>
      <c r="P211" s="228">
        <v>18.600000000000001</v>
      </c>
      <c r="Q211" s="229">
        <v>1.2500000000000001E-2</v>
      </c>
      <c r="R211" s="231">
        <v>1505.2</v>
      </c>
      <c r="S211" s="231">
        <v>1484</v>
      </c>
      <c r="T211" s="228">
        <v>21.2</v>
      </c>
      <c r="U211" s="229">
        <v>1.43E-2</v>
      </c>
      <c r="V211" s="231">
        <v>1502.2</v>
      </c>
      <c r="W211" s="231">
        <v>1478.4</v>
      </c>
      <c r="X211" s="228">
        <v>23.8</v>
      </c>
      <c r="Y211" s="229">
        <v>1.61E-2</v>
      </c>
      <c r="Z211" s="228">
        <v>2.5</v>
      </c>
      <c r="AA211" s="228">
        <v>5.3</v>
      </c>
      <c r="AB211" s="228">
        <v>-2.8</v>
      </c>
      <c r="AC211" s="229">
        <v>1.6999999999999999E-3</v>
      </c>
      <c r="AD211" s="228">
        <v>2.5</v>
      </c>
      <c r="AE211" s="228">
        <v>5.3</v>
      </c>
      <c r="AF211" s="228">
        <v>-2.8</v>
      </c>
      <c r="AG211" s="229">
        <v>1.6999999999999999E-3</v>
      </c>
      <c r="AH211" s="228">
        <v>-2.4</v>
      </c>
      <c r="AI211" s="228">
        <v>-2.2000000000000002</v>
      </c>
      <c r="AJ211" s="228">
        <v>-0.2</v>
      </c>
      <c r="AK211" s="229">
        <v>-1.6000000000000001E-3</v>
      </c>
      <c r="AL211" s="228">
        <v>-5.4</v>
      </c>
      <c r="AM211" s="228">
        <v>-7.8</v>
      </c>
      <c r="AN211" s="228">
        <v>2.4</v>
      </c>
      <c r="AO211" s="229">
        <v>-3.5999999999999999E-3</v>
      </c>
      <c r="AP211" s="231">
        <v>1505.45</v>
      </c>
      <c r="AQ211" s="231">
        <v>1501.87</v>
      </c>
      <c r="AR211" s="228">
        <v>0</v>
      </c>
      <c r="AS211" s="228">
        <v>252</v>
      </c>
      <c r="AT211" s="228">
        <v>402</v>
      </c>
      <c r="AU211" s="228">
        <v>-150</v>
      </c>
      <c r="AV211" s="229">
        <v>-0.37259999999999999</v>
      </c>
      <c r="AW211" s="228">
        <v>234</v>
      </c>
      <c r="AX211" s="228">
        <v>385</v>
      </c>
      <c r="AY211" s="228">
        <v>-151</v>
      </c>
      <c r="AZ211" s="229">
        <v>-0.39179999999999998</v>
      </c>
      <c r="BA211" s="228">
        <v>16</v>
      </c>
      <c r="BB211" s="228">
        <v>15</v>
      </c>
      <c r="BC211" s="228">
        <v>1</v>
      </c>
      <c r="BD211" s="229">
        <v>6.0400000000000002E-2</v>
      </c>
      <c r="BE211" s="228">
        <v>2</v>
      </c>
      <c r="BF211" s="228">
        <v>2</v>
      </c>
      <c r="BG211" s="228">
        <v>0</v>
      </c>
      <c r="BH211" s="229">
        <v>0</v>
      </c>
      <c r="BI211" s="228">
        <v>796</v>
      </c>
      <c r="BJ211" s="230">
        <v>1247</v>
      </c>
      <c r="BK211" s="228">
        <v>-451</v>
      </c>
      <c r="BL211" s="229">
        <v>-0.3619</v>
      </c>
      <c r="BM211" s="228">
        <v>458</v>
      </c>
      <c r="BN211" s="228">
        <v>559</v>
      </c>
      <c r="BO211" s="228">
        <v>-102</v>
      </c>
      <c r="BP211" s="229">
        <v>-0.1817</v>
      </c>
      <c r="BQ211" s="230">
        <v>1506</v>
      </c>
      <c r="BR211" s="230">
        <v>2209</v>
      </c>
      <c r="BS211" s="228">
        <v>-703</v>
      </c>
      <c r="BT211" s="229">
        <v>-0.31819999999999998</v>
      </c>
      <c r="BU211" s="230">
        <v>1202377</v>
      </c>
      <c r="BV211" s="230">
        <v>1301058</v>
      </c>
      <c r="BW211" s="230">
        <v>-98681</v>
      </c>
      <c r="BX211" s="229">
        <v>-7.5800000000000006E-2</v>
      </c>
      <c r="BY211" s="230">
        <v>1556</v>
      </c>
      <c r="BZ211" s="230">
        <v>1568</v>
      </c>
      <c r="CA211" s="228">
        <v>-12</v>
      </c>
      <c r="CB211" s="229">
        <v>-7.4000000000000003E-3</v>
      </c>
      <c r="CC211" s="230">
        <v>1515</v>
      </c>
      <c r="CD211" s="230">
        <v>1530</v>
      </c>
      <c r="CE211" s="228">
        <v>-15</v>
      </c>
      <c r="CF211" s="229">
        <v>-9.7999999999999997E-3</v>
      </c>
      <c r="CG211" s="228">
        <v>35</v>
      </c>
      <c r="CH211" s="228">
        <v>31</v>
      </c>
      <c r="CI211" s="228">
        <v>4</v>
      </c>
      <c r="CJ211" s="229">
        <v>0.12709999999999999</v>
      </c>
      <c r="CK211" s="228">
        <v>7</v>
      </c>
      <c r="CL211" s="228">
        <v>7</v>
      </c>
      <c r="CM211" s="228">
        <v>0</v>
      </c>
      <c r="CN211" s="229">
        <v>-5.6500000000000002E-2</v>
      </c>
      <c r="CO211" s="228">
        <v>446</v>
      </c>
      <c r="CP211" s="228">
        <v>452</v>
      </c>
      <c r="CQ211" s="228">
        <v>-6</v>
      </c>
      <c r="CR211" s="229">
        <v>-1.24E-2</v>
      </c>
      <c r="CS211" s="228">
        <v>509</v>
      </c>
      <c r="CT211" s="228">
        <v>432</v>
      </c>
      <c r="CU211" s="228">
        <v>77</v>
      </c>
      <c r="CV211" s="229">
        <v>0.17929999999999999</v>
      </c>
      <c r="CW211" s="230">
        <v>2512</v>
      </c>
      <c r="CX211" s="230">
        <v>2451</v>
      </c>
      <c r="CY211" s="228">
        <v>60</v>
      </c>
      <c r="CZ211" s="229">
        <v>2.46E-2</v>
      </c>
      <c r="DA211" s="228">
        <v>25.63</v>
      </c>
      <c r="DB211" s="228">
        <v>26.17</v>
      </c>
      <c r="DC211" s="228">
        <v>-0.54</v>
      </c>
      <c r="DD211" s="228">
        <v>-0.54</v>
      </c>
      <c r="DE211" s="228">
        <v>36.07</v>
      </c>
      <c r="DF211" s="228">
        <v>36.11</v>
      </c>
      <c r="DG211" s="228">
        <v>-10.44</v>
      </c>
      <c r="DH211" s="228">
        <v>-0.04</v>
      </c>
      <c r="DI211" s="228">
        <v>24.92</v>
      </c>
      <c r="DJ211" s="228">
        <v>25.84</v>
      </c>
      <c r="DK211" s="228">
        <v>-0.92</v>
      </c>
      <c r="DL211" s="228">
        <v>-0.92</v>
      </c>
      <c r="DM211" s="228">
        <v>26.85</v>
      </c>
      <c r="DN211" s="228">
        <v>26.89</v>
      </c>
      <c r="DO211" s="228">
        <v>-0.04</v>
      </c>
      <c r="DP211" s="228">
        <v>-0.04</v>
      </c>
      <c r="DQ211" s="228">
        <v>1.1399999999999999</v>
      </c>
      <c r="DR211" s="228">
        <v>0.96</v>
      </c>
      <c r="DS211" s="228">
        <v>0.18</v>
      </c>
      <c r="DT211" s="229">
        <v>0.1875</v>
      </c>
      <c r="DU211" s="231">
        <v>1600</v>
      </c>
      <c r="DV211" s="231">
        <v>1400</v>
      </c>
      <c r="DW211" s="228">
        <v>0.57999999999999996</v>
      </c>
      <c r="DX211" s="228">
        <v>0.45</v>
      </c>
      <c r="DY211" s="228">
        <v>0.13</v>
      </c>
      <c r="DZ211" s="229">
        <v>0.28889999999999999</v>
      </c>
      <c r="EA211" s="229">
        <v>2.6499999999999999E-2</v>
      </c>
      <c r="EB211" s="230">
        <v>250125</v>
      </c>
      <c r="EC211" s="229">
        <v>-3.2000000000000002E-3</v>
      </c>
      <c r="ED211" s="229">
        <v>2.6499999999999999E-2</v>
      </c>
      <c r="EE211" s="228">
        <v>-3.58</v>
      </c>
      <c r="EF211" s="229">
        <v>-2.3999999999999998E-3</v>
      </c>
      <c r="EG211" s="230">
        <v>831888</v>
      </c>
      <c r="EH211" s="230">
        <v>616179</v>
      </c>
      <c r="EI211" s="229">
        <v>0.35010000000000002</v>
      </c>
      <c r="EJ211" s="229">
        <v>0.69189999999999996</v>
      </c>
      <c r="EK211" s="228">
        <v>822.96</v>
      </c>
      <c r="EL211" s="228">
        <v>442.21</v>
      </c>
      <c r="EM211" s="228">
        <v>251.51</v>
      </c>
      <c r="EN211" s="228">
        <v>59.01</v>
      </c>
      <c r="EO211" s="231">
        <v>1516.68</v>
      </c>
      <c r="EP211" s="231">
        <v>2220.1</v>
      </c>
      <c r="EQ211" s="228">
        <v>-703.42</v>
      </c>
      <c r="ER211" s="229">
        <v>-0.31680000000000003</v>
      </c>
      <c r="ES211" s="228">
        <v>448.4</v>
      </c>
      <c r="ET211" s="228">
        <v>469.26</v>
      </c>
      <c r="EU211" s="231">
        <v>1556.01</v>
      </c>
      <c r="EV211" s="231">
        <v>34594689</v>
      </c>
      <c r="EW211" s="231">
        <v>2473.67</v>
      </c>
      <c r="EX211" s="231">
        <v>2395.6999999999998</v>
      </c>
      <c r="EY211" s="228">
        <v>77.97</v>
      </c>
      <c r="EZ211" s="229">
        <v>3.2500000000000001E-2</v>
      </c>
      <c r="FA211" s="229">
        <v>0.48080000000000001</v>
      </c>
      <c r="FB211" s="227" t="s">
        <v>556</v>
      </c>
      <c r="FC211">
        <f t="shared" si="4"/>
        <v>0</v>
      </c>
    </row>
    <row r="212" spans="1:159" ht="17.25" thickBot="1" x14ac:dyDescent="0.3">
      <c r="A212" s="226">
        <v>46029</v>
      </c>
      <c r="B212" s="227" t="s">
        <v>184</v>
      </c>
      <c r="C212" s="227" t="s">
        <v>692</v>
      </c>
      <c r="D212" s="228">
        <v>175</v>
      </c>
      <c r="E212" s="228">
        <v>20</v>
      </c>
      <c r="F212" s="231">
        <v>2674.2</v>
      </c>
      <c r="G212" s="231">
        <v>2633.6</v>
      </c>
      <c r="H212" s="228">
        <v>40.6</v>
      </c>
      <c r="I212" s="229">
        <v>1.54E-2</v>
      </c>
      <c r="J212" s="231">
        <v>2673.1</v>
      </c>
      <c r="K212" s="231">
        <v>2634.4</v>
      </c>
      <c r="L212" s="228">
        <v>38.700000000000003</v>
      </c>
      <c r="M212" s="229">
        <v>1.47E-2</v>
      </c>
      <c r="N212" s="231">
        <v>2674.2</v>
      </c>
      <c r="O212" s="231">
        <v>2633.6</v>
      </c>
      <c r="P212" s="228">
        <v>40.6</v>
      </c>
      <c r="Q212" s="229">
        <v>1.54E-2</v>
      </c>
      <c r="R212" s="231">
        <v>2676.3</v>
      </c>
      <c r="S212" s="231">
        <v>2633</v>
      </c>
      <c r="T212" s="228">
        <v>43.3</v>
      </c>
      <c r="U212" s="229">
        <v>1.6400000000000001E-2</v>
      </c>
      <c r="V212" s="231">
        <v>2675.5</v>
      </c>
      <c r="W212" s="231">
        <v>2638</v>
      </c>
      <c r="X212" s="228">
        <v>37.5</v>
      </c>
      <c r="Y212" s="229">
        <v>1.4200000000000001E-2</v>
      </c>
      <c r="Z212" s="228">
        <v>1.1000000000000001</v>
      </c>
      <c r="AA212" s="228">
        <v>-0.8</v>
      </c>
      <c r="AB212" s="228">
        <v>1.9</v>
      </c>
      <c r="AC212" s="229">
        <v>4.0000000000000002E-4</v>
      </c>
      <c r="AD212" s="228">
        <v>1.1000000000000001</v>
      </c>
      <c r="AE212" s="228">
        <v>-0.8</v>
      </c>
      <c r="AF212" s="228">
        <v>1.9</v>
      </c>
      <c r="AG212" s="229">
        <v>4.0000000000000002E-4</v>
      </c>
      <c r="AH212" s="228">
        <v>3.2</v>
      </c>
      <c r="AI212" s="228">
        <v>-1.4</v>
      </c>
      <c r="AJ212" s="228">
        <v>4.5999999999999996</v>
      </c>
      <c r="AK212" s="229">
        <v>1.1999999999999999E-3</v>
      </c>
      <c r="AL212" s="228">
        <v>2.4</v>
      </c>
      <c r="AM212" s="228">
        <v>3.6</v>
      </c>
      <c r="AN212" s="228">
        <v>-1.2</v>
      </c>
      <c r="AO212" s="229">
        <v>8.9999999999999998E-4</v>
      </c>
      <c r="AP212" s="231">
        <v>2640</v>
      </c>
      <c r="AQ212" s="231">
        <v>2639.4</v>
      </c>
      <c r="AR212" s="228">
        <v>0</v>
      </c>
      <c r="AS212" s="228">
        <v>258</v>
      </c>
      <c r="AT212" s="228">
        <v>453</v>
      </c>
      <c r="AU212" s="228">
        <v>-194</v>
      </c>
      <c r="AV212" s="229">
        <v>-0.42909999999999998</v>
      </c>
      <c r="AW212" s="228">
        <v>190</v>
      </c>
      <c r="AX212" s="228">
        <v>396</v>
      </c>
      <c r="AY212" s="228">
        <v>-206</v>
      </c>
      <c r="AZ212" s="229">
        <v>-0.51919999999999999</v>
      </c>
      <c r="BA212" s="228">
        <v>65</v>
      </c>
      <c r="BB212" s="228">
        <v>53</v>
      </c>
      <c r="BC212" s="228">
        <v>12</v>
      </c>
      <c r="BD212" s="229">
        <v>0.22500000000000001</v>
      </c>
      <c r="BE212" s="228">
        <v>3</v>
      </c>
      <c r="BF212" s="228">
        <v>4</v>
      </c>
      <c r="BG212" s="228">
        <v>0</v>
      </c>
      <c r="BH212" s="229">
        <v>-0.125</v>
      </c>
      <c r="BI212" s="228">
        <v>689</v>
      </c>
      <c r="BJ212" s="230">
        <v>1190</v>
      </c>
      <c r="BK212" s="228">
        <v>-501</v>
      </c>
      <c r="BL212" s="229">
        <v>-0.4209</v>
      </c>
      <c r="BM212" s="228">
        <v>231</v>
      </c>
      <c r="BN212" s="230">
        <v>1002</v>
      </c>
      <c r="BO212" s="228">
        <v>-770</v>
      </c>
      <c r="BP212" s="229">
        <v>-0.76900000000000002</v>
      </c>
      <c r="BQ212" s="230">
        <v>1179</v>
      </c>
      <c r="BR212" s="230">
        <v>2645</v>
      </c>
      <c r="BS212" s="230">
        <v>-1465</v>
      </c>
      <c r="BT212" s="229">
        <v>-0.55410000000000004</v>
      </c>
      <c r="BU212" s="230">
        <v>1623062</v>
      </c>
      <c r="BV212" s="230">
        <v>2812155</v>
      </c>
      <c r="BW212" s="230">
        <v>-1189093</v>
      </c>
      <c r="BX212" s="229">
        <v>-0.42280000000000001</v>
      </c>
      <c r="BY212" s="228">
        <v>719</v>
      </c>
      <c r="BZ212" s="228">
        <v>646</v>
      </c>
      <c r="CA212" s="228">
        <v>73</v>
      </c>
      <c r="CB212" s="229">
        <v>0.11260000000000001</v>
      </c>
      <c r="CC212" s="228">
        <v>615</v>
      </c>
      <c r="CD212" s="228">
        <v>585</v>
      </c>
      <c r="CE212" s="228">
        <v>29</v>
      </c>
      <c r="CF212" s="229">
        <v>0.05</v>
      </c>
      <c r="CG212" s="228">
        <v>97</v>
      </c>
      <c r="CH212" s="228">
        <v>55</v>
      </c>
      <c r="CI212" s="228">
        <v>43</v>
      </c>
      <c r="CJ212" s="229">
        <v>0.78469999999999995</v>
      </c>
      <c r="CK212" s="228">
        <v>7</v>
      </c>
      <c r="CL212" s="228">
        <v>6</v>
      </c>
      <c r="CM212" s="228">
        <v>1</v>
      </c>
      <c r="CN212" s="229">
        <v>0.1085</v>
      </c>
      <c r="CO212" s="228">
        <v>596</v>
      </c>
      <c r="CP212" s="228">
        <v>579</v>
      </c>
      <c r="CQ212" s="228">
        <v>17</v>
      </c>
      <c r="CR212" s="229">
        <v>2.9000000000000001E-2</v>
      </c>
      <c r="CS212" s="228">
        <v>280</v>
      </c>
      <c r="CT212" s="228">
        <v>258</v>
      </c>
      <c r="CU212" s="228">
        <v>22</v>
      </c>
      <c r="CV212" s="229">
        <v>8.4599999999999995E-2</v>
      </c>
      <c r="CW212" s="230">
        <v>1595</v>
      </c>
      <c r="CX212" s="230">
        <v>1484</v>
      </c>
      <c r="CY212" s="228">
        <v>111</v>
      </c>
      <c r="CZ212" s="229">
        <v>7.51E-2</v>
      </c>
      <c r="DA212" s="228">
        <v>45.29</v>
      </c>
      <c r="DB212" s="228">
        <v>45.78</v>
      </c>
      <c r="DC212" s="228">
        <v>-0.49</v>
      </c>
      <c r="DD212" s="228">
        <v>-0.49</v>
      </c>
      <c r="DE212" s="228">
        <v>49.41</v>
      </c>
      <c r="DF212" s="228">
        <v>49.49</v>
      </c>
      <c r="DG212" s="228">
        <v>-4.12</v>
      </c>
      <c r="DH212" s="228">
        <v>-0.08</v>
      </c>
      <c r="DI212" s="228">
        <v>44.38</v>
      </c>
      <c r="DJ212" s="228">
        <v>45.09</v>
      </c>
      <c r="DK212" s="228">
        <v>-0.71</v>
      </c>
      <c r="DL212" s="228">
        <v>-0.71</v>
      </c>
      <c r="DM212" s="228">
        <v>48.01</v>
      </c>
      <c r="DN212" s="228">
        <v>46.6</v>
      </c>
      <c r="DO212" s="228">
        <v>1.41</v>
      </c>
      <c r="DP212" s="228">
        <v>1.41</v>
      </c>
      <c r="DQ212" s="228">
        <v>0.47</v>
      </c>
      <c r="DR212" s="228">
        <v>0.45</v>
      </c>
      <c r="DS212" s="228">
        <v>0.02</v>
      </c>
      <c r="DT212" s="229">
        <v>4.4400000000000002E-2</v>
      </c>
      <c r="DU212" s="231">
        <v>3000</v>
      </c>
      <c r="DV212" s="231">
        <v>2500</v>
      </c>
      <c r="DW212" s="228">
        <v>0.34</v>
      </c>
      <c r="DX212" s="228">
        <v>0.84</v>
      </c>
      <c r="DY212" s="228">
        <v>-0.5</v>
      </c>
      <c r="DZ212" s="229">
        <v>-0.59519999999999995</v>
      </c>
      <c r="EA212" s="229">
        <v>0.14480000000000001</v>
      </c>
      <c r="EB212" s="230">
        <v>226625</v>
      </c>
      <c r="EC212" s="229">
        <v>8.0000000000000004E-4</v>
      </c>
      <c r="ED212" s="229">
        <v>0.14480000000000001</v>
      </c>
      <c r="EE212" s="228">
        <v>-0.6</v>
      </c>
      <c r="EF212" s="229">
        <v>-2.0000000000000001E-4</v>
      </c>
      <c r="EG212" s="230">
        <v>438049</v>
      </c>
      <c r="EH212" s="230">
        <v>778848</v>
      </c>
      <c r="EI212" s="229">
        <v>-0.43759999999999999</v>
      </c>
      <c r="EJ212" s="229">
        <v>0.26989999999999997</v>
      </c>
      <c r="EK212" s="228">
        <v>750.22</v>
      </c>
      <c r="EL212" s="228">
        <v>220.76</v>
      </c>
      <c r="EM212" s="228">
        <v>255.1</v>
      </c>
      <c r="EN212" s="228">
        <v>59.07</v>
      </c>
      <c r="EO212" s="231">
        <v>1226.08</v>
      </c>
      <c r="EP212" s="231">
        <v>2731.91</v>
      </c>
      <c r="EQ212" s="231">
        <v>-1505.83</v>
      </c>
      <c r="ER212" s="229">
        <v>-0.55120000000000002</v>
      </c>
      <c r="ES212" s="228">
        <v>659.75</v>
      </c>
      <c r="ET212" s="228">
        <v>268.64</v>
      </c>
      <c r="EU212" s="228">
        <v>718.86</v>
      </c>
      <c r="EV212" s="231">
        <v>15436318</v>
      </c>
      <c r="EW212" s="231">
        <v>1647.24</v>
      </c>
      <c r="EX212" s="231">
        <v>1524.18</v>
      </c>
      <c r="EY212" s="228">
        <v>123.06</v>
      </c>
      <c r="EZ212" s="229">
        <v>8.0699999999999994E-2</v>
      </c>
      <c r="FA212" s="229">
        <v>0.38640000000000002</v>
      </c>
      <c r="FB212" s="227" t="s">
        <v>555</v>
      </c>
      <c r="FC212">
        <f t="shared" si="4"/>
        <v>0</v>
      </c>
    </row>
    <row r="213" spans="1:159" ht="17.25" thickBot="1" x14ac:dyDescent="0.3">
      <c r="A213" s="226">
        <v>46029</v>
      </c>
      <c r="B213" s="227" t="s">
        <v>221</v>
      </c>
      <c r="C213" s="227" t="s">
        <v>306</v>
      </c>
      <c r="D213" s="228">
        <v>3000</v>
      </c>
      <c r="E213" s="228">
        <v>20</v>
      </c>
      <c r="F213" s="228">
        <v>268.10000000000002</v>
      </c>
      <c r="G213" s="228">
        <v>263.25</v>
      </c>
      <c r="H213" s="228">
        <v>4.8499999999999996</v>
      </c>
      <c r="I213" s="229">
        <v>1.84E-2</v>
      </c>
      <c r="J213" s="228">
        <v>270.8</v>
      </c>
      <c r="K213" s="228">
        <v>265.60000000000002</v>
      </c>
      <c r="L213" s="228">
        <v>5.2</v>
      </c>
      <c r="M213" s="229">
        <v>1.9599999999999999E-2</v>
      </c>
      <c r="N213" s="228">
        <v>268.10000000000002</v>
      </c>
      <c r="O213" s="228">
        <v>263.25</v>
      </c>
      <c r="P213" s="228">
        <v>4.8499999999999996</v>
      </c>
      <c r="Q213" s="229">
        <v>1.84E-2</v>
      </c>
      <c r="R213" s="228">
        <v>267.45</v>
      </c>
      <c r="S213" s="228">
        <v>262.95</v>
      </c>
      <c r="T213" s="228">
        <v>4.5</v>
      </c>
      <c r="U213" s="229">
        <v>1.7100000000000001E-2</v>
      </c>
      <c r="V213" s="228">
        <v>267.60000000000002</v>
      </c>
      <c r="W213" s="228">
        <v>262.75</v>
      </c>
      <c r="X213" s="228">
        <v>4.8499999999999996</v>
      </c>
      <c r="Y213" s="229">
        <v>1.8499999999999999E-2</v>
      </c>
      <c r="Z213" s="228">
        <v>-2.7</v>
      </c>
      <c r="AA213" s="228">
        <v>-2.35</v>
      </c>
      <c r="AB213" s="228">
        <v>-0.35</v>
      </c>
      <c r="AC213" s="229">
        <v>-0.01</v>
      </c>
      <c r="AD213" s="228">
        <v>-2.7</v>
      </c>
      <c r="AE213" s="228">
        <v>-2.35</v>
      </c>
      <c r="AF213" s="228">
        <v>-0.35</v>
      </c>
      <c r="AG213" s="229">
        <v>-0.01</v>
      </c>
      <c r="AH213" s="228">
        <v>-3.35</v>
      </c>
      <c r="AI213" s="228">
        <v>-2.65</v>
      </c>
      <c r="AJ213" s="228">
        <v>-0.7</v>
      </c>
      <c r="AK213" s="229">
        <v>-1.24E-2</v>
      </c>
      <c r="AL213" s="228">
        <v>-3.2</v>
      </c>
      <c r="AM213" s="228">
        <v>-2.85</v>
      </c>
      <c r="AN213" s="228">
        <v>-0.35</v>
      </c>
      <c r="AO213" s="229">
        <v>-1.18E-2</v>
      </c>
      <c r="AP213" s="228">
        <v>267.72000000000003</v>
      </c>
      <c r="AQ213" s="228">
        <v>267.39999999999998</v>
      </c>
      <c r="AR213" s="228">
        <v>0</v>
      </c>
      <c r="AS213" s="228">
        <v>574</v>
      </c>
      <c r="AT213" s="228">
        <v>280</v>
      </c>
      <c r="AU213" s="228">
        <v>293</v>
      </c>
      <c r="AV213" s="229">
        <v>1.048</v>
      </c>
      <c r="AW213" s="228">
        <v>531</v>
      </c>
      <c r="AX213" s="228">
        <v>255</v>
      </c>
      <c r="AY213" s="228">
        <v>276</v>
      </c>
      <c r="AZ213" s="229">
        <v>1.0826</v>
      </c>
      <c r="BA213" s="228">
        <v>35</v>
      </c>
      <c r="BB213" s="228">
        <v>22</v>
      </c>
      <c r="BC213" s="228">
        <v>14</v>
      </c>
      <c r="BD213" s="229">
        <v>0.62690000000000001</v>
      </c>
      <c r="BE213" s="228">
        <v>7</v>
      </c>
      <c r="BF213" s="228">
        <v>3</v>
      </c>
      <c r="BG213" s="228">
        <v>4</v>
      </c>
      <c r="BH213" s="229">
        <v>1.119</v>
      </c>
      <c r="BI213" s="230">
        <v>1842</v>
      </c>
      <c r="BJ213" s="228">
        <v>525</v>
      </c>
      <c r="BK213" s="230">
        <v>1317</v>
      </c>
      <c r="BL213" s="229">
        <v>2.5076999999999998</v>
      </c>
      <c r="BM213" s="228">
        <v>653</v>
      </c>
      <c r="BN213" s="228">
        <v>259</v>
      </c>
      <c r="BO213" s="228">
        <v>394</v>
      </c>
      <c r="BP213" s="229">
        <v>1.5225</v>
      </c>
      <c r="BQ213" s="230">
        <v>3068</v>
      </c>
      <c r="BR213" s="230">
        <v>1064</v>
      </c>
      <c r="BS213" s="230">
        <v>2004</v>
      </c>
      <c r="BT213" s="229">
        <v>1.8836999999999999</v>
      </c>
      <c r="BU213" s="230">
        <v>10754859</v>
      </c>
      <c r="BV213" s="230">
        <v>4379131</v>
      </c>
      <c r="BW213" s="230">
        <v>6375728</v>
      </c>
      <c r="BX213" s="229">
        <v>1.4559</v>
      </c>
      <c r="BY213" s="230">
        <v>2757</v>
      </c>
      <c r="BZ213" s="230">
        <v>2734</v>
      </c>
      <c r="CA213" s="228">
        <v>23</v>
      </c>
      <c r="CB213" s="229">
        <v>8.3000000000000001E-3</v>
      </c>
      <c r="CC213" s="230">
        <v>2606</v>
      </c>
      <c r="CD213" s="230">
        <v>2582</v>
      </c>
      <c r="CE213" s="228">
        <v>25</v>
      </c>
      <c r="CF213" s="229">
        <v>9.4999999999999998E-3</v>
      </c>
      <c r="CG213" s="228">
        <v>139</v>
      </c>
      <c r="CH213" s="228">
        <v>141</v>
      </c>
      <c r="CI213" s="228">
        <v>-2</v>
      </c>
      <c r="CJ213" s="229">
        <v>-1.54E-2</v>
      </c>
      <c r="CK213" s="228">
        <v>12</v>
      </c>
      <c r="CL213" s="228">
        <v>11</v>
      </c>
      <c r="CM213" s="228">
        <v>0</v>
      </c>
      <c r="CN213" s="229">
        <v>2.1100000000000001E-2</v>
      </c>
      <c r="CO213" s="228">
        <v>939</v>
      </c>
      <c r="CP213" s="228">
        <v>888</v>
      </c>
      <c r="CQ213" s="228">
        <v>51</v>
      </c>
      <c r="CR213" s="229">
        <v>5.7099999999999998E-2</v>
      </c>
      <c r="CS213" s="228">
        <v>695</v>
      </c>
      <c r="CT213" s="228">
        <v>689</v>
      </c>
      <c r="CU213" s="228">
        <v>6</v>
      </c>
      <c r="CV213" s="229">
        <v>8.3000000000000001E-3</v>
      </c>
      <c r="CW213" s="230">
        <v>4391</v>
      </c>
      <c r="CX213" s="230">
        <v>4312</v>
      </c>
      <c r="CY213" s="228">
        <v>79</v>
      </c>
      <c r="CZ213" s="229">
        <v>1.84E-2</v>
      </c>
      <c r="DA213" s="228">
        <v>28.92</v>
      </c>
      <c r="DB213" s="228">
        <v>27.47</v>
      </c>
      <c r="DC213" s="228">
        <v>1.45</v>
      </c>
      <c r="DD213" s="228">
        <v>1.45</v>
      </c>
      <c r="DE213" s="228">
        <v>29.33</v>
      </c>
      <c r="DF213" s="228">
        <v>29.3</v>
      </c>
      <c r="DG213" s="228">
        <v>-0.41</v>
      </c>
      <c r="DH213" s="228">
        <v>0.03</v>
      </c>
      <c r="DI213" s="228">
        <v>28.98</v>
      </c>
      <c r="DJ213" s="228">
        <v>27.41</v>
      </c>
      <c r="DK213" s="228">
        <v>1.57</v>
      </c>
      <c r="DL213" s="228">
        <v>1.57</v>
      </c>
      <c r="DM213" s="228">
        <v>28.76</v>
      </c>
      <c r="DN213" s="228">
        <v>27.6</v>
      </c>
      <c r="DO213" s="228">
        <v>1.1599999999999999</v>
      </c>
      <c r="DP213" s="228">
        <v>1.1599999999999999</v>
      </c>
      <c r="DQ213" s="228">
        <v>0.74</v>
      </c>
      <c r="DR213" s="228">
        <v>0.78</v>
      </c>
      <c r="DS213" s="228">
        <v>-0.04</v>
      </c>
      <c r="DT213" s="229">
        <v>-5.1299999999999998E-2</v>
      </c>
      <c r="DU213" s="228">
        <v>270</v>
      </c>
      <c r="DV213" s="228">
        <v>250</v>
      </c>
      <c r="DW213" s="228">
        <v>0.35</v>
      </c>
      <c r="DX213" s="228">
        <v>0.49</v>
      </c>
      <c r="DY213" s="228">
        <v>-0.14000000000000001</v>
      </c>
      <c r="DZ213" s="229">
        <v>-0.28570000000000001</v>
      </c>
      <c r="EA213" s="229">
        <v>5.4600000000000003E-2</v>
      </c>
      <c r="EB213" s="230">
        <v>5682000</v>
      </c>
      <c r="EC213" s="229">
        <v>-2.3999999999999998E-3</v>
      </c>
      <c r="ED213" s="229">
        <v>5.4600000000000003E-2</v>
      </c>
      <c r="EE213" s="228">
        <v>-0.32</v>
      </c>
      <c r="EF213" s="229">
        <v>-1.1999999999999999E-3</v>
      </c>
      <c r="EG213" s="230">
        <v>4795252</v>
      </c>
      <c r="EH213" s="230">
        <v>2195436</v>
      </c>
      <c r="EI213" s="229">
        <v>1.1841999999999999</v>
      </c>
      <c r="EJ213" s="229">
        <v>0.44590000000000002</v>
      </c>
      <c r="EK213" s="231">
        <v>1933.88</v>
      </c>
      <c r="EL213" s="228">
        <v>642.70000000000005</v>
      </c>
      <c r="EM213" s="228">
        <v>572.67999999999995</v>
      </c>
      <c r="EN213" s="228">
        <v>46.8</v>
      </c>
      <c r="EO213" s="231">
        <v>3149.26</v>
      </c>
      <c r="EP213" s="231">
        <v>1065.7</v>
      </c>
      <c r="EQ213" s="231">
        <v>2083.56</v>
      </c>
      <c r="ER213" s="229">
        <v>1.9551000000000001</v>
      </c>
      <c r="ES213" s="228">
        <v>970.65</v>
      </c>
      <c r="ET213" s="228">
        <v>660.11</v>
      </c>
      <c r="EU213" s="231">
        <v>2756.46</v>
      </c>
      <c r="EV213" s="231">
        <v>358423198</v>
      </c>
      <c r="EW213" s="231">
        <v>4387.22</v>
      </c>
      <c r="EX213" s="231">
        <v>4250.16</v>
      </c>
      <c r="EY213" s="228">
        <v>137.06</v>
      </c>
      <c r="EZ213" s="229">
        <v>3.2199999999999999E-2</v>
      </c>
      <c r="FA213" s="229">
        <v>0.45689999999999997</v>
      </c>
      <c r="FB213" s="227" t="s">
        <v>555</v>
      </c>
      <c r="FC213">
        <f t="shared" si="4"/>
        <v>0</v>
      </c>
    </row>
    <row r="214" spans="1:159" ht="17.25" thickBot="1" x14ac:dyDescent="0.3">
      <c r="A214" s="226">
        <v>46029</v>
      </c>
      <c r="B214" s="227" t="s">
        <v>172</v>
      </c>
      <c r="C214" s="227" t="s">
        <v>590</v>
      </c>
      <c r="D214" s="228">
        <v>31100</v>
      </c>
      <c r="E214" s="228">
        <v>20</v>
      </c>
      <c r="F214" s="228">
        <v>23.61</v>
      </c>
      <c r="G214" s="228">
        <v>22.92</v>
      </c>
      <c r="H214" s="228">
        <v>0.69</v>
      </c>
      <c r="I214" s="229">
        <v>3.0099999999999998E-2</v>
      </c>
      <c r="J214" s="228">
        <v>23.5</v>
      </c>
      <c r="K214" s="228">
        <v>22.81</v>
      </c>
      <c r="L214" s="228">
        <v>0.69</v>
      </c>
      <c r="M214" s="229">
        <v>3.0200000000000001E-2</v>
      </c>
      <c r="N214" s="228">
        <v>23.61</v>
      </c>
      <c r="O214" s="228">
        <v>22.92</v>
      </c>
      <c r="P214" s="228">
        <v>0.69</v>
      </c>
      <c r="Q214" s="229">
        <v>3.0099999999999998E-2</v>
      </c>
      <c r="R214" s="228">
        <v>23.73</v>
      </c>
      <c r="S214" s="228">
        <v>23.06</v>
      </c>
      <c r="T214" s="228">
        <v>0.67</v>
      </c>
      <c r="U214" s="229">
        <v>2.9100000000000001E-2</v>
      </c>
      <c r="V214" s="228">
        <v>23.89</v>
      </c>
      <c r="W214" s="228">
        <v>23.23</v>
      </c>
      <c r="X214" s="228">
        <v>0.66</v>
      </c>
      <c r="Y214" s="229">
        <v>2.8400000000000002E-2</v>
      </c>
      <c r="Z214" s="228">
        <v>0.11</v>
      </c>
      <c r="AA214" s="228">
        <v>0.11</v>
      </c>
      <c r="AB214" s="228">
        <v>0</v>
      </c>
      <c r="AC214" s="229">
        <v>4.7000000000000002E-3</v>
      </c>
      <c r="AD214" s="228">
        <v>0.11</v>
      </c>
      <c r="AE214" s="228">
        <v>0.11</v>
      </c>
      <c r="AF214" s="228">
        <v>0</v>
      </c>
      <c r="AG214" s="229">
        <v>4.7000000000000002E-3</v>
      </c>
      <c r="AH214" s="228">
        <v>0.23</v>
      </c>
      <c r="AI214" s="228">
        <v>0.25</v>
      </c>
      <c r="AJ214" s="228">
        <v>-0.02</v>
      </c>
      <c r="AK214" s="229">
        <v>9.7999999999999997E-3</v>
      </c>
      <c r="AL214" s="228">
        <v>0.39</v>
      </c>
      <c r="AM214" s="228">
        <v>0.42</v>
      </c>
      <c r="AN214" s="228">
        <v>-0.03</v>
      </c>
      <c r="AO214" s="229">
        <v>1.66E-2</v>
      </c>
      <c r="AP214" s="228">
        <v>23.39</v>
      </c>
      <c r="AQ214" s="228">
        <v>23.52</v>
      </c>
      <c r="AR214" s="228">
        <v>0</v>
      </c>
      <c r="AS214" s="228">
        <v>717</v>
      </c>
      <c r="AT214" s="228">
        <v>472</v>
      </c>
      <c r="AU214" s="228">
        <v>245</v>
      </c>
      <c r="AV214" s="229">
        <v>0.51759999999999995</v>
      </c>
      <c r="AW214" s="228">
        <v>599</v>
      </c>
      <c r="AX214" s="228">
        <v>392</v>
      </c>
      <c r="AY214" s="228">
        <v>206</v>
      </c>
      <c r="AZ214" s="229">
        <v>0.52529999999999999</v>
      </c>
      <c r="BA214" s="228">
        <v>101</v>
      </c>
      <c r="BB214" s="228">
        <v>70</v>
      </c>
      <c r="BC214" s="228">
        <v>31</v>
      </c>
      <c r="BD214" s="229">
        <v>0.44700000000000001</v>
      </c>
      <c r="BE214" s="228">
        <v>17</v>
      </c>
      <c r="BF214" s="228">
        <v>10</v>
      </c>
      <c r="BG214" s="228">
        <v>7</v>
      </c>
      <c r="BH214" s="229">
        <v>0.70799999999999996</v>
      </c>
      <c r="BI214" s="230">
        <v>1851</v>
      </c>
      <c r="BJ214" s="230">
        <v>1152</v>
      </c>
      <c r="BK214" s="228">
        <v>699</v>
      </c>
      <c r="BL214" s="229">
        <v>0.60709999999999997</v>
      </c>
      <c r="BM214" s="228">
        <v>771</v>
      </c>
      <c r="BN214" s="228">
        <v>474</v>
      </c>
      <c r="BO214" s="228">
        <v>297</v>
      </c>
      <c r="BP214" s="229">
        <v>0.62560000000000004</v>
      </c>
      <c r="BQ214" s="230">
        <v>3340</v>
      </c>
      <c r="BR214" s="230">
        <v>2099</v>
      </c>
      <c r="BS214" s="230">
        <v>1241</v>
      </c>
      <c r="BT214" s="229">
        <v>0.59109999999999996</v>
      </c>
      <c r="BU214" s="230">
        <v>214048959</v>
      </c>
      <c r="BV214" s="230">
        <v>137755583</v>
      </c>
      <c r="BW214" s="230">
        <v>76293376</v>
      </c>
      <c r="BX214" s="229">
        <v>0.55379999999999996</v>
      </c>
      <c r="BY214" s="230">
        <v>2775</v>
      </c>
      <c r="BZ214" s="230">
        <v>2787</v>
      </c>
      <c r="CA214" s="228">
        <v>-11</v>
      </c>
      <c r="CB214" s="229">
        <v>-4.1000000000000003E-3</v>
      </c>
      <c r="CC214" s="230">
        <v>2556</v>
      </c>
      <c r="CD214" s="230">
        <v>2585</v>
      </c>
      <c r="CE214" s="228">
        <v>-29</v>
      </c>
      <c r="CF214" s="229">
        <v>-1.11E-2</v>
      </c>
      <c r="CG214" s="228">
        <v>198</v>
      </c>
      <c r="CH214" s="228">
        <v>184</v>
      </c>
      <c r="CI214" s="228">
        <v>14</v>
      </c>
      <c r="CJ214" s="229">
        <v>7.6700000000000004E-2</v>
      </c>
      <c r="CK214" s="228">
        <v>21</v>
      </c>
      <c r="CL214" s="228">
        <v>18</v>
      </c>
      <c r="CM214" s="228">
        <v>3</v>
      </c>
      <c r="CN214" s="229">
        <v>0.18179999999999999</v>
      </c>
      <c r="CO214" s="228">
        <v>756</v>
      </c>
      <c r="CP214" s="228">
        <v>785</v>
      </c>
      <c r="CQ214" s="228">
        <v>-29</v>
      </c>
      <c r="CR214" s="229">
        <v>-3.6700000000000003E-2</v>
      </c>
      <c r="CS214" s="228">
        <v>513</v>
      </c>
      <c r="CT214" s="228">
        <v>477</v>
      </c>
      <c r="CU214" s="228">
        <v>36</v>
      </c>
      <c r="CV214" s="229">
        <v>7.51E-2</v>
      </c>
      <c r="CW214" s="230">
        <v>4044</v>
      </c>
      <c r="CX214" s="230">
        <v>4048</v>
      </c>
      <c r="CY214" s="228">
        <v>-4</v>
      </c>
      <c r="CZ214" s="229">
        <v>-1.1000000000000001E-3</v>
      </c>
      <c r="DA214" s="228">
        <v>31.21</v>
      </c>
      <c r="DB214" s="228">
        <v>32.07</v>
      </c>
      <c r="DC214" s="228">
        <v>-0.86</v>
      </c>
      <c r="DD214" s="228">
        <v>-0.86</v>
      </c>
      <c r="DE214" s="228">
        <v>38.96</v>
      </c>
      <c r="DF214" s="228">
        <v>38.85</v>
      </c>
      <c r="DG214" s="228">
        <v>-7.75</v>
      </c>
      <c r="DH214" s="228">
        <v>0.11</v>
      </c>
      <c r="DI214" s="228">
        <v>31.22</v>
      </c>
      <c r="DJ214" s="228">
        <v>33.049999999999997</v>
      </c>
      <c r="DK214" s="228">
        <v>-1.83</v>
      </c>
      <c r="DL214" s="228">
        <v>-1.83</v>
      </c>
      <c r="DM214" s="228">
        <v>31.17</v>
      </c>
      <c r="DN214" s="228">
        <v>29.68</v>
      </c>
      <c r="DO214" s="228">
        <v>1.49</v>
      </c>
      <c r="DP214" s="228">
        <v>1.49</v>
      </c>
      <c r="DQ214" s="228">
        <v>0.68</v>
      </c>
      <c r="DR214" s="228">
        <v>0.61</v>
      </c>
      <c r="DS214" s="228">
        <v>7.0000000000000007E-2</v>
      </c>
      <c r="DT214" s="229">
        <v>0.1148</v>
      </c>
      <c r="DU214" s="228">
        <v>24</v>
      </c>
      <c r="DV214" s="228">
        <v>22</v>
      </c>
      <c r="DW214" s="228">
        <v>0.42</v>
      </c>
      <c r="DX214" s="228">
        <v>0.41</v>
      </c>
      <c r="DY214" s="228">
        <v>0.01</v>
      </c>
      <c r="DZ214" s="229">
        <v>2.4400000000000002E-2</v>
      </c>
      <c r="EA214" s="229">
        <v>7.8799999999999995E-2</v>
      </c>
      <c r="EB214" s="230">
        <v>85338400</v>
      </c>
      <c r="EC214" s="229">
        <v>5.1000000000000004E-3</v>
      </c>
      <c r="ED214" s="229">
        <v>7.8799999999999995E-2</v>
      </c>
      <c r="EE214" s="228">
        <v>0.13</v>
      </c>
      <c r="EF214" s="229">
        <v>5.5999999999999999E-3</v>
      </c>
      <c r="EG214" s="230">
        <v>115421152</v>
      </c>
      <c r="EH214" s="230">
        <v>65151261</v>
      </c>
      <c r="EI214" s="229">
        <v>0.77159999999999995</v>
      </c>
      <c r="EJ214" s="229">
        <v>0.53920000000000001</v>
      </c>
      <c r="EK214" s="231">
        <v>1945.76</v>
      </c>
      <c r="EL214" s="228">
        <v>730.06</v>
      </c>
      <c r="EM214" s="228">
        <v>710.9</v>
      </c>
      <c r="EN214" s="228">
        <v>59.77</v>
      </c>
      <c r="EO214" s="231">
        <v>3386.72</v>
      </c>
      <c r="EP214" s="231">
        <v>2121.6799999999998</v>
      </c>
      <c r="EQ214" s="231">
        <v>1265.04</v>
      </c>
      <c r="ER214" s="229">
        <v>0.59619999999999995</v>
      </c>
      <c r="ES214" s="228">
        <v>767.73</v>
      </c>
      <c r="ET214" s="228">
        <v>471.41</v>
      </c>
      <c r="EU214" s="231">
        <v>2776.43</v>
      </c>
      <c r="EV214" s="231">
        <v>3547322779</v>
      </c>
      <c r="EW214" s="231">
        <v>4015.57</v>
      </c>
      <c r="EX214" s="231">
        <v>3929.94</v>
      </c>
      <c r="EY214" s="228">
        <v>85.63</v>
      </c>
      <c r="EZ214" s="229">
        <v>2.18E-2</v>
      </c>
      <c r="FA214" s="229">
        <v>0.4829</v>
      </c>
      <c r="FB214" s="227" t="s">
        <v>556</v>
      </c>
      <c r="FC214">
        <f t="shared" si="4"/>
        <v>0</v>
      </c>
    </row>
    <row r="215" spans="1:159" ht="17.25" thickBot="1" x14ac:dyDescent="0.3">
      <c r="A215" s="226">
        <v>46029</v>
      </c>
      <c r="B215" s="227" t="s">
        <v>170</v>
      </c>
      <c r="C215" s="227" t="s">
        <v>557</v>
      </c>
      <c r="D215" s="228">
        <v>900</v>
      </c>
      <c r="E215" s="228">
        <v>20</v>
      </c>
      <c r="F215" s="228">
        <v>929.55</v>
      </c>
      <c r="G215" s="228">
        <v>935.85</v>
      </c>
      <c r="H215" s="228">
        <v>-6.3</v>
      </c>
      <c r="I215" s="229">
        <v>-6.7000000000000002E-3</v>
      </c>
      <c r="J215" s="228">
        <v>927.55</v>
      </c>
      <c r="K215" s="228">
        <v>931.05</v>
      </c>
      <c r="L215" s="228">
        <v>-3.5</v>
      </c>
      <c r="M215" s="229">
        <v>-3.8E-3</v>
      </c>
      <c r="N215" s="228">
        <v>929.55</v>
      </c>
      <c r="O215" s="228">
        <v>935.85</v>
      </c>
      <c r="P215" s="228">
        <v>-6.3</v>
      </c>
      <c r="Q215" s="229">
        <v>-6.7000000000000002E-3</v>
      </c>
      <c r="R215" s="228">
        <v>934.7</v>
      </c>
      <c r="S215" s="228">
        <v>940.95</v>
      </c>
      <c r="T215" s="228">
        <v>-6.25</v>
      </c>
      <c r="U215" s="229">
        <v>-6.6E-3</v>
      </c>
      <c r="V215" s="228">
        <v>950</v>
      </c>
      <c r="W215" s="228">
        <v>945.3</v>
      </c>
      <c r="X215" s="228">
        <v>4.7</v>
      </c>
      <c r="Y215" s="229">
        <v>5.0000000000000001E-3</v>
      </c>
      <c r="Z215" s="228">
        <v>2</v>
      </c>
      <c r="AA215" s="228">
        <v>4.8</v>
      </c>
      <c r="AB215" s="228">
        <v>-2.8</v>
      </c>
      <c r="AC215" s="229">
        <v>2.2000000000000001E-3</v>
      </c>
      <c r="AD215" s="228">
        <v>2</v>
      </c>
      <c r="AE215" s="228">
        <v>4.8</v>
      </c>
      <c r="AF215" s="228">
        <v>-2.8</v>
      </c>
      <c r="AG215" s="229">
        <v>2.2000000000000001E-3</v>
      </c>
      <c r="AH215" s="228">
        <v>7.15</v>
      </c>
      <c r="AI215" s="228">
        <v>9.9</v>
      </c>
      <c r="AJ215" s="228">
        <v>-2.75</v>
      </c>
      <c r="AK215" s="229">
        <v>7.7000000000000002E-3</v>
      </c>
      <c r="AL215" s="228">
        <v>22.45</v>
      </c>
      <c r="AM215" s="228">
        <v>14.25</v>
      </c>
      <c r="AN215" s="228">
        <v>8.1999999999999993</v>
      </c>
      <c r="AO215" s="229">
        <v>2.4199999999999999E-2</v>
      </c>
      <c r="AP215" s="228">
        <v>934.36</v>
      </c>
      <c r="AQ215" s="228">
        <v>939.27</v>
      </c>
      <c r="AR215" s="228">
        <v>0</v>
      </c>
      <c r="AS215" s="228">
        <v>222</v>
      </c>
      <c r="AT215" s="228">
        <v>149</v>
      </c>
      <c r="AU215" s="228">
        <v>73</v>
      </c>
      <c r="AV215" s="229">
        <v>0.48659999999999998</v>
      </c>
      <c r="AW215" s="228">
        <v>211</v>
      </c>
      <c r="AX215" s="228">
        <v>141</v>
      </c>
      <c r="AY215" s="228">
        <v>70</v>
      </c>
      <c r="AZ215" s="229">
        <v>0.49640000000000001</v>
      </c>
      <c r="BA215" s="228">
        <v>11</v>
      </c>
      <c r="BB215" s="228">
        <v>8</v>
      </c>
      <c r="BC215" s="228">
        <v>3</v>
      </c>
      <c r="BD215" s="229">
        <v>0.32669999999999999</v>
      </c>
      <c r="BE215" s="228">
        <v>0</v>
      </c>
      <c r="BF215" s="228">
        <v>0</v>
      </c>
      <c r="BG215" s="228">
        <v>0</v>
      </c>
      <c r="BH215" s="229">
        <v>0</v>
      </c>
      <c r="BI215" s="228">
        <v>627</v>
      </c>
      <c r="BJ215" s="228">
        <v>607</v>
      </c>
      <c r="BK215" s="228">
        <v>20</v>
      </c>
      <c r="BL215" s="229">
        <v>3.27E-2</v>
      </c>
      <c r="BM215" s="228">
        <v>288</v>
      </c>
      <c r="BN215" s="228">
        <v>125</v>
      </c>
      <c r="BO215" s="228">
        <v>163</v>
      </c>
      <c r="BP215" s="229">
        <v>1.3078000000000001</v>
      </c>
      <c r="BQ215" s="230">
        <v>1137</v>
      </c>
      <c r="BR215" s="228">
        <v>881</v>
      </c>
      <c r="BS215" s="228">
        <v>256</v>
      </c>
      <c r="BT215" s="229">
        <v>0.29020000000000001</v>
      </c>
      <c r="BU215" s="230">
        <v>549157</v>
      </c>
      <c r="BV215" s="230">
        <v>460727</v>
      </c>
      <c r="BW215" s="230">
        <v>88430</v>
      </c>
      <c r="BX215" s="229">
        <v>0.19189999999999999</v>
      </c>
      <c r="BY215" s="228">
        <v>962</v>
      </c>
      <c r="BZ215" s="228">
        <v>938</v>
      </c>
      <c r="CA215" s="228">
        <v>24</v>
      </c>
      <c r="CB215" s="229">
        <v>2.5600000000000001E-2</v>
      </c>
      <c r="CC215" s="228">
        <v>935</v>
      </c>
      <c r="CD215" s="228">
        <v>914</v>
      </c>
      <c r="CE215" s="228">
        <v>21</v>
      </c>
      <c r="CF215" s="229">
        <v>2.3400000000000001E-2</v>
      </c>
      <c r="CG215" s="228">
        <v>26</v>
      </c>
      <c r="CH215" s="228">
        <v>24</v>
      </c>
      <c r="CI215" s="228">
        <v>3</v>
      </c>
      <c r="CJ215" s="229">
        <v>0.1056</v>
      </c>
      <c r="CK215" s="228">
        <v>1</v>
      </c>
      <c r="CL215" s="228">
        <v>1</v>
      </c>
      <c r="CM215" s="228">
        <v>0</v>
      </c>
      <c r="CN215" s="229">
        <v>0.1429</v>
      </c>
      <c r="CO215" s="228">
        <v>341</v>
      </c>
      <c r="CP215" s="228">
        <v>327</v>
      </c>
      <c r="CQ215" s="228">
        <v>14</v>
      </c>
      <c r="CR215" s="229">
        <v>4.1599999999999998E-2</v>
      </c>
      <c r="CS215" s="228">
        <v>305</v>
      </c>
      <c r="CT215" s="228">
        <v>253</v>
      </c>
      <c r="CU215" s="228">
        <v>53</v>
      </c>
      <c r="CV215" s="229">
        <v>0.2077</v>
      </c>
      <c r="CW215" s="230">
        <v>1609</v>
      </c>
      <c r="CX215" s="230">
        <v>1519</v>
      </c>
      <c r="CY215" s="228">
        <v>90</v>
      </c>
      <c r="CZ215" s="229">
        <v>5.9400000000000001E-2</v>
      </c>
      <c r="DA215" s="228">
        <v>21.16</v>
      </c>
      <c r="DB215" s="228">
        <v>19.93</v>
      </c>
      <c r="DC215" s="228">
        <v>1.23</v>
      </c>
      <c r="DD215" s="228">
        <v>1.23</v>
      </c>
      <c r="DE215" s="228">
        <v>27.32</v>
      </c>
      <c r="DF215" s="228">
        <v>27.37</v>
      </c>
      <c r="DG215" s="228">
        <v>-6.16</v>
      </c>
      <c r="DH215" s="228">
        <v>-0.05</v>
      </c>
      <c r="DI215" s="228">
        <v>20.88</v>
      </c>
      <c r="DJ215" s="228">
        <v>19.78</v>
      </c>
      <c r="DK215" s="228">
        <v>1.1000000000000001</v>
      </c>
      <c r="DL215" s="228">
        <v>1.1000000000000001</v>
      </c>
      <c r="DM215" s="228">
        <v>21.77</v>
      </c>
      <c r="DN215" s="228">
        <v>20.69</v>
      </c>
      <c r="DO215" s="228">
        <v>1.08</v>
      </c>
      <c r="DP215" s="228">
        <v>1.08</v>
      </c>
      <c r="DQ215" s="228">
        <v>0.9</v>
      </c>
      <c r="DR215" s="228">
        <v>0.77</v>
      </c>
      <c r="DS215" s="228">
        <v>0.13</v>
      </c>
      <c r="DT215" s="229">
        <v>0.16880000000000001</v>
      </c>
      <c r="DU215" s="231">
        <v>1000</v>
      </c>
      <c r="DV215" s="228">
        <v>900</v>
      </c>
      <c r="DW215" s="228">
        <v>0.46</v>
      </c>
      <c r="DX215" s="228">
        <v>0.21</v>
      </c>
      <c r="DY215" s="228">
        <v>0.25</v>
      </c>
      <c r="DZ215" s="229">
        <v>1.1904999999999999</v>
      </c>
      <c r="EA215" s="229">
        <v>2.8000000000000001E-2</v>
      </c>
      <c r="EB215" s="230">
        <v>261900</v>
      </c>
      <c r="EC215" s="229">
        <v>5.4999999999999997E-3</v>
      </c>
      <c r="ED215" s="229">
        <v>2.8000000000000001E-2</v>
      </c>
      <c r="EE215" s="228">
        <v>4.91</v>
      </c>
      <c r="EF215" s="229">
        <v>5.3E-3</v>
      </c>
      <c r="EG215" s="230">
        <v>225909</v>
      </c>
      <c r="EH215" s="230">
        <v>261054</v>
      </c>
      <c r="EI215" s="229">
        <v>-0.1346</v>
      </c>
      <c r="EJ215" s="229">
        <v>0.41139999999999999</v>
      </c>
      <c r="EK215" s="228">
        <v>652.4</v>
      </c>
      <c r="EL215" s="228">
        <v>280.33999999999997</v>
      </c>
      <c r="EM215" s="228">
        <v>223.33</v>
      </c>
      <c r="EN215" s="228">
        <v>11.99</v>
      </c>
      <c r="EO215" s="231">
        <v>1156.07</v>
      </c>
      <c r="EP215" s="228">
        <v>900.12</v>
      </c>
      <c r="EQ215" s="228">
        <v>255.94</v>
      </c>
      <c r="ER215" s="229">
        <v>0.2843</v>
      </c>
      <c r="ES215" s="228">
        <v>352.08</v>
      </c>
      <c r="ET215" s="228">
        <v>298.67</v>
      </c>
      <c r="EU215" s="228">
        <v>962.33</v>
      </c>
      <c r="EV215" s="231">
        <v>37741451</v>
      </c>
      <c r="EW215" s="231">
        <v>1613.08</v>
      </c>
      <c r="EX215" s="231">
        <v>1529.24</v>
      </c>
      <c r="EY215" s="228">
        <v>83.84</v>
      </c>
      <c r="EZ215" s="229">
        <v>5.4800000000000001E-2</v>
      </c>
      <c r="FA215" s="229">
        <v>0.45850000000000002</v>
      </c>
      <c r="FB215" s="227" t="s">
        <v>567</v>
      </c>
      <c r="FC215">
        <f t="shared" si="4"/>
        <v>0</v>
      </c>
    </row>
    <row r="216" spans="1:159" x14ac:dyDescent="0.25">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BY325-CC325</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BY389-CC389</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Y152" sqref="BY152"/>
    </sheetView>
  </sheetViews>
  <sheetFormatPr defaultRowHeight="15" x14ac:dyDescent="0.25"/>
  <cols>
    <col min="1" max="1" width="11.57031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9.85546875" customWidth="1"/>
    <col min="80" max="81" width="15.5703125" customWidth="1"/>
    <col min="82" max="82" width="13.710937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3.7109375" customWidth="1"/>
    <col min="95" max="95" width="10.42578125" customWidth="1"/>
    <col min="96" max="97" width="15.5703125" customWidth="1"/>
    <col min="98" max="98" width="13.7109375" customWidth="1"/>
    <col min="99" max="99" width="10.28515625" customWidth="1"/>
    <col min="100" max="101" width="16.7109375" customWidth="1"/>
    <col min="102" max="102" width="14.85546875"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2" width="16.7109375" customWidth="1"/>
    <col min="153"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46029</v>
      </c>
      <c r="B2" s="227" t="s">
        <v>175</v>
      </c>
      <c r="C2" s="227" t="s">
        <v>682</v>
      </c>
      <c r="D2" s="228">
        <v>500</v>
      </c>
      <c r="E2" s="231">
        <v>1198</v>
      </c>
      <c r="F2" s="231">
        <v>1191.0999999999999</v>
      </c>
      <c r="G2" s="228">
        <v>6.9</v>
      </c>
      <c r="H2" s="229">
        <v>5.7999999999999996E-3</v>
      </c>
      <c r="I2" s="231">
        <v>1191.8</v>
      </c>
      <c r="J2" s="231">
        <v>1187</v>
      </c>
      <c r="K2" s="228">
        <v>4.8</v>
      </c>
      <c r="L2" s="229">
        <v>4.0000000000000001E-3</v>
      </c>
      <c r="M2" s="231">
        <v>1198</v>
      </c>
      <c r="N2" s="231">
        <v>1191.0999999999999</v>
      </c>
      <c r="O2" s="228">
        <v>6.9</v>
      </c>
      <c r="P2" s="229">
        <v>5.7999999999999996E-3</v>
      </c>
      <c r="Q2" s="231">
        <v>1193.5999999999999</v>
      </c>
      <c r="R2" s="231">
        <v>1186.4000000000001</v>
      </c>
      <c r="S2" s="228">
        <v>7.2</v>
      </c>
      <c r="T2" s="229">
        <v>6.1000000000000004E-3</v>
      </c>
      <c r="U2" s="231">
        <v>1186.0999999999999</v>
      </c>
      <c r="V2" s="231">
        <v>1186.0999999999999</v>
      </c>
      <c r="W2" s="228">
        <v>0</v>
      </c>
      <c r="X2" s="229">
        <v>0</v>
      </c>
      <c r="Y2" s="228">
        <v>6.2</v>
      </c>
      <c r="Z2" s="228">
        <v>4.0999999999999996</v>
      </c>
      <c r="AA2" s="228">
        <v>2.1</v>
      </c>
      <c r="AB2" s="229">
        <v>5.1999999999999998E-3</v>
      </c>
      <c r="AC2" s="228">
        <v>6.2</v>
      </c>
      <c r="AD2" s="228">
        <v>4.0999999999999996</v>
      </c>
      <c r="AE2" s="228">
        <v>2.1</v>
      </c>
      <c r="AF2" s="229">
        <v>5.1999999999999998E-3</v>
      </c>
      <c r="AG2" s="228">
        <v>1.8</v>
      </c>
      <c r="AH2" s="228">
        <v>-0.6</v>
      </c>
      <c r="AI2" s="228">
        <v>2.4</v>
      </c>
      <c r="AJ2" s="229">
        <v>1.5E-3</v>
      </c>
      <c r="AK2" s="228">
        <v>-5.7</v>
      </c>
      <c r="AL2" s="228">
        <v>-0.9</v>
      </c>
      <c r="AM2" s="228">
        <v>-4.8</v>
      </c>
      <c r="AN2" s="229">
        <v>-4.7999999999999996E-3</v>
      </c>
      <c r="AO2" s="231">
        <v>1189.32</v>
      </c>
      <c r="AP2" s="231">
        <v>1186.3599999999999</v>
      </c>
      <c r="AQ2" s="228">
        <v>0</v>
      </c>
      <c r="AR2" s="230">
        <v>2206000</v>
      </c>
      <c r="AS2" s="230">
        <v>639500</v>
      </c>
      <c r="AT2" s="230">
        <v>1566500</v>
      </c>
      <c r="AU2" s="229">
        <v>2.4496000000000002</v>
      </c>
      <c r="AV2" s="230">
        <v>1690000</v>
      </c>
      <c r="AW2" s="230">
        <v>620000</v>
      </c>
      <c r="AX2" s="230">
        <v>1070000</v>
      </c>
      <c r="AY2" s="229">
        <v>1.7258</v>
      </c>
      <c r="AZ2" s="230">
        <v>516000</v>
      </c>
      <c r="BA2" s="230">
        <v>19500</v>
      </c>
      <c r="BB2" s="230">
        <v>496500</v>
      </c>
      <c r="BC2" s="229">
        <v>25.461500000000001</v>
      </c>
      <c r="BD2" s="228">
        <v>0</v>
      </c>
      <c r="BE2" s="228">
        <v>0</v>
      </c>
      <c r="BF2" s="228">
        <v>0</v>
      </c>
      <c r="BG2" s="229">
        <v>0</v>
      </c>
      <c r="BH2" s="230">
        <v>3200000</v>
      </c>
      <c r="BI2" s="230">
        <v>1970000</v>
      </c>
      <c r="BJ2" s="230">
        <v>1230000</v>
      </c>
      <c r="BK2" s="229">
        <v>0.62439999999999996</v>
      </c>
      <c r="BL2" s="230">
        <v>1894000</v>
      </c>
      <c r="BM2" s="230">
        <v>655000</v>
      </c>
      <c r="BN2" s="230">
        <v>1239000</v>
      </c>
      <c r="BO2" s="229">
        <v>1.8915999999999999</v>
      </c>
      <c r="BP2" s="230">
        <v>7300000</v>
      </c>
      <c r="BQ2" s="230">
        <v>3264500</v>
      </c>
      <c r="BR2" s="230">
        <v>4035500</v>
      </c>
      <c r="BS2" s="229">
        <v>1.2362</v>
      </c>
      <c r="BT2" s="230">
        <v>1491531</v>
      </c>
      <c r="BU2" s="230">
        <v>395875</v>
      </c>
      <c r="BV2" s="230">
        <v>1095656</v>
      </c>
      <c r="BW2" s="229">
        <v>2.7677</v>
      </c>
      <c r="BX2" s="230">
        <v>2555000</v>
      </c>
      <c r="BY2" s="230">
        <v>2659500</v>
      </c>
      <c r="BZ2" s="230">
        <v>-104500</v>
      </c>
      <c r="CA2" s="229">
        <v>-3.9300000000000002E-2</v>
      </c>
      <c r="CB2" s="230">
        <v>2460500</v>
      </c>
      <c r="CC2" s="230">
        <v>2594500</v>
      </c>
      <c r="CD2" s="230">
        <v>-134000</v>
      </c>
      <c r="CE2" s="229">
        <v>-5.16E-2</v>
      </c>
      <c r="CF2" s="230">
        <v>93000</v>
      </c>
      <c r="CG2" s="230">
        <v>63500</v>
      </c>
      <c r="CH2" s="230">
        <v>29500</v>
      </c>
      <c r="CI2" s="229">
        <v>0.46460000000000001</v>
      </c>
      <c r="CJ2" s="230">
        <v>1500</v>
      </c>
      <c r="CK2" s="230">
        <v>1500</v>
      </c>
      <c r="CL2" s="228">
        <v>0</v>
      </c>
      <c r="CM2" s="229">
        <v>0</v>
      </c>
      <c r="CN2" s="230">
        <v>1036000</v>
      </c>
      <c r="CO2" s="230">
        <v>1033500</v>
      </c>
      <c r="CP2" s="230">
        <v>2500</v>
      </c>
      <c r="CQ2" s="229">
        <v>2.3999999999999998E-3</v>
      </c>
      <c r="CR2" s="230">
        <v>557000</v>
      </c>
      <c r="CS2" s="230">
        <v>568500</v>
      </c>
      <c r="CT2" s="230">
        <v>-11500</v>
      </c>
      <c r="CU2" s="229">
        <v>-2.0199999999999999E-2</v>
      </c>
      <c r="CV2" s="230">
        <v>4148000</v>
      </c>
      <c r="CW2" s="230">
        <v>4261500</v>
      </c>
      <c r="CX2" s="230">
        <v>-113500</v>
      </c>
      <c r="CY2" s="229">
        <v>-2.6599999999999999E-2</v>
      </c>
      <c r="CZ2" s="228">
        <v>35.270000000000003</v>
      </c>
      <c r="DA2" s="228">
        <v>33.68</v>
      </c>
      <c r="DB2" s="228">
        <v>1.59</v>
      </c>
      <c r="DC2" s="228">
        <v>1.59</v>
      </c>
      <c r="DD2" s="228">
        <v>42.37</v>
      </c>
      <c r="DE2" s="228">
        <v>42.47</v>
      </c>
      <c r="DF2" s="228">
        <v>-7.1</v>
      </c>
      <c r="DG2" s="228">
        <v>-0.1</v>
      </c>
      <c r="DH2" s="228">
        <v>35.28</v>
      </c>
      <c r="DI2" s="228">
        <v>33.61</v>
      </c>
      <c r="DJ2" s="228">
        <v>1.67</v>
      </c>
      <c r="DK2" s="228">
        <v>1.67</v>
      </c>
      <c r="DL2" s="228">
        <v>35.270000000000003</v>
      </c>
      <c r="DM2" s="228">
        <v>33.86</v>
      </c>
      <c r="DN2" s="228">
        <v>1.41</v>
      </c>
      <c r="DO2" s="228">
        <v>1.41</v>
      </c>
      <c r="DP2" s="228">
        <v>0.54</v>
      </c>
      <c r="DQ2" s="228">
        <v>0.55000000000000004</v>
      </c>
      <c r="DR2" s="228">
        <v>-0.01</v>
      </c>
      <c r="DS2" s="229">
        <v>-1.8200000000000001E-2</v>
      </c>
      <c r="DT2" s="231">
        <v>1200</v>
      </c>
      <c r="DU2" s="231">
        <v>1200</v>
      </c>
      <c r="DV2" s="228">
        <v>0.59</v>
      </c>
      <c r="DW2" s="228">
        <v>0.33</v>
      </c>
      <c r="DX2" s="228">
        <v>0.26</v>
      </c>
      <c r="DY2" s="229">
        <v>0.78790000000000004</v>
      </c>
      <c r="DZ2" s="229">
        <v>3.6999999999999998E-2</v>
      </c>
      <c r="EA2" s="230">
        <v>65000</v>
      </c>
      <c r="EB2" s="229">
        <v>-3.7000000000000002E-3</v>
      </c>
      <c r="EC2" s="229">
        <v>3.6999999999999998E-2</v>
      </c>
      <c r="ED2" s="228">
        <v>-2.96</v>
      </c>
      <c r="EE2" s="229">
        <v>-2.5000000000000001E-3</v>
      </c>
      <c r="EF2" s="230">
        <v>753920</v>
      </c>
      <c r="EG2" s="230">
        <v>224410</v>
      </c>
      <c r="EH2" s="229">
        <v>2.3595999999999999</v>
      </c>
      <c r="EI2" s="229">
        <v>0.50549999999999995</v>
      </c>
      <c r="EJ2" s="231">
        <v>39646.639999999999</v>
      </c>
      <c r="EK2" s="231">
        <v>22975.54</v>
      </c>
      <c r="EL2" s="231">
        <v>26221.05</v>
      </c>
      <c r="EM2" s="231">
        <v>1090</v>
      </c>
      <c r="EN2" s="231">
        <v>88843.23</v>
      </c>
      <c r="EO2" s="231">
        <v>40407.94</v>
      </c>
      <c r="EP2" s="231">
        <v>48435.29</v>
      </c>
      <c r="EQ2" s="229">
        <v>1.1987000000000001</v>
      </c>
      <c r="ER2" s="231">
        <v>12808</v>
      </c>
      <c r="ES2" s="231">
        <v>6446</v>
      </c>
      <c r="ET2" s="231">
        <v>30605</v>
      </c>
      <c r="EU2" s="231">
        <v>36943219</v>
      </c>
      <c r="EV2" s="231">
        <v>49859</v>
      </c>
      <c r="EW2" s="231">
        <v>51105</v>
      </c>
      <c r="EX2" s="231">
        <v>-1246</v>
      </c>
      <c r="EY2" s="229">
        <v>-2.4400000000000002E-2</v>
      </c>
      <c r="EZ2" s="229">
        <v>0.1123</v>
      </c>
      <c r="FA2" s="227" t="s">
        <v>556</v>
      </c>
      <c r="FB2" s="161">
        <f>BX2-CB2</f>
        <v>94500</v>
      </c>
    </row>
    <row r="3" spans="1:158" ht="17.25" hidden="1" thickBot="1" x14ac:dyDescent="0.3">
      <c r="A3" s="226">
        <v>46029</v>
      </c>
      <c r="B3" s="227" t="s">
        <v>184</v>
      </c>
      <c r="C3" s="227" t="s">
        <v>553</v>
      </c>
      <c r="D3" s="228">
        <v>125</v>
      </c>
      <c r="E3" s="231">
        <v>5322</v>
      </c>
      <c r="F3" s="231">
        <v>5247</v>
      </c>
      <c r="G3" s="228">
        <v>75</v>
      </c>
      <c r="H3" s="229">
        <v>1.43E-2</v>
      </c>
      <c r="I3" s="231">
        <v>5299</v>
      </c>
      <c r="J3" s="231">
        <v>5224.5</v>
      </c>
      <c r="K3" s="228">
        <v>74.5</v>
      </c>
      <c r="L3" s="229">
        <v>1.43E-2</v>
      </c>
      <c r="M3" s="231">
        <v>5322</v>
      </c>
      <c r="N3" s="231">
        <v>5247</v>
      </c>
      <c r="O3" s="228">
        <v>75</v>
      </c>
      <c r="P3" s="229">
        <v>1.43E-2</v>
      </c>
      <c r="Q3" s="231">
        <v>5337.5</v>
      </c>
      <c r="R3" s="231">
        <v>5267</v>
      </c>
      <c r="S3" s="228">
        <v>70.5</v>
      </c>
      <c r="T3" s="229">
        <v>1.34E-2</v>
      </c>
      <c r="U3" s="231">
        <v>5361</v>
      </c>
      <c r="V3" s="231">
        <v>5283</v>
      </c>
      <c r="W3" s="228">
        <v>78</v>
      </c>
      <c r="X3" s="229">
        <v>1.4800000000000001E-2</v>
      </c>
      <c r="Y3" s="228">
        <v>23</v>
      </c>
      <c r="Z3" s="228">
        <v>22.5</v>
      </c>
      <c r="AA3" s="228">
        <v>0.5</v>
      </c>
      <c r="AB3" s="229">
        <v>4.3E-3</v>
      </c>
      <c r="AC3" s="228">
        <v>23</v>
      </c>
      <c r="AD3" s="228">
        <v>22.5</v>
      </c>
      <c r="AE3" s="228">
        <v>0.5</v>
      </c>
      <c r="AF3" s="229">
        <v>4.3E-3</v>
      </c>
      <c r="AG3" s="228">
        <v>38.5</v>
      </c>
      <c r="AH3" s="228">
        <v>42.5</v>
      </c>
      <c r="AI3" s="228">
        <v>-4</v>
      </c>
      <c r="AJ3" s="229">
        <v>7.3000000000000001E-3</v>
      </c>
      <c r="AK3" s="228">
        <v>62</v>
      </c>
      <c r="AL3" s="228">
        <v>58.5</v>
      </c>
      <c r="AM3" s="228">
        <v>3.5</v>
      </c>
      <c r="AN3" s="229">
        <v>1.17E-2</v>
      </c>
      <c r="AO3" s="231">
        <v>5283.11</v>
      </c>
      <c r="AP3" s="231">
        <v>5289.27</v>
      </c>
      <c r="AQ3" s="228">
        <v>0</v>
      </c>
      <c r="AR3" s="230">
        <v>443500</v>
      </c>
      <c r="AS3" s="230">
        <v>290125</v>
      </c>
      <c r="AT3" s="230">
        <v>153375</v>
      </c>
      <c r="AU3" s="229">
        <v>0.52869999999999995</v>
      </c>
      <c r="AV3" s="230">
        <v>410250</v>
      </c>
      <c r="AW3" s="230">
        <v>276875</v>
      </c>
      <c r="AX3" s="230">
        <v>133375</v>
      </c>
      <c r="AY3" s="229">
        <v>0.48170000000000002</v>
      </c>
      <c r="AZ3" s="230">
        <v>30625</v>
      </c>
      <c r="BA3" s="230">
        <v>12375</v>
      </c>
      <c r="BB3" s="230">
        <v>18250</v>
      </c>
      <c r="BC3" s="229">
        <v>1.4746999999999999</v>
      </c>
      <c r="BD3" s="230">
        <v>2625</v>
      </c>
      <c r="BE3" s="228">
        <v>875</v>
      </c>
      <c r="BF3" s="230">
        <v>1750</v>
      </c>
      <c r="BG3" s="229">
        <v>2</v>
      </c>
      <c r="BH3" s="230">
        <v>1934375</v>
      </c>
      <c r="BI3" s="230">
        <v>1111375</v>
      </c>
      <c r="BJ3" s="230">
        <v>823000</v>
      </c>
      <c r="BK3" s="229">
        <v>0.74050000000000005</v>
      </c>
      <c r="BL3" s="230">
        <v>427125</v>
      </c>
      <c r="BM3" s="230">
        <v>222625</v>
      </c>
      <c r="BN3" s="230">
        <v>204500</v>
      </c>
      <c r="BO3" s="229">
        <v>0.91859999999999997</v>
      </c>
      <c r="BP3" s="230">
        <v>2805000</v>
      </c>
      <c r="BQ3" s="230">
        <v>1624125</v>
      </c>
      <c r="BR3" s="230">
        <v>1180875</v>
      </c>
      <c r="BS3" s="229">
        <v>0.72709999999999997</v>
      </c>
      <c r="BT3" s="230">
        <v>126946</v>
      </c>
      <c r="BU3" s="230">
        <v>125865</v>
      </c>
      <c r="BV3" s="230">
        <v>1081</v>
      </c>
      <c r="BW3" s="229">
        <v>8.6E-3</v>
      </c>
      <c r="BX3" s="230">
        <v>2221750</v>
      </c>
      <c r="BY3" s="230">
        <v>2191750</v>
      </c>
      <c r="BZ3" s="230">
        <v>30000</v>
      </c>
      <c r="CA3" s="229">
        <v>1.37E-2</v>
      </c>
      <c r="CB3" s="230">
        <v>2136625</v>
      </c>
      <c r="CC3" s="230">
        <v>2115500</v>
      </c>
      <c r="CD3" s="230">
        <v>21125</v>
      </c>
      <c r="CE3" s="229">
        <v>0.01</v>
      </c>
      <c r="CF3" s="230">
        <v>79750</v>
      </c>
      <c r="CG3" s="230">
        <v>72250</v>
      </c>
      <c r="CH3" s="230">
        <v>7500</v>
      </c>
      <c r="CI3" s="229">
        <v>0.1038</v>
      </c>
      <c r="CJ3" s="230">
        <v>5375</v>
      </c>
      <c r="CK3" s="230">
        <v>4000</v>
      </c>
      <c r="CL3" s="230">
        <v>1375</v>
      </c>
      <c r="CM3" s="229">
        <v>0.34379999999999999</v>
      </c>
      <c r="CN3" s="230">
        <v>782500</v>
      </c>
      <c r="CO3" s="230">
        <v>562250</v>
      </c>
      <c r="CP3" s="230">
        <v>220250</v>
      </c>
      <c r="CQ3" s="229">
        <v>0.39169999999999999</v>
      </c>
      <c r="CR3" s="230">
        <v>507875</v>
      </c>
      <c r="CS3" s="230">
        <v>471000</v>
      </c>
      <c r="CT3" s="230">
        <v>36875</v>
      </c>
      <c r="CU3" s="229">
        <v>7.8299999999999995E-2</v>
      </c>
      <c r="CV3" s="230">
        <v>3512125</v>
      </c>
      <c r="CW3" s="230">
        <v>3225000</v>
      </c>
      <c r="CX3" s="230">
        <v>287125</v>
      </c>
      <c r="CY3" s="229">
        <v>8.8999999999999996E-2</v>
      </c>
      <c r="CZ3" s="228">
        <v>23.51</v>
      </c>
      <c r="DA3" s="228">
        <v>21.92</v>
      </c>
      <c r="DB3" s="228">
        <v>1.59</v>
      </c>
      <c r="DC3" s="228">
        <v>1.59</v>
      </c>
      <c r="DD3" s="228">
        <v>33.520000000000003</v>
      </c>
      <c r="DE3" s="228">
        <v>33.549999999999997</v>
      </c>
      <c r="DF3" s="228">
        <v>-10.01</v>
      </c>
      <c r="DG3" s="228">
        <v>-0.03</v>
      </c>
      <c r="DH3" s="228">
        <v>23.46</v>
      </c>
      <c r="DI3" s="228">
        <v>21.85</v>
      </c>
      <c r="DJ3" s="228">
        <v>1.61</v>
      </c>
      <c r="DK3" s="228">
        <v>1.61</v>
      </c>
      <c r="DL3" s="228">
        <v>23.74</v>
      </c>
      <c r="DM3" s="228">
        <v>22.27</v>
      </c>
      <c r="DN3" s="228">
        <v>1.47</v>
      </c>
      <c r="DO3" s="228">
        <v>1.47</v>
      </c>
      <c r="DP3" s="228">
        <v>0.65</v>
      </c>
      <c r="DQ3" s="228">
        <v>0.84</v>
      </c>
      <c r="DR3" s="228">
        <v>-0.19</v>
      </c>
      <c r="DS3" s="229">
        <v>-0.22620000000000001</v>
      </c>
      <c r="DT3" s="231">
        <v>5300</v>
      </c>
      <c r="DU3" s="231">
        <v>5200</v>
      </c>
      <c r="DV3" s="228">
        <v>0.22</v>
      </c>
      <c r="DW3" s="228">
        <v>0.2</v>
      </c>
      <c r="DX3" s="228">
        <v>0.02</v>
      </c>
      <c r="DY3" s="229">
        <v>0.1</v>
      </c>
      <c r="DZ3" s="229">
        <v>3.8300000000000001E-2</v>
      </c>
      <c r="EA3" s="230">
        <v>76250</v>
      </c>
      <c r="EB3" s="229">
        <v>2.8999999999999998E-3</v>
      </c>
      <c r="EC3" s="229">
        <v>3.8300000000000001E-2</v>
      </c>
      <c r="ED3" s="228">
        <v>6.16</v>
      </c>
      <c r="EE3" s="229">
        <v>1.1999999999999999E-3</v>
      </c>
      <c r="EF3" s="230">
        <v>60160</v>
      </c>
      <c r="EG3" s="230">
        <v>57378</v>
      </c>
      <c r="EH3" s="229">
        <v>4.8500000000000001E-2</v>
      </c>
      <c r="EI3" s="229">
        <v>0.47389999999999999</v>
      </c>
      <c r="EJ3" s="231">
        <v>106164.04</v>
      </c>
      <c r="EK3" s="231">
        <v>22155.8</v>
      </c>
      <c r="EL3" s="231">
        <v>23433.27</v>
      </c>
      <c r="EM3" s="231">
        <v>1870</v>
      </c>
      <c r="EN3" s="231">
        <v>151753.10999999999</v>
      </c>
      <c r="EO3" s="231">
        <v>86917.38</v>
      </c>
      <c r="EP3" s="231">
        <v>64835.73</v>
      </c>
      <c r="EQ3" s="229">
        <v>0.74590000000000001</v>
      </c>
      <c r="ER3" s="231">
        <v>42489</v>
      </c>
      <c r="ES3" s="231">
        <v>26488</v>
      </c>
      <c r="ET3" s="231">
        <v>118256</v>
      </c>
      <c r="EU3" s="231">
        <v>7946564</v>
      </c>
      <c r="EV3" s="231">
        <v>187234</v>
      </c>
      <c r="EW3" s="231">
        <v>169877</v>
      </c>
      <c r="EX3" s="231">
        <v>17357</v>
      </c>
      <c r="EY3" s="229">
        <v>0.1022</v>
      </c>
      <c r="EZ3" s="229">
        <v>0.442</v>
      </c>
      <c r="FA3" s="227" t="s">
        <v>555</v>
      </c>
      <c r="FB3" s="161">
        <f t="shared" ref="FB3:FB66" si="0">BX3-CB3</f>
        <v>85125</v>
      </c>
    </row>
    <row r="4" spans="1:158" ht="17.25" hidden="1" thickBot="1" x14ac:dyDescent="0.3">
      <c r="A4" s="226">
        <v>46029</v>
      </c>
      <c r="B4" s="227" t="s">
        <v>175</v>
      </c>
      <c r="C4" s="227" t="s">
        <v>544</v>
      </c>
      <c r="D4" s="228">
        <v>3100</v>
      </c>
      <c r="E4" s="228">
        <v>362.5</v>
      </c>
      <c r="F4" s="228">
        <v>361.65</v>
      </c>
      <c r="G4" s="228">
        <v>0.85</v>
      </c>
      <c r="H4" s="229">
        <v>2.3999999999999998E-3</v>
      </c>
      <c r="I4" s="228">
        <v>361.1</v>
      </c>
      <c r="J4" s="228">
        <v>360.65</v>
      </c>
      <c r="K4" s="228">
        <v>0.45</v>
      </c>
      <c r="L4" s="229">
        <v>1.1999999999999999E-3</v>
      </c>
      <c r="M4" s="228">
        <v>362.5</v>
      </c>
      <c r="N4" s="228">
        <v>361.65</v>
      </c>
      <c r="O4" s="228">
        <v>0.85</v>
      </c>
      <c r="P4" s="229">
        <v>2.3999999999999998E-3</v>
      </c>
      <c r="Q4" s="228">
        <v>364.55</v>
      </c>
      <c r="R4" s="228">
        <v>363.65</v>
      </c>
      <c r="S4" s="228">
        <v>0.9</v>
      </c>
      <c r="T4" s="229">
        <v>2.5000000000000001E-3</v>
      </c>
      <c r="U4" s="228">
        <v>367.5</v>
      </c>
      <c r="V4" s="228">
        <v>366.55</v>
      </c>
      <c r="W4" s="228">
        <v>0.95</v>
      </c>
      <c r="X4" s="229">
        <v>2.5999999999999999E-3</v>
      </c>
      <c r="Y4" s="228">
        <v>1.4</v>
      </c>
      <c r="Z4" s="228">
        <v>1</v>
      </c>
      <c r="AA4" s="228">
        <v>0.4</v>
      </c>
      <c r="AB4" s="229">
        <v>3.8999999999999998E-3</v>
      </c>
      <c r="AC4" s="228">
        <v>1.4</v>
      </c>
      <c r="AD4" s="228">
        <v>1</v>
      </c>
      <c r="AE4" s="228">
        <v>0.4</v>
      </c>
      <c r="AF4" s="229">
        <v>3.8999999999999998E-3</v>
      </c>
      <c r="AG4" s="228">
        <v>3.45</v>
      </c>
      <c r="AH4" s="228">
        <v>3</v>
      </c>
      <c r="AI4" s="228">
        <v>0.45</v>
      </c>
      <c r="AJ4" s="229">
        <v>9.5999999999999992E-3</v>
      </c>
      <c r="AK4" s="228">
        <v>6.4</v>
      </c>
      <c r="AL4" s="228">
        <v>5.9</v>
      </c>
      <c r="AM4" s="228">
        <v>0.5</v>
      </c>
      <c r="AN4" s="229">
        <v>1.77E-2</v>
      </c>
      <c r="AO4" s="228">
        <v>361.11</v>
      </c>
      <c r="AP4" s="228">
        <v>362.02</v>
      </c>
      <c r="AQ4" s="228">
        <v>0</v>
      </c>
      <c r="AR4" s="230">
        <v>11352200</v>
      </c>
      <c r="AS4" s="230">
        <v>10983300</v>
      </c>
      <c r="AT4" s="230">
        <v>368900</v>
      </c>
      <c r="AU4" s="229">
        <v>3.3599999999999998E-2</v>
      </c>
      <c r="AV4" s="230">
        <v>9721600</v>
      </c>
      <c r="AW4" s="230">
        <v>10412900</v>
      </c>
      <c r="AX4" s="230">
        <v>-691300</v>
      </c>
      <c r="AY4" s="229">
        <v>-6.6400000000000001E-2</v>
      </c>
      <c r="AZ4" s="230">
        <v>1171800</v>
      </c>
      <c r="BA4" s="230">
        <v>536300</v>
      </c>
      <c r="BB4" s="230">
        <v>635500</v>
      </c>
      <c r="BC4" s="229">
        <v>1.1850000000000001</v>
      </c>
      <c r="BD4" s="230">
        <v>458800</v>
      </c>
      <c r="BE4" s="230">
        <v>34100</v>
      </c>
      <c r="BF4" s="230">
        <v>424700</v>
      </c>
      <c r="BG4" s="229">
        <v>12.454499999999999</v>
      </c>
      <c r="BH4" s="230">
        <v>30085500</v>
      </c>
      <c r="BI4" s="230">
        <v>40594500</v>
      </c>
      <c r="BJ4" s="230">
        <v>-10509000</v>
      </c>
      <c r="BK4" s="229">
        <v>-0.25890000000000002</v>
      </c>
      <c r="BL4" s="230">
        <v>9957200</v>
      </c>
      <c r="BM4" s="230">
        <v>10781800</v>
      </c>
      <c r="BN4" s="230">
        <v>-824600</v>
      </c>
      <c r="BO4" s="229">
        <v>-7.6499999999999999E-2</v>
      </c>
      <c r="BP4" s="230">
        <v>51394900</v>
      </c>
      <c r="BQ4" s="230">
        <v>62359600</v>
      </c>
      <c r="BR4" s="230">
        <v>-10964700</v>
      </c>
      <c r="BS4" s="229">
        <v>-0.17580000000000001</v>
      </c>
      <c r="BT4" s="230">
        <v>2984788</v>
      </c>
      <c r="BU4" s="230">
        <v>3615625</v>
      </c>
      <c r="BV4" s="230">
        <v>-630837</v>
      </c>
      <c r="BW4" s="229">
        <v>-0.17449999999999999</v>
      </c>
      <c r="BX4" s="230">
        <v>79933500</v>
      </c>
      <c r="BY4" s="230">
        <v>78789600</v>
      </c>
      <c r="BZ4" s="230">
        <v>1143900</v>
      </c>
      <c r="CA4" s="229">
        <v>1.4500000000000001E-2</v>
      </c>
      <c r="CB4" s="230">
        <v>78256400</v>
      </c>
      <c r="CC4" s="230">
        <v>77692200</v>
      </c>
      <c r="CD4" s="230">
        <v>564200</v>
      </c>
      <c r="CE4" s="229">
        <v>7.3000000000000001E-3</v>
      </c>
      <c r="CF4" s="230">
        <v>1243100</v>
      </c>
      <c r="CG4" s="230">
        <v>992000</v>
      </c>
      <c r="CH4" s="230">
        <v>251100</v>
      </c>
      <c r="CI4" s="229">
        <v>0.25309999999999999</v>
      </c>
      <c r="CJ4" s="230">
        <v>434000</v>
      </c>
      <c r="CK4" s="230">
        <v>105400</v>
      </c>
      <c r="CL4" s="230">
        <v>328600</v>
      </c>
      <c r="CM4" s="229">
        <v>3.1175999999999999</v>
      </c>
      <c r="CN4" s="230">
        <v>24350500</v>
      </c>
      <c r="CO4" s="230">
        <v>24939500</v>
      </c>
      <c r="CP4" s="230">
        <v>-589000</v>
      </c>
      <c r="CQ4" s="229">
        <v>-2.3599999999999999E-2</v>
      </c>
      <c r="CR4" s="230">
        <v>11098000</v>
      </c>
      <c r="CS4" s="230">
        <v>10642300</v>
      </c>
      <c r="CT4" s="230">
        <v>455700</v>
      </c>
      <c r="CU4" s="229">
        <v>4.2799999999999998E-2</v>
      </c>
      <c r="CV4" s="230">
        <v>115382000</v>
      </c>
      <c r="CW4" s="230">
        <v>114371400</v>
      </c>
      <c r="CX4" s="230">
        <v>1010600</v>
      </c>
      <c r="CY4" s="229">
        <v>8.8000000000000005E-3</v>
      </c>
      <c r="CZ4" s="228">
        <v>28.73</v>
      </c>
      <c r="DA4" s="228">
        <v>29.73</v>
      </c>
      <c r="DB4" s="228">
        <v>-1</v>
      </c>
      <c r="DC4" s="228">
        <v>-1</v>
      </c>
      <c r="DD4" s="228">
        <v>37.9</v>
      </c>
      <c r="DE4" s="228">
        <v>38</v>
      </c>
      <c r="DF4" s="228">
        <v>-9.17</v>
      </c>
      <c r="DG4" s="228">
        <v>-0.1</v>
      </c>
      <c r="DH4" s="228">
        <v>28.83</v>
      </c>
      <c r="DI4" s="228">
        <v>29.99</v>
      </c>
      <c r="DJ4" s="228">
        <v>-1.1599999999999999</v>
      </c>
      <c r="DK4" s="228">
        <v>-1.1599999999999999</v>
      </c>
      <c r="DL4" s="228">
        <v>28.42</v>
      </c>
      <c r="DM4" s="228">
        <v>28.74</v>
      </c>
      <c r="DN4" s="228">
        <v>-0.32</v>
      </c>
      <c r="DO4" s="228">
        <v>-0.32</v>
      </c>
      <c r="DP4" s="228">
        <v>0.46</v>
      </c>
      <c r="DQ4" s="228">
        <v>0.43</v>
      </c>
      <c r="DR4" s="228">
        <v>0.03</v>
      </c>
      <c r="DS4" s="229">
        <v>6.9800000000000001E-2</v>
      </c>
      <c r="DT4" s="228">
        <v>385</v>
      </c>
      <c r="DU4" s="228">
        <v>350</v>
      </c>
      <c r="DV4" s="228">
        <v>0.33</v>
      </c>
      <c r="DW4" s="228">
        <v>0.27</v>
      </c>
      <c r="DX4" s="228">
        <v>0.06</v>
      </c>
      <c r="DY4" s="229">
        <v>0.22220000000000001</v>
      </c>
      <c r="DZ4" s="229">
        <v>2.1000000000000001E-2</v>
      </c>
      <c r="EA4" s="230">
        <v>1097400</v>
      </c>
      <c r="EB4" s="229">
        <v>5.7000000000000002E-3</v>
      </c>
      <c r="EC4" s="229">
        <v>2.1000000000000001E-2</v>
      </c>
      <c r="ED4" s="228">
        <v>0.91</v>
      </c>
      <c r="EE4" s="229">
        <v>2.5000000000000001E-3</v>
      </c>
      <c r="EF4" s="230">
        <v>1160499</v>
      </c>
      <c r="EG4" s="230">
        <v>1434119</v>
      </c>
      <c r="EH4" s="229">
        <v>-0.1908</v>
      </c>
      <c r="EI4" s="229">
        <v>0.38879999999999998</v>
      </c>
      <c r="EJ4" s="231">
        <v>114497.03</v>
      </c>
      <c r="EK4" s="231">
        <v>35417.599999999999</v>
      </c>
      <c r="EL4" s="231">
        <v>41016.46</v>
      </c>
      <c r="EM4" s="231">
        <v>3496</v>
      </c>
      <c r="EN4" s="231">
        <v>190931.09</v>
      </c>
      <c r="EO4" s="231">
        <v>235021.3</v>
      </c>
      <c r="EP4" s="231">
        <v>-44090.21</v>
      </c>
      <c r="EQ4" s="229">
        <v>-0.18759999999999999</v>
      </c>
      <c r="ER4" s="231">
        <v>91492</v>
      </c>
      <c r="ES4" s="231">
        <v>38378</v>
      </c>
      <c r="ET4" s="231">
        <v>289806</v>
      </c>
      <c r="EU4" s="231">
        <v>122657000</v>
      </c>
      <c r="EV4" s="231">
        <v>419676</v>
      </c>
      <c r="EW4" s="231">
        <v>415484</v>
      </c>
      <c r="EX4" s="231">
        <v>4192</v>
      </c>
      <c r="EY4" s="229">
        <v>1.01E-2</v>
      </c>
      <c r="EZ4" s="229">
        <v>0.94069999999999998</v>
      </c>
      <c r="FA4" s="227" t="s">
        <v>555</v>
      </c>
      <c r="FB4" s="161">
        <f t="shared" si="0"/>
        <v>1677100</v>
      </c>
    </row>
    <row r="5" spans="1:158" ht="17.25" hidden="1" thickBot="1" x14ac:dyDescent="0.3">
      <c r="A5" s="226">
        <v>46029</v>
      </c>
      <c r="B5" s="227" t="s">
        <v>161</v>
      </c>
      <c r="C5" s="227" t="s">
        <v>579</v>
      </c>
      <c r="D5" s="228">
        <v>675</v>
      </c>
      <c r="E5" s="231">
        <v>1035.3</v>
      </c>
      <c r="F5" s="231">
        <v>1046.5</v>
      </c>
      <c r="G5" s="228">
        <v>-11.2</v>
      </c>
      <c r="H5" s="229">
        <v>-1.0699999999999999E-2</v>
      </c>
      <c r="I5" s="231">
        <v>1033.5</v>
      </c>
      <c r="J5" s="231">
        <v>1044.0999999999999</v>
      </c>
      <c r="K5" s="228">
        <v>-10.6</v>
      </c>
      <c r="L5" s="229">
        <v>-1.0200000000000001E-2</v>
      </c>
      <c r="M5" s="231">
        <v>1035.3</v>
      </c>
      <c r="N5" s="231">
        <v>1046.5</v>
      </c>
      <c r="O5" s="228">
        <v>-11.2</v>
      </c>
      <c r="P5" s="229">
        <v>-1.0699999999999999E-2</v>
      </c>
      <c r="Q5" s="231">
        <v>1040.2</v>
      </c>
      <c r="R5" s="231">
        <v>1052.5999999999999</v>
      </c>
      <c r="S5" s="228">
        <v>-12.4</v>
      </c>
      <c r="T5" s="229">
        <v>-1.18E-2</v>
      </c>
      <c r="U5" s="231">
        <v>1056.9000000000001</v>
      </c>
      <c r="V5" s="231">
        <v>1059.2</v>
      </c>
      <c r="W5" s="228">
        <v>-2.2999999999999998</v>
      </c>
      <c r="X5" s="229">
        <v>-2.2000000000000001E-3</v>
      </c>
      <c r="Y5" s="228">
        <v>1.8</v>
      </c>
      <c r="Z5" s="228">
        <v>2.4</v>
      </c>
      <c r="AA5" s="228">
        <v>-0.6</v>
      </c>
      <c r="AB5" s="229">
        <v>1.6999999999999999E-3</v>
      </c>
      <c r="AC5" s="228">
        <v>1.8</v>
      </c>
      <c r="AD5" s="228">
        <v>2.4</v>
      </c>
      <c r="AE5" s="228">
        <v>-0.6</v>
      </c>
      <c r="AF5" s="229">
        <v>1.6999999999999999E-3</v>
      </c>
      <c r="AG5" s="228">
        <v>6.7</v>
      </c>
      <c r="AH5" s="228">
        <v>8.5</v>
      </c>
      <c r="AI5" s="228">
        <v>-1.8</v>
      </c>
      <c r="AJ5" s="229">
        <v>6.4999999999999997E-3</v>
      </c>
      <c r="AK5" s="228">
        <v>23.4</v>
      </c>
      <c r="AL5" s="228">
        <v>15.1</v>
      </c>
      <c r="AM5" s="228">
        <v>8.3000000000000007</v>
      </c>
      <c r="AN5" s="229">
        <v>2.2599999999999999E-2</v>
      </c>
      <c r="AO5" s="231">
        <v>1038.8499999999999</v>
      </c>
      <c r="AP5" s="231">
        <v>1046.98</v>
      </c>
      <c r="AQ5" s="228">
        <v>0</v>
      </c>
      <c r="AR5" s="230">
        <v>864675</v>
      </c>
      <c r="AS5" s="230">
        <v>1453950</v>
      </c>
      <c r="AT5" s="230">
        <v>-589275</v>
      </c>
      <c r="AU5" s="229">
        <v>-0.40529999999999999</v>
      </c>
      <c r="AV5" s="230">
        <v>829575</v>
      </c>
      <c r="AW5" s="230">
        <v>1411425</v>
      </c>
      <c r="AX5" s="230">
        <v>-581850</v>
      </c>
      <c r="AY5" s="229">
        <v>-0.41220000000000001</v>
      </c>
      <c r="AZ5" s="230">
        <v>30375</v>
      </c>
      <c r="BA5" s="230">
        <v>37800</v>
      </c>
      <c r="BB5" s="230">
        <v>-7425</v>
      </c>
      <c r="BC5" s="229">
        <v>-0.19639999999999999</v>
      </c>
      <c r="BD5" s="230">
        <v>4725</v>
      </c>
      <c r="BE5" s="230">
        <v>4725</v>
      </c>
      <c r="BF5" s="228">
        <v>0</v>
      </c>
      <c r="BG5" s="229">
        <v>0</v>
      </c>
      <c r="BH5" s="230">
        <v>2384100</v>
      </c>
      <c r="BI5" s="230">
        <v>2337525</v>
      </c>
      <c r="BJ5" s="230">
        <v>46575</v>
      </c>
      <c r="BK5" s="229">
        <v>1.9900000000000001E-2</v>
      </c>
      <c r="BL5" s="230">
        <v>559575</v>
      </c>
      <c r="BM5" s="230">
        <v>1283850</v>
      </c>
      <c r="BN5" s="230">
        <v>-724275</v>
      </c>
      <c r="BO5" s="229">
        <v>-0.56410000000000005</v>
      </c>
      <c r="BP5" s="230">
        <v>3808350</v>
      </c>
      <c r="BQ5" s="230">
        <v>5075325</v>
      </c>
      <c r="BR5" s="230">
        <v>-1266975</v>
      </c>
      <c r="BS5" s="229">
        <v>-0.24959999999999999</v>
      </c>
      <c r="BT5" s="230">
        <v>514748</v>
      </c>
      <c r="BU5" s="230">
        <v>983385</v>
      </c>
      <c r="BV5" s="230">
        <v>-468637</v>
      </c>
      <c r="BW5" s="229">
        <v>-0.47660000000000002</v>
      </c>
      <c r="BX5" s="230">
        <v>17160525</v>
      </c>
      <c r="BY5" s="230">
        <v>17218575</v>
      </c>
      <c r="BZ5" s="230">
        <v>-58050</v>
      </c>
      <c r="CA5" s="229">
        <v>-3.3999999999999998E-3</v>
      </c>
      <c r="CB5" s="230">
        <v>16984350</v>
      </c>
      <c r="CC5" s="230">
        <v>17054550</v>
      </c>
      <c r="CD5" s="230">
        <v>-70200</v>
      </c>
      <c r="CE5" s="229">
        <v>-4.1000000000000003E-3</v>
      </c>
      <c r="CF5" s="230">
        <v>139050</v>
      </c>
      <c r="CG5" s="230">
        <v>130275</v>
      </c>
      <c r="CH5" s="230">
        <v>8775</v>
      </c>
      <c r="CI5" s="229">
        <v>6.7400000000000002E-2</v>
      </c>
      <c r="CJ5" s="230">
        <v>37125</v>
      </c>
      <c r="CK5" s="230">
        <v>33750</v>
      </c>
      <c r="CL5" s="230">
        <v>3375</v>
      </c>
      <c r="CM5" s="229">
        <v>0.1</v>
      </c>
      <c r="CN5" s="230">
        <v>3604500</v>
      </c>
      <c r="CO5" s="230">
        <v>3518100</v>
      </c>
      <c r="CP5" s="230">
        <v>86400</v>
      </c>
      <c r="CQ5" s="229">
        <v>2.46E-2</v>
      </c>
      <c r="CR5" s="230">
        <v>2098575</v>
      </c>
      <c r="CS5" s="230">
        <v>2075625</v>
      </c>
      <c r="CT5" s="230">
        <v>22950</v>
      </c>
      <c r="CU5" s="229">
        <v>1.11E-2</v>
      </c>
      <c r="CV5" s="230">
        <v>22863600</v>
      </c>
      <c r="CW5" s="230">
        <v>22812300</v>
      </c>
      <c r="CX5" s="230">
        <v>51300</v>
      </c>
      <c r="CY5" s="229">
        <v>2.2000000000000001E-3</v>
      </c>
      <c r="CZ5" s="228">
        <v>30.94</v>
      </c>
      <c r="DA5" s="228">
        <v>31.31</v>
      </c>
      <c r="DB5" s="228">
        <v>-0.37</v>
      </c>
      <c r="DC5" s="228">
        <v>-0.37</v>
      </c>
      <c r="DD5" s="228">
        <v>50.59</v>
      </c>
      <c r="DE5" s="228">
        <v>50.7</v>
      </c>
      <c r="DF5" s="228">
        <v>-19.649999999999999</v>
      </c>
      <c r="DG5" s="228">
        <v>-0.11</v>
      </c>
      <c r="DH5" s="228">
        <v>30.97</v>
      </c>
      <c r="DI5" s="228">
        <v>31.29</v>
      </c>
      <c r="DJ5" s="228">
        <v>-0.32</v>
      </c>
      <c r="DK5" s="228">
        <v>-0.32</v>
      </c>
      <c r="DL5" s="228">
        <v>30.82</v>
      </c>
      <c r="DM5" s="228">
        <v>31.37</v>
      </c>
      <c r="DN5" s="228">
        <v>-0.55000000000000004</v>
      </c>
      <c r="DO5" s="228">
        <v>-0.55000000000000004</v>
      </c>
      <c r="DP5" s="228">
        <v>0.57999999999999996</v>
      </c>
      <c r="DQ5" s="228">
        <v>0.59</v>
      </c>
      <c r="DR5" s="228">
        <v>-0.01</v>
      </c>
      <c r="DS5" s="229">
        <v>-1.6899999999999998E-2</v>
      </c>
      <c r="DT5" s="231">
        <v>1100</v>
      </c>
      <c r="DU5" s="228">
        <v>980</v>
      </c>
      <c r="DV5" s="228">
        <v>0.23</v>
      </c>
      <c r="DW5" s="228">
        <v>0.55000000000000004</v>
      </c>
      <c r="DX5" s="228">
        <v>-0.32</v>
      </c>
      <c r="DY5" s="229">
        <v>-0.58179999999999998</v>
      </c>
      <c r="DZ5" s="229">
        <v>1.03E-2</v>
      </c>
      <c r="EA5" s="230">
        <v>164025</v>
      </c>
      <c r="EB5" s="229">
        <v>4.7000000000000002E-3</v>
      </c>
      <c r="EC5" s="229">
        <v>1.03E-2</v>
      </c>
      <c r="ED5" s="228">
        <v>8.1300000000000008</v>
      </c>
      <c r="EE5" s="229">
        <v>7.7999999999999996E-3</v>
      </c>
      <c r="EF5" s="230">
        <v>221299</v>
      </c>
      <c r="EG5" s="230">
        <v>446407</v>
      </c>
      <c r="EH5" s="229">
        <v>-0.50429999999999997</v>
      </c>
      <c r="EI5" s="229">
        <v>0.4299</v>
      </c>
      <c r="EJ5" s="231">
        <v>26205.26</v>
      </c>
      <c r="EK5" s="231">
        <v>5790.36</v>
      </c>
      <c r="EL5" s="231">
        <v>8985.91</v>
      </c>
      <c r="EM5" s="231">
        <v>3065</v>
      </c>
      <c r="EN5" s="231">
        <v>40981.53</v>
      </c>
      <c r="EO5" s="231">
        <v>54314.38</v>
      </c>
      <c r="EP5" s="231">
        <v>-13332.85</v>
      </c>
      <c r="EQ5" s="229">
        <v>-0.2455</v>
      </c>
      <c r="ER5" s="231">
        <v>39050</v>
      </c>
      <c r="ES5" s="231">
        <v>20874</v>
      </c>
      <c r="ET5" s="231">
        <v>177678</v>
      </c>
      <c r="EU5" s="231">
        <v>43791427</v>
      </c>
      <c r="EV5" s="231">
        <v>237602</v>
      </c>
      <c r="EW5" s="231">
        <v>238937</v>
      </c>
      <c r="EX5" s="231">
        <v>-1335</v>
      </c>
      <c r="EY5" s="229">
        <v>-5.5999999999999999E-3</v>
      </c>
      <c r="EZ5" s="229">
        <v>0.52210000000000001</v>
      </c>
      <c r="FA5" s="227" t="s">
        <v>568</v>
      </c>
      <c r="FB5" s="161">
        <f t="shared" si="0"/>
        <v>176175</v>
      </c>
    </row>
    <row r="6" spans="1:158" ht="17.25" hidden="1" thickBot="1" x14ac:dyDescent="0.3">
      <c r="A6" s="226">
        <v>46029</v>
      </c>
      <c r="B6" s="227" t="s">
        <v>215</v>
      </c>
      <c r="C6" s="227" t="s">
        <v>159</v>
      </c>
      <c r="D6" s="228">
        <v>309</v>
      </c>
      <c r="E6" s="231">
        <v>2284.1</v>
      </c>
      <c r="F6" s="231">
        <v>2270.5</v>
      </c>
      <c r="G6" s="228">
        <v>13.6</v>
      </c>
      <c r="H6" s="229">
        <v>6.0000000000000001E-3</v>
      </c>
      <c r="I6" s="231">
        <v>2274.1</v>
      </c>
      <c r="J6" s="231">
        <v>2259.1</v>
      </c>
      <c r="K6" s="228">
        <v>15</v>
      </c>
      <c r="L6" s="229">
        <v>6.6E-3</v>
      </c>
      <c r="M6" s="231">
        <v>2284.1</v>
      </c>
      <c r="N6" s="231">
        <v>2270.5</v>
      </c>
      <c r="O6" s="228">
        <v>13.6</v>
      </c>
      <c r="P6" s="229">
        <v>6.0000000000000001E-3</v>
      </c>
      <c r="Q6" s="231">
        <v>2287.5</v>
      </c>
      <c r="R6" s="231">
        <v>2276.9</v>
      </c>
      <c r="S6" s="228">
        <v>10.6</v>
      </c>
      <c r="T6" s="229">
        <v>4.7000000000000002E-3</v>
      </c>
      <c r="U6" s="231">
        <v>2298.4</v>
      </c>
      <c r="V6" s="231">
        <v>2286.6</v>
      </c>
      <c r="W6" s="228">
        <v>11.8</v>
      </c>
      <c r="X6" s="229">
        <v>5.1999999999999998E-3</v>
      </c>
      <c r="Y6" s="228">
        <v>10</v>
      </c>
      <c r="Z6" s="228">
        <v>11.4</v>
      </c>
      <c r="AA6" s="228">
        <v>-1.4</v>
      </c>
      <c r="AB6" s="229">
        <v>4.4000000000000003E-3</v>
      </c>
      <c r="AC6" s="228">
        <v>10</v>
      </c>
      <c r="AD6" s="228">
        <v>11.4</v>
      </c>
      <c r="AE6" s="228">
        <v>-1.4</v>
      </c>
      <c r="AF6" s="229">
        <v>4.4000000000000003E-3</v>
      </c>
      <c r="AG6" s="228">
        <v>13.4</v>
      </c>
      <c r="AH6" s="228">
        <v>17.8</v>
      </c>
      <c r="AI6" s="228">
        <v>-4.4000000000000004</v>
      </c>
      <c r="AJ6" s="229">
        <v>5.8999999999999999E-3</v>
      </c>
      <c r="AK6" s="228">
        <v>24.3</v>
      </c>
      <c r="AL6" s="228">
        <v>27.5</v>
      </c>
      <c r="AM6" s="228">
        <v>-3.2</v>
      </c>
      <c r="AN6" s="229">
        <v>1.0699999999999999E-2</v>
      </c>
      <c r="AO6" s="231">
        <v>2276.9</v>
      </c>
      <c r="AP6" s="231">
        <v>2278.98</v>
      </c>
      <c r="AQ6" s="228">
        <v>0</v>
      </c>
      <c r="AR6" s="230">
        <v>1733490</v>
      </c>
      <c r="AS6" s="230">
        <v>1583316</v>
      </c>
      <c r="AT6" s="230">
        <v>150174</v>
      </c>
      <c r="AU6" s="229">
        <v>9.4799999999999995E-2</v>
      </c>
      <c r="AV6" s="230">
        <v>1530477</v>
      </c>
      <c r="AW6" s="230">
        <v>1348476</v>
      </c>
      <c r="AX6" s="230">
        <v>182001</v>
      </c>
      <c r="AY6" s="229">
        <v>0.13500000000000001</v>
      </c>
      <c r="AZ6" s="230">
        <v>167169</v>
      </c>
      <c r="BA6" s="230">
        <v>213210</v>
      </c>
      <c r="BB6" s="230">
        <v>-46041</v>
      </c>
      <c r="BC6" s="229">
        <v>-0.21590000000000001</v>
      </c>
      <c r="BD6" s="230">
        <v>35844</v>
      </c>
      <c r="BE6" s="230">
        <v>21630</v>
      </c>
      <c r="BF6" s="230">
        <v>14214</v>
      </c>
      <c r="BG6" s="229">
        <v>0.65710000000000002</v>
      </c>
      <c r="BH6" s="230">
        <v>5772738</v>
      </c>
      <c r="BI6" s="230">
        <v>4840794</v>
      </c>
      <c r="BJ6" s="230">
        <v>931944</v>
      </c>
      <c r="BK6" s="229">
        <v>0.1925</v>
      </c>
      <c r="BL6" s="230">
        <v>2389806</v>
      </c>
      <c r="BM6" s="230">
        <v>3640329</v>
      </c>
      <c r="BN6" s="230">
        <v>-1250523</v>
      </c>
      <c r="BO6" s="229">
        <v>-0.34350000000000003</v>
      </c>
      <c r="BP6" s="230">
        <v>9896034</v>
      </c>
      <c r="BQ6" s="230">
        <v>10064439</v>
      </c>
      <c r="BR6" s="230">
        <v>-168405</v>
      </c>
      <c r="BS6" s="229">
        <v>-1.67E-2</v>
      </c>
      <c r="BT6" s="230">
        <v>548753</v>
      </c>
      <c r="BU6" s="230">
        <v>719517</v>
      </c>
      <c r="BV6" s="230">
        <v>-170764</v>
      </c>
      <c r="BW6" s="229">
        <v>-0.23730000000000001</v>
      </c>
      <c r="BX6" s="230">
        <v>21326871</v>
      </c>
      <c r="BY6" s="230">
        <v>21310803</v>
      </c>
      <c r="BZ6" s="230">
        <v>16068</v>
      </c>
      <c r="CA6" s="229">
        <v>8.0000000000000004E-4</v>
      </c>
      <c r="CB6" s="230">
        <v>20316441</v>
      </c>
      <c r="CC6" s="230">
        <v>20356920</v>
      </c>
      <c r="CD6" s="230">
        <v>-40479</v>
      </c>
      <c r="CE6" s="229">
        <v>-2E-3</v>
      </c>
      <c r="CF6" s="230">
        <v>939051</v>
      </c>
      <c r="CG6" s="230">
        <v>907224</v>
      </c>
      <c r="CH6" s="230">
        <v>31827</v>
      </c>
      <c r="CI6" s="229">
        <v>3.5099999999999999E-2</v>
      </c>
      <c r="CJ6" s="230">
        <v>71379</v>
      </c>
      <c r="CK6" s="230">
        <v>46659</v>
      </c>
      <c r="CL6" s="230">
        <v>24720</v>
      </c>
      <c r="CM6" s="229">
        <v>0.52980000000000005</v>
      </c>
      <c r="CN6" s="230">
        <v>6997305</v>
      </c>
      <c r="CO6" s="230">
        <v>6736818</v>
      </c>
      <c r="CP6" s="230">
        <v>260487</v>
      </c>
      <c r="CQ6" s="229">
        <v>3.8699999999999998E-2</v>
      </c>
      <c r="CR6" s="230">
        <v>5915805</v>
      </c>
      <c r="CS6" s="230">
        <v>5820015</v>
      </c>
      <c r="CT6" s="230">
        <v>95790</v>
      </c>
      <c r="CU6" s="229">
        <v>1.6500000000000001E-2</v>
      </c>
      <c r="CV6" s="230">
        <v>34239981</v>
      </c>
      <c r="CW6" s="230">
        <v>33867636</v>
      </c>
      <c r="CX6" s="230">
        <v>372345</v>
      </c>
      <c r="CY6" s="229">
        <v>1.0999999999999999E-2</v>
      </c>
      <c r="CZ6" s="228">
        <v>25.06</v>
      </c>
      <c r="DA6" s="228">
        <v>25.97</v>
      </c>
      <c r="DB6" s="228">
        <v>-0.91</v>
      </c>
      <c r="DC6" s="228">
        <v>-0.91</v>
      </c>
      <c r="DD6" s="228">
        <v>45.25</v>
      </c>
      <c r="DE6" s="228">
        <v>45.35</v>
      </c>
      <c r="DF6" s="228">
        <v>-20.190000000000001</v>
      </c>
      <c r="DG6" s="228">
        <v>-0.1</v>
      </c>
      <c r="DH6" s="228">
        <v>24.9</v>
      </c>
      <c r="DI6" s="228">
        <v>25.83</v>
      </c>
      <c r="DJ6" s="228">
        <v>-0.93</v>
      </c>
      <c r="DK6" s="228">
        <v>-0.93</v>
      </c>
      <c r="DL6" s="228">
        <v>25.46</v>
      </c>
      <c r="DM6" s="228">
        <v>26.16</v>
      </c>
      <c r="DN6" s="228">
        <v>-0.7</v>
      </c>
      <c r="DO6" s="228">
        <v>-0.7</v>
      </c>
      <c r="DP6" s="228">
        <v>0.85</v>
      </c>
      <c r="DQ6" s="228">
        <v>0.86</v>
      </c>
      <c r="DR6" s="228">
        <v>-0.01</v>
      </c>
      <c r="DS6" s="229">
        <v>-1.1599999999999999E-2</v>
      </c>
      <c r="DT6" s="231">
        <v>2300</v>
      </c>
      <c r="DU6" s="231">
        <v>2200</v>
      </c>
      <c r="DV6" s="228">
        <v>0.41</v>
      </c>
      <c r="DW6" s="228">
        <v>0.75</v>
      </c>
      <c r="DX6" s="228">
        <v>-0.34</v>
      </c>
      <c r="DY6" s="229">
        <v>-0.45329999999999998</v>
      </c>
      <c r="DZ6" s="229">
        <v>4.7399999999999998E-2</v>
      </c>
      <c r="EA6" s="230">
        <v>953883</v>
      </c>
      <c r="EB6" s="229">
        <v>1.5E-3</v>
      </c>
      <c r="EC6" s="229">
        <v>4.7399999999999998E-2</v>
      </c>
      <c r="ED6" s="228">
        <v>2.08</v>
      </c>
      <c r="EE6" s="229">
        <v>8.9999999999999998E-4</v>
      </c>
      <c r="EF6" s="230">
        <v>166487</v>
      </c>
      <c r="EG6" s="230">
        <v>302488</v>
      </c>
      <c r="EH6" s="229">
        <v>-0.4496</v>
      </c>
      <c r="EI6" s="229">
        <v>0.3034</v>
      </c>
      <c r="EJ6" s="231">
        <v>136328.35999999999</v>
      </c>
      <c r="EK6" s="231">
        <v>53990.14</v>
      </c>
      <c r="EL6" s="231">
        <v>39477.03</v>
      </c>
      <c r="EM6" s="231">
        <v>6775</v>
      </c>
      <c r="EN6" s="231">
        <v>229795.53</v>
      </c>
      <c r="EO6" s="231">
        <v>233159.12</v>
      </c>
      <c r="EP6" s="231">
        <v>-3363.59</v>
      </c>
      <c r="EQ6" s="229">
        <v>-1.44E-2</v>
      </c>
      <c r="ER6" s="231">
        <v>163328</v>
      </c>
      <c r="ES6" s="231">
        <v>132761</v>
      </c>
      <c r="ET6" s="231">
        <v>487169</v>
      </c>
      <c r="EU6" s="231">
        <v>49117354</v>
      </c>
      <c r="EV6" s="231">
        <v>783259</v>
      </c>
      <c r="EW6" s="231">
        <v>771789</v>
      </c>
      <c r="EX6" s="231">
        <v>11470</v>
      </c>
      <c r="EY6" s="229">
        <v>1.49E-2</v>
      </c>
      <c r="EZ6" s="229">
        <v>0.69710000000000005</v>
      </c>
      <c r="FA6" s="227" t="s">
        <v>555</v>
      </c>
      <c r="FB6" s="161">
        <f t="shared" si="0"/>
        <v>1010430</v>
      </c>
    </row>
    <row r="7" spans="1:158" ht="17.25" hidden="1" thickBot="1" x14ac:dyDescent="0.3">
      <c r="A7" s="226">
        <v>46029</v>
      </c>
      <c r="B7" s="227" t="s">
        <v>161</v>
      </c>
      <c r="C7" s="227" t="s">
        <v>606</v>
      </c>
      <c r="D7" s="228">
        <v>600</v>
      </c>
      <c r="E7" s="231">
        <v>1022.1</v>
      </c>
      <c r="F7" s="231">
        <v>1025.3</v>
      </c>
      <c r="G7" s="228">
        <v>-3.2</v>
      </c>
      <c r="H7" s="229">
        <v>-3.0999999999999999E-3</v>
      </c>
      <c r="I7" s="231">
        <v>1019.2</v>
      </c>
      <c r="J7" s="231">
        <v>1019.4</v>
      </c>
      <c r="K7" s="228">
        <v>-0.2</v>
      </c>
      <c r="L7" s="229">
        <v>-2.0000000000000001E-4</v>
      </c>
      <c r="M7" s="231">
        <v>1022.1</v>
      </c>
      <c r="N7" s="231">
        <v>1025.3</v>
      </c>
      <c r="O7" s="228">
        <v>-3.2</v>
      </c>
      <c r="P7" s="229">
        <v>-3.0999999999999999E-3</v>
      </c>
      <c r="Q7" s="231">
        <v>1028.8</v>
      </c>
      <c r="R7" s="231">
        <v>1030.5</v>
      </c>
      <c r="S7" s="228">
        <v>-1.7</v>
      </c>
      <c r="T7" s="229">
        <v>-1.6000000000000001E-3</v>
      </c>
      <c r="U7" s="231">
        <v>1037.8</v>
      </c>
      <c r="V7" s="231">
        <v>1037.2</v>
      </c>
      <c r="W7" s="228">
        <v>0.6</v>
      </c>
      <c r="X7" s="229">
        <v>5.9999999999999995E-4</v>
      </c>
      <c r="Y7" s="228">
        <v>2.9</v>
      </c>
      <c r="Z7" s="228">
        <v>5.9</v>
      </c>
      <c r="AA7" s="228">
        <v>-3</v>
      </c>
      <c r="AB7" s="229">
        <v>2.8E-3</v>
      </c>
      <c r="AC7" s="228">
        <v>2.9</v>
      </c>
      <c r="AD7" s="228">
        <v>5.9</v>
      </c>
      <c r="AE7" s="228">
        <v>-3</v>
      </c>
      <c r="AF7" s="229">
        <v>2.8E-3</v>
      </c>
      <c r="AG7" s="228">
        <v>9.6</v>
      </c>
      <c r="AH7" s="228">
        <v>11.1</v>
      </c>
      <c r="AI7" s="228">
        <v>-1.5</v>
      </c>
      <c r="AJ7" s="229">
        <v>9.4000000000000004E-3</v>
      </c>
      <c r="AK7" s="228">
        <v>18.600000000000001</v>
      </c>
      <c r="AL7" s="228">
        <v>17.8</v>
      </c>
      <c r="AM7" s="228">
        <v>0.8</v>
      </c>
      <c r="AN7" s="229">
        <v>1.8200000000000001E-2</v>
      </c>
      <c r="AO7" s="231">
        <v>1021.02</v>
      </c>
      <c r="AP7" s="231">
        <v>1027.04</v>
      </c>
      <c r="AQ7" s="228">
        <v>0</v>
      </c>
      <c r="AR7" s="230">
        <v>1231200</v>
      </c>
      <c r="AS7" s="230">
        <v>2028000</v>
      </c>
      <c r="AT7" s="230">
        <v>-796800</v>
      </c>
      <c r="AU7" s="229">
        <v>-0.39290000000000003</v>
      </c>
      <c r="AV7" s="230">
        <v>1126800</v>
      </c>
      <c r="AW7" s="230">
        <v>1929000</v>
      </c>
      <c r="AX7" s="230">
        <v>-802200</v>
      </c>
      <c r="AY7" s="229">
        <v>-0.41589999999999999</v>
      </c>
      <c r="AZ7" s="230">
        <v>97800</v>
      </c>
      <c r="BA7" s="230">
        <v>75000</v>
      </c>
      <c r="BB7" s="230">
        <v>22800</v>
      </c>
      <c r="BC7" s="229">
        <v>0.30399999999999999</v>
      </c>
      <c r="BD7" s="230">
        <v>6600</v>
      </c>
      <c r="BE7" s="230">
        <v>24000</v>
      </c>
      <c r="BF7" s="230">
        <v>-17400</v>
      </c>
      <c r="BG7" s="229">
        <v>-0.72499999999999998</v>
      </c>
      <c r="BH7" s="230">
        <v>3163200</v>
      </c>
      <c r="BI7" s="230">
        <v>3741600</v>
      </c>
      <c r="BJ7" s="230">
        <v>-578400</v>
      </c>
      <c r="BK7" s="229">
        <v>-0.15459999999999999</v>
      </c>
      <c r="BL7" s="230">
        <v>764400</v>
      </c>
      <c r="BM7" s="230">
        <v>1269000</v>
      </c>
      <c r="BN7" s="230">
        <v>-504600</v>
      </c>
      <c r="BO7" s="229">
        <v>-0.39760000000000001</v>
      </c>
      <c r="BP7" s="230">
        <v>5158800</v>
      </c>
      <c r="BQ7" s="230">
        <v>7038600</v>
      </c>
      <c r="BR7" s="230">
        <v>-1879800</v>
      </c>
      <c r="BS7" s="229">
        <v>-0.2671</v>
      </c>
      <c r="BT7" s="230">
        <v>781561</v>
      </c>
      <c r="BU7" s="230">
        <v>1014662</v>
      </c>
      <c r="BV7" s="230">
        <v>-233101</v>
      </c>
      <c r="BW7" s="229">
        <v>-0.22969999999999999</v>
      </c>
      <c r="BX7" s="230">
        <v>23673000</v>
      </c>
      <c r="BY7" s="230">
        <v>23698200</v>
      </c>
      <c r="BZ7" s="230">
        <v>-25200</v>
      </c>
      <c r="CA7" s="229">
        <v>-1.1000000000000001E-3</v>
      </c>
      <c r="CB7" s="230">
        <v>23122200</v>
      </c>
      <c r="CC7" s="230">
        <v>23197200</v>
      </c>
      <c r="CD7" s="230">
        <v>-75000</v>
      </c>
      <c r="CE7" s="229">
        <v>-3.2000000000000002E-3</v>
      </c>
      <c r="CF7" s="230">
        <v>493200</v>
      </c>
      <c r="CG7" s="230">
        <v>445200</v>
      </c>
      <c r="CH7" s="230">
        <v>48000</v>
      </c>
      <c r="CI7" s="229">
        <v>0.10780000000000001</v>
      </c>
      <c r="CJ7" s="230">
        <v>57600</v>
      </c>
      <c r="CK7" s="230">
        <v>55800</v>
      </c>
      <c r="CL7" s="230">
        <v>1800</v>
      </c>
      <c r="CM7" s="229">
        <v>3.2300000000000002E-2</v>
      </c>
      <c r="CN7" s="230">
        <v>6669000</v>
      </c>
      <c r="CO7" s="230">
        <v>6465000</v>
      </c>
      <c r="CP7" s="230">
        <v>204000</v>
      </c>
      <c r="CQ7" s="229">
        <v>3.1600000000000003E-2</v>
      </c>
      <c r="CR7" s="230">
        <v>4022400</v>
      </c>
      <c r="CS7" s="230">
        <v>3936600</v>
      </c>
      <c r="CT7" s="230">
        <v>85800</v>
      </c>
      <c r="CU7" s="229">
        <v>2.18E-2</v>
      </c>
      <c r="CV7" s="230">
        <v>34364400</v>
      </c>
      <c r="CW7" s="230">
        <v>34099800</v>
      </c>
      <c r="CX7" s="230">
        <v>264600</v>
      </c>
      <c r="CY7" s="229">
        <v>7.7999999999999996E-3</v>
      </c>
      <c r="CZ7" s="228">
        <v>33.58</v>
      </c>
      <c r="DA7" s="228">
        <v>33.35</v>
      </c>
      <c r="DB7" s="228">
        <v>0.23</v>
      </c>
      <c r="DC7" s="228">
        <v>0.23</v>
      </c>
      <c r="DD7" s="228">
        <v>54</v>
      </c>
      <c r="DE7" s="228">
        <v>54.14</v>
      </c>
      <c r="DF7" s="228">
        <v>-20.420000000000002</v>
      </c>
      <c r="DG7" s="228">
        <v>-0.14000000000000001</v>
      </c>
      <c r="DH7" s="228">
        <v>33.64</v>
      </c>
      <c r="DI7" s="228">
        <v>33.4</v>
      </c>
      <c r="DJ7" s="228">
        <v>0.24</v>
      </c>
      <c r="DK7" s="228">
        <v>0.24</v>
      </c>
      <c r="DL7" s="228">
        <v>33.32</v>
      </c>
      <c r="DM7" s="228">
        <v>33.21</v>
      </c>
      <c r="DN7" s="228">
        <v>0.11</v>
      </c>
      <c r="DO7" s="228">
        <v>0.11</v>
      </c>
      <c r="DP7" s="228">
        <v>0.6</v>
      </c>
      <c r="DQ7" s="228">
        <v>0.61</v>
      </c>
      <c r="DR7" s="228">
        <v>-0.01</v>
      </c>
      <c r="DS7" s="229">
        <v>-1.6400000000000001E-2</v>
      </c>
      <c r="DT7" s="231">
        <v>1100</v>
      </c>
      <c r="DU7" s="231">
        <v>1000</v>
      </c>
      <c r="DV7" s="228">
        <v>0.24</v>
      </c>
      <c r="DW7" s="228">
        <v>0.34</v>
      </c>
      <c r="DX7" s="228">
        <v>-0.1</v>
      </c>
      <c r="DY7" s="229">
        <v>-0.29409999999999997</v>
      </c>
      <c r="DZ7" s="229">
        <v>2.3300000000000001E-2</v>
      </c>
      <c r="EA7" s="230">
        <v>501000</v>
      </c>
      <c r="EB7" s="229">
        <v>6.6E-3</v>
      </c>
      <c r="EC7" s="229">
        <v>2.3300000000000001E-2</v>
      </c>
      <c r="ED7" s="228">
        <v>6.02</v>
      </c>
      <c r="EE7" s="229">
        <v>5.8999999999999999E-3</v>
      </c>
      <c r="EF7" s="230">
        <v>201753</v>
      </c>
      <c r="EG7" s="230">
        <v>326043</v>
      </c>
      <c r="EH7" s="229">
        <v>-0.38119999999999998</v>
      </c>
      <c r="EI7" s="229">
        <v>0.2581</v>
      </c>
      <c r="EJ7" s="231">
        <v>34257.589999999997</v>
      </c>
      <c r="EK7" s="231">
        <v>7783.45</v>
      </c>
      <c r="EL7" s="231">
        <v>12577.48</v>
      </c>
      <c r="EM7" s="231">
        <v>4115</v>
      </c>
      <c r="EN7" s="231">
        <v>54618.52</v>
      </c>
      <c r="EO7" s="231">
        <v>75046.61</v>
      </c>
      <c r="EP7" s="231">
        <v>-20428.09</v>
      </c>
      <c r="EQ7" s="229">
        <v>-0.2722</v>
      </c>
      <c r="ER7" s="231">
        <v>72041</v>
      </c>
      <c r="ES7" s="231">
        <v>40247</v>
      </c>
      <c r="ET7" s="231">
        <v>242004</v>
      </c>
      <c r="EU7" s="231">
        <v>92816927</v>
      </c>
      <c r="EV7" s="231">
        <v>354292</v>
      </c>
      <c r="EW7" s="231">
        <v>352309</v>
      </c>
      <c r="EX7" s="231">
        <v>1983</v>
      </c>
      <c r="EY7" s="229">
        <v>5.5999999999999999E-3</v>
      </c>
      <c r="EZ7" s="229">
        <v>0.37019999999999997</v>
      </c>
      <c r="FA7" s="227" t="s">
        <v>568</v>
      </c>
      <c r="FB7" s="161">
        <f t="shared" si="0"/>
        <v>550800</v>
      </c>
    </row>
    <row r="8" spans="1:158" ht="17.25" hidden="1" thickBot="1" x14ac:dyDescent="0.3">
      <c r="A8" s="226">
        <v>46029</v>
      </c>
      <c r="B8" s="227" t="s">
        <v>215</v>
      </c>
      <c r="C8" s="227" t="s">
        <v>160</v>
      </c>
      <c r="D8" s="228">
        <v>475</v>
      </c>
      <c r="E8" s="231">
        <v>1472.2</v>
      </c>
      <c r="F8" s="231">
        <v>1479</v>
      </c>
      <c r="G8" s="228">
        <v>-6.8</v>
      </c>
      <c r="H8" s="229">
        <v>-4.5999999999999999E-3</v>
      </c>
      <c r="I8" s="231">
        <v>1465.3</v>
      </c>
      <c r="J8" s="231">
        <v>1473.2</v>
      </c>
      <c r="K8" s="228">
        <v>-7.9</v>
      </c>
      <c r="L8" s="229">
        <v>-5.4000000000000003E-3</v>
      </c>
      <c r="M8" s="231">
        <v>1472.2</v>
      </c>
      <c r="N8" s="231">
        <v>1479</v>
      </c>
      <c r="O8" s="228">
        <v>-6.8</v>
      </c>
      <c r="P8" s="229">
        <v>-4.5999999999999999E-3</v>
      </c>
      <c r="Q8" s="231">
        <v>1480.4</v>
      </c>
      <c r="R8" s="231">
        <v>1488.1</v>
      </c>
      <c r="S8" s="228">
        <v>-7.7</v>
      </c>
      <c r="T8" s="229">
        <v>-5.1999999999999998E-3</v>
      </c>
      <c r="U8" s="231">
        <v>1490.1</v>
      </c>
      <c r="V8" s="231">
        <v>1500</v>
      </c>
      <c r="W8" s="228">
        <v>-9.9</v>
      </c>
      <c r="X8" s="229">
        <v>-6.6E-3</v>
      </c>
      <c r="Y8" s="228">
        <v>6.9</v>
      </c>
      <c r="Z8" s="228">
        <v>5.8</v>
      </c>
      <c r="AA8" s="228">
        <v>1.1000000000000001</v>
      </c>
      <c r="AB8" s="229">
        <v>4.7000000000000002E-3</v>
      </c>
      <c r="AC8" s="228">
        <v>6.9</v>
      </c>
      <c r="AD8" s="228">
        <v>5.8</v>
      </c>
      <c r="AE8" s="228">
        <v>1.1000000000000001</v>
      </c>
      <c r="AF8" s="229">
        <v>4.7000000000000002E-3</v>
      </c>
      <c r="AG8" s="228">
        <v>15.1</v>
      </c>
      <c r="AH8" s="228">
        <v>14.9</v>
      </c>
      <c r="AI8" s="228">
        <v>0.2</v>
      </c>
      <c r="AJ8" s="229">
        <v>1.03E-2</v>
      </c>
      <c r="AK8" s="228">
        <v>24.8</v>
      </c>
      <c r="AL8" s="228">
        <v>26.8</v>
      </c>
      <c r="AM8" s="228">
        <v>-2</v>
      </c>
      <c r="AN8" s="229">
        <v>1.6899999999999998E-2</v>
      </c>
      <c r="AO8" s="231">
        <v>1475.72</v>
      </c>
      <c r="AP8" s="231">
        <v>1484.96</v>
      </c>
      <c r="AQ8" s="228">
        <v>0</v>
      </c>
      <c r="AR8" s="230">
        <v>2426775</v>
      </c>
      <c r="AS8" s="230">
        <v>2478075</v>
      </c>
      <c r="AT8" s="230">
        <v>-51300</v>
      </c>
      <c r="AU8" s="229">
        <v>-2.07E-2</v>
      </c>
      <c r="AV8" s="230">
        <v>2208750</v>
      </c>
      <c r="AW8" s="230">
        <v>2362175</v>
      </c>
      <c r="AX8" s="230">
        <v>-153425</v>
      </c>
      <c r="AY8" s="229">
        <v>-6.5000000000000002E-2</v>
      </c>
      <c r="AZ8" s="230">
        <v>185725</v>
      </c>
      <c r="BA8" s="230">
        <v>105450</v>
      </c>
      <c r="BB8" s="230">
        <v>80275</v>
      </c>
      <c r="BC8" s="229">
        <v>0.76129999999999998</v>
      </c>
      <c r="BD8" s="230">
        <v>32300</v>
      </c>
      <c r="BE8" s="230">
        <v>10450</v>
      </c>
      <c r="BF8" s="230">
        <v>21850</v>
      </c>
      <c r="BG8" s="229">
        <v>2.0909</v>
      </c>
      <c r="BH8" s="230">
        <v>7018600</v>
      </c>
      <c r="BI8" s="230">
        <v>8825500</v>
      </c>
      <c r="BJ8" s="230">
        <v>-1806900</v>
      </c>
      <c r="BK8" s="229">
        <v>-0.20469999999999999</v>
      </c>
      <c r="BL8" s="230">
        <v>4136300</v>
      </c>
      <c r="BM8" s="230">
        <v>5187475</v>
      </c>
      <c r="BN8" s="230">
        <v>-1051175</v>
      </c>
      <c r="BO8" s="229">
        <v>-0.2026</v>
      </c>
      <c r="BP8" s="230">
        <v>13581675</v>
      </c>
      <c r="BQ8" s="230">
        <v>16491050</v>
      </c>
      <c r="BR8" s="230">
        <v>-2909375</v>
      </c>
      <c r="BS8" s="229">
        <v>-0.1764</v>
      </c>
      <c r="BT8" s="230">
        <v>2378957</v>
      </c>
      <c r="BU8" s="230">
        <v>1703774</v>
      </c>
      <c r="BV8" s="230">
        <v>675183</v>
      </c>
      <c r="BW8" s="229">
        <v>0.39629999999999999</v>
      </c>
      <c r="BX8" s="230">
        <v>25905550</v>
      </c>
      <c r="BY8" s="230">
        <v>25347900</v>
      </c>
      <c r="BZ8" s="230">
        <v>557650</v>
      </c>
      <c r="CA8" s="229">
        <v>2.1999999999999999E-2</v>
      </c>
      <c r="CB8" s="230">
        <v>25053400</v>
      </c>
      <c r="CC8" s="230">
        <v>24575075</v>
      </c>
      <c r="CD8" s="230">
        <v>478325</v>
      </c>
      <c r="CE8" s="229">
        <v>1.95E-2</v>
      </c>
      <c r="CF8" s="230">
        <v>813675</v>
      </c>
      <c r="CG8" s="230">
        <v>740050</v>
      </c>
      <c r="CH8" s="230">
        <v>73625</v>
      </c>
      <c r="CI8" s="229">
        <v>9.9500000000000005E-2</v>
      </c>
      <c r="CJ8" s="230">
        <v>38475</v>
      </c>
      <c r="CK8" s="230">
        <v>32775</v>
      </c>
      <c r="CL8" s="230">
        <v>5700</v>
      </c>
      <c r="CM8" s="229">
        <v>0.1739</v>
      </c>
      <c r="CN8" s="230">
        <v>6432925</v>
      </c>
      <c r="CO8" s="230">
        <v>6098525</v>
      </c>
      <c r="CP8" s="230">
        <v>334400</v>
      </c>
      <c r="CQ8" s="229">
        <v>5.4800000000000001E-2</v>
      </c>
      <c r="CR8" s="230">
        <v>4613675</v>
      </c>
      <c r="CS8" s="230">
        <v>4601800</v>
      </c>
      <c r="CT8" s="230">
        <v>11875</v>
      </c>
      <c r="CU8" s="229">
        <v>2.5999999999999999E-3</v>
      </c>
      <c r="CV8" s="230">
        <v>36952150</v>
      </c>
      <c r="CW8" s="230">
        <v>36048225</v>
      </c>
      <c r="CX8" s="230">
        <v>903925</v>
      </c>
      <c r="CY8" s="229">
        <v>2.5100000000000001E-2</v>
      </c>
      <c r="CZ8" s="228">
        <v>21.12</v>
      </c>
      <c r="DA8" s="228">
        <v>21.06</v>
      </c>
      <c r="DB8" s="228">
        <v>0.06</v>
      </c>
      <c r="DC8" s="228">
        <v>0.06</v>
      </c>
      <c r="DD8" s="228">
        <v>35.130000000000003</v>
      </c>
      <c r="DE8" s="228">
        <v>35.21</v>
      </c>
      <c r="DF8" s="228">
        <v>-14.01</v>
      </c>
      <c r="DG8" s="228">
        <v>-0.08</v>
      </c>
      <c r="DH8" s="228">
        <v>21.05</v>
      </c>
      <c r="DI8" s="228">
        <v>20.92</v>
      </c>
      <c r="DJ8" s="228">
        <v>0.13</v>
      </c>
      <c r="DK8" s="228">
        <v>0.13</v>
      </c>
      <c r="DL8" s="228">
        <v>21.26</v>
      </c>
      <c r="DM8" s="228">
        <v>21.28</v>
      </c>
      <c r="DN8" s="228">
        <v>-0.02</v>
      </c>
      <c r="DO8" s="228">
        <v>-0.02</v>
      </c>
      <c r="DP8" s="228">
        <v>0.72</v>
      </c>
      <c r="DQ8" s="228">
        <v>0.75</v>
      </c>
      <c r="DR8" s="228">
        <v>-0.03</v>
      </c>
      <c r="DS8" s="229">
        <v>-0.04</v>
      </c>
      <c r="DT8" s="231">
        <v>1500</v>
      </c>
      <c r="DU8" s="231">
        <v>1480</v>
      </c>
      <c r="DV8" s="228">
        <v>0.59</v>
      </c>
      <c r="DW8" s="228">
        <v>0.59</v>
      </c>
      <c r="DX8" s="228">
        <v>0</v>
      </c>
      <c r="DY8" s="229">
        <v>0</v>
      </c>
      <c r="DZ8" s="229">
        <v>3.2899999999999999E-2</v>
      </c>
      <c r="EA8" s="230">
        <v>772825</v>
      </c>
      <c r="EB8" s="229">
        <v>5.5999999999999999E-3</v>
      </c>
      <c r="EC8" s="229">
        <v>3.2899999999999999E-2</v>
      </c>
      <c r="ED8" s="228">
        <v>9.24</v>
      </c>
      <c r="EE8" s="229">
        <v>6.3E-3</v>
      </c>
      <c r="EF8" s="230">
        <v>1779834</v>
      </c>
      <c r="EG8" s="230">
        <v>1016527</v>
      </c>
      <c r="EH8" s="229">
        <v>0.75090000000000001</v>
      </c>
      <c r="EI8" s="229">
        <v>0.74819999999999998</v>
      </c>
      <c r="EJ8" s="231">
        <v>107375.03999999999</v>
      </c>
      <c r="EK8" s="231">
        <v>60511.73</v>
      </c>
      <c r="EL8" s="231">
        <v>35836.19</v>
      </c>
      <c r="EM8" s="231">
        <v>3719</v>
      </c>
      <c r="EN8" s="231">
        <v>203722.96</v>
      </c>
      <c r="EO8" s="231">
        <v>249124.29</v>
      </c>
      <c r="EP8" s="231">
        <v>-45401.33</v>
      </c>
      <c r="EQ8" s="229">
        <v>-0.1822</v>
      </c>
      <c r="ER8" s="231">
        <v>98657</v>
      </c>
      <c r="ES8" s="231">
        <v>65989</v>
      </c>
      <c r="ET8" s="231">
        <v>381455</v>
      </c>
      <c r="EU8" s="231">
        <v>84394936</v>
      </c>
      <c r="EV8" s="231">
        <v>546101</v>
      </c>
      <c r="EW8" s="231">
        <v>534439</v>
      </c>
      <c r="EX8" s="231">
        <v>11662</v>
      </c>
      <c r="EY8" s="229">
        <v>2.18E-2</v>
      </c>
      <c r="EZ8" s="229">
        <v>0.43780000000000002</v>
      </c>
      <c r="FA8" s="227" t="s">
        <v>567</v>
      </c>
      <c r="FB8" s="161">
        <f t="shared" si="0"/>
        <v>852150</v>
      </c>
    </row>
    <row r="9" spans="1:158" ht="17.25" hidden="1" thickBot="1" x14ac:dyDescent="0.3">
      <c r="A9" s="226">
        <v>46029</v>
      </c>
      <c r="B9" s="227" t="s">
        <v>170</v>
      </c>
      <c r="C9" s="227" t="s">
        <v>497</v>
      </c>
      <c r="D9" s="228">
        <v>125</v>
      </c>
      <c r="E9" s="231">
        <v>5824.5</v>
      </c>
      <c r="F9" s="231">
        <v>5673.5</v>
      </c>
      <c r="G9" s="228">
        <v>151</v>
      </c>
      <c r="H9" s="229">
        <v>2.6599999999999999E-2</v>
      </c>
      <c r="I9" s="231">
        <v>5806.5</v>
      </c>
      <c r="J9" s="231">
        <v>5655.5</v>
      </c>
      <c r="K9" s="228">
        <v>151</v>
      </c>
      <c r="L9" s="229">
        <v>2.6700000000000002E-2</v>
      </c>
      <c r="M9" s="231">
        <v>5824.5</v>
      </c>
      <c r="N9" s="231">
        <v>5673.5</v>
      </c>
      <c r="O9" s="228">
        <v>151</v>
      </c>
      <c r="P9" s="229">
        <v>2.6599999999999999E-2</v>
      </c>
      <c r="Q9" s="231">
        <v>5823.5</v>
      </c>
      <c r="R9" s="231">
        <v>5676</v>
      </c>
      <c r="S9" s="228">
        <v>147.5</v>
      </c>
      <c r="T9" s="229">
        <v>2.5999999999999999E-2</v>
      </c>
      <c r="U9" s="231">
        <v>5845</v>
      </c>
      <c r="V9" s="231">
        <v>5620</v>
      </c>
      <c r="W9" s="228">
        <v>225</v>
      </c>
      <c r="X9" s="229">
        <v>0.04</v>
      </c>
      <c r="Y9" s="228">
        <v>18</v>
      </c>
      <c r="Z9" s="228">
        <v>18</v>
      </c>
      <c r="AA9" s="228">
        <v>0</v>
      </c>
      <c r="AB9" s="229">
        <v>3.0999999999999999E-3</v>
      </c>
      <c r="AC9" s="228">
        <v>18</v>
      </c>
      <c r="AD9" s="228">
        <v>18</v>
      </c>
      <c r="AE9" s="228">
        <v>0</v>
      </c>
      <c r="AF9" s="229">
        <v>3.0999999999999999E-3</v>
      </c>
      <c r="AG9" s="228">
        <v>17</v>
      </c>
      <c r="AH9" s="228">
        <v>20.5</v>
      </c>
      <c r="AI9" s="228">
        <v>-3.5</v>
      </c>
      <c r="AJ9" s="229">
        <v>2.8999999999999998E-3</v>
      </c>
      <c r="AK9" s="228">
        <v>38.5</v>
      </c>
      <c r="AL9" s="228">
        <v>-35.5</v>
      </c>
      <c r="AM9" s="228">
        <v>74</v>
      </c>
      <c r="AN9" s="229">
        <v>6.6E-3</v>
      </c>
      <c r="AO9" s="231">
        <v>5796.21</v>
      </c>
      <c r="AP9" s="231">
        <v>5781.42</v>
      </c>
      <c r="AQ9" s="228">
        <v>0</v>
      </c>
      <c r="AR9" s="230">
        <v>326375</v>
      </c>
      <c r="AS9" s="230">
        <v>151750</v>
      </c>
      <c r="AT9" s="230">
        <v>174625</v>
      </c>
      <c r="AU9" s="229">
        <v>1.1507000000000001</v>
      </c>
      <c r="AV9" s="230">
        <v>314750</v>
      </c>
      <c r="AW9" s="230">
        <v>142125</v>
      </c>
      <c r="AX9" s="230">
        <v>172625</v>
      </c>
      <c r="AY9" s="229">
        <v>1.2145999999999999</v>
      </c>
      <c r="AZ9" s="230">
        <v>11250</v>
      </c>
      <c r="BA9" s="230">
        <v>9375</v>
      </c>
      <c r="BB9" s="230">
        <v>1875</v>
      </c>
      <c r="BC9" s="229">
        <v>0.2</v>
      </c>
      <c r="BD9" s="228">
        <v>375</v>
      </c>
      <c r="BE9" s="228">
        <v>250</v>
      </c>
      <c r="BF9" s="228">
        <v>125</v>
      </c>
      <c r="BG9" s="229">
        <v>0.5</v>
      </c>
      <c r="BH9" s="230">
        <v>1487500</v>
      </c>
      <c r="BI9" s="230">
        <v>413875</v>
      </c>
      <c r="BJ9" s="230">
        <v>1073625</v>
      </c>
      <c r="BK9" s="229">
        <v>2.5941000000000001</v>
      </c>
      <c r="BL9" s="230">
        <v>251250</v>
      </c>
      <c r="BM9" s="230">
        <v>86375</v>
      </c>
      <c r="BN9" s="230">
        <v>164875</v>
      </c>
      <c r="BO9" s="229">
        <v>1.9088000000000001</v>
      </c>
      <c r="BP9" s="230">
        <v>2065125</v>
      </c>
      <c r="BQ9" s="230">
        <v>652000</v>
      </c>
      <c r="BR9" s="230">
        <v>1413125</v>
      </c>
      <c r="BS9" s="229">
        <v>2.1674000000000002</v>
      </c>
      <c r="BT9" s="230">
        <v>261614</v>
      </c>
      <c r="BU9" s="230">
        <v>87701</v>
      </c>
      <c r="BV9" s="230">
        <v>173913</v>
      </c>
      <c r="BW9" s="229">
        <v>1.9830000000000001</v>
      </c>
      <c r="BX9" s="230">
        <v>1505750</v>
      </c>
      <c r="BY9" s="230">
        <v>1500875</v>
      </c>
      <c r="BZ9" s="230">
        <v>4875</v>
      </c>
      <c r="CA9" s="229">
        <v>3.2000000000000002E-3</v>
      </c>
      <c r="CB9" s="230">
        <v>1492000</v>
      </c>
      <c r="CC9" s="230">
        <v>1487250</v>
      </c>
      <c r="CD9" s="230">
        <v>4750</v>
      </c>
      <c r="CE9" s="229">
        <v>3.2000000000000002E-3</v>
      </c>
      <c r="CF9" s="230">
        <v>13375</v>
      </c>
      <c r="CG9" s="230">
        <v>13375</v>
      </c>
      <c r="CH9" s="228">
        <v>0</v>
      </c>
      <c r="CI9" s="229">
        <v>0</v>
      </c>
      <c r="CJ9" s="228">
        <v>375</v>
      </c>
      <c r="CK9" s="228">
        <v>250</v>
      </c>
      <c r="CL9" s="228">
        <v>125</v>
      </c>
      <c r="CM9" s="229">
        <v>0.5</v>
      </c>
      <c r="CN9" s="230">
        <v>211250</v>
      </c>
      <c r="CO9" s="230">
        <v>159500</v>
      </c>
      <c r="CP9" s="230">
        <v>51750</v>
      </c>
      <c r="CQ9" s="229">
        <v>0.32450000000000001</v>
      </c>
      <c r="CR9" s="230">
        <v>149750</v>
      </c>
      <c r="CS9" s="230">
        <v>124375</v>
      </c>
      <c r="CT9" s="230">
        <v>25375</v>
      </c>
      <c r="CU9" s="229">
        <v>0.20399999999999999</v>
      </c>
      <c r="CV9" s="230">
        <v>1866750</v>
      </c>
      <c r="CW9" s="230">
        <v>1784750</v>
      </c>
      <c r="CX9" s="230">
        <v>82000</v>
      </c>
      <c r="CY9" s="229">
        <v>4.5900000000000003E-2</v>
      </c>
      <c r="CZ9" s="228">
        <v>22.57</v>
      </c>
      <c r="DA9" s="228">
        <v>21.25</v>
      </c>
      <c r="DB9" s="228">
        <v>1.32</v>
      </c>
      <c r="DC9" s="228">
        <v>1.32</v>
      </c>
      <c r="DD9" s="228">
        <v>25.95</v>
      </c>
      <c r="DE9" s="228">
        <v>25.78</v>
      </c>
      <c r="DF9" s="228">
        <v>-3.38</v>
      </c>
      <c r="DG9" s="228">
        <v>0.17</v>
      </c>
      <c r="DH9" s="228">
        <v>22.36</v>
      </c>
      <c r="DI9" s="228">
        <v>21.04</v>
      </c>
      <c r="DJ9" s="228">
        <v>1.32</v>
      </c>
      <c r="DK9" s="228">
        <v>1.32</v>
      </c>
      <c r="DL9" s="228">
        <v>23.82</v>
      </c>
      <c r="DM9" s="228">
        <v>22.24</v>
      </c>
      <c r="DN9" s="228">
        <v>1.58</v>
      </c>
      <c r="DO9" s="228">
        <v>1.58</v>
      </c>
      <c r="DP9" s="228">
        <v>0.71</v>
      </c>
      <c r="DQ9" s="228">
        <v>0.78</v>
      </c>
      <c r="DR9" s="228">
        <v>-7.0000000000000007E-2</v>
      </c>
      <c r="DS9" s="229">
        <v>-8.9700000000000002E-2</v>
      </c>
      <c r="DT9" s="231">
        <v>5800</v>
      </c>
      <c r="DU9" s="231">
        <v>5100</v>
      </c>
      <c r="DV9" s="228">
        <v>0.17</v>
      </c>
      <c r="DW9" s="228">
        <v>0.21</v>
      </c>
      <c r="DX9" s="228">
        <v>-0.04</v>
      </c>
      <c r="DY9" s="229">
        <v>-0.1905</v>
      </c>
      <c r="DZ9" s="229">
        <v>9.1000000000000004E-3</v>
      </c>
      <c r="EA9" s="230">
        <v>13625</v>
      </c>
      <c r="EB9" s="229">
        <v>-2.0000000000000001E-4</v>
      </c>
      <c r="EC9" s="229">
        <v>9.1000000000000004E-3</v>
      </c>
      <c r="ED9" s="228">
        <v>-14.79</v>
      </c>
      <c r="EE9" s="229">
        <v>-2.5999999999999999E-3</v>
      </c>
      <c r="EF9" s="230">
        <v>167818</v>
      </c>
      <c r="EG9" s="230">
        <v>49669</v>
      </c>
      <c r="EH9" s="229">
        <v>2.3786999999999998</v>
      </c>
      <c r="EI9" s="229">
        <v>0.64149999999999996</v>
      </c>
      <c r="EJ9" s="231">
        <v>88762.14</v>
      </c>
      <c r="EK9" s="231">
        <v>14053.96</v>
      </c>
      <c r="EL9" s="231">
        <v>18915.91</v>
      </c>
      <c r="EM9" s="231">
        <v>1031</v>
      </c>
      <c r="EN9" s="231">
        <v>121732.01</v>
      </c>
      <c r="EO9" s="231">
        <v>37347.89</v>
      </c>
      <c r="EP9" s="231">
        <v>84384.12</v>
      </c>
      <c r="EQ9" s="229">
        <v>2.2593999999999999</v>
      </c>
      <c r="ER9" s="231">
        <v>12386</v>
      </c>
      <c r="ES9" s="231">
        <v>8020</v>
      </c>
      <c r="ET9" s="231">
        <v>87702</v>
      </c>
      <c r="EU9" s="231">
        <v>7334235</v>
      </c>
      <c r="EV9" s="231">
        <v>108108</v>
      </c>
      <c r="EW9" s="231">
        <v>100909</v>
      </c>
      <c r="EX9" s="231">
        <v>7199</v>
      </c>
      <c r="EY9" s="229">
        <v>7.1300000000000002E-2</v>
      </c>
      <c r="EZ9" s="229">
        <v>0.2545</v>
      </c>
      <c r="FA9" s="227" t="s">
        <v>555</v>
      </c>
      <c r="FB9" s="161">
        <f t="shared" si="0"/>
        <v>13750</v>
      </c>
    </row>
    <row r="10" spans="1:158" ht="17.25" hidden="1" thickBot="1" x14ac:dyDescent="0.3">
      <c r="A10" s="226">
        <v>46029</v>
      </c>
      <c r="B10" s="227" t="s">
        <v>184</v>
      </c>
      <c r="C10" s="227" t="s">
        <v>681</v>
      </c>
      <c r="D10" s="228">
        <v>100</v>
      </c>
      <c r="E10" s="231">
        <v>6673.5</v>
      </c>
      <c r="F10" s="231">
        <v>6713</v>
      </c>
      <c r="G10" s="228">
        <v>-39.5</v>
      </c>
      <c r="H10" s="229">
        <v>-5.8999999999999999E-3</v>
      </c>
      <c r="I10" s="231">
        <v>6653</v>
      </c>
      <c r="J10" s="231">
        <v>6707.5</v>
      </c>
      <c r="K10" s="228">
        <v>-54.5</v>
      </c>
      <c r="L10" s="229">
        <v>-8.0999999999999996E-3</v>
      </c>
      <c r="M10" s="231">
        <v>6673.5</v>
      </c>
      <c r="N10" s="231">
        <v>6713</v>
      </c>
      <c r="O10" s="228">
        <v>-39.5</v>
      </c>
      <c r="P10" s="229">
        <v>-5.8999999999999999E-3</v>
      </c>
      <c r="Q10" s="231">
        <v>6572.5</v>
      </c>
      <c r="R10" s="231">
        <v>6598</v>
      </c>
      <c r="S10" s="228">
        <v>-25.5</v>
      </c>
      <c r="T10" s="229">
        <v>-3.8999999999999998E-3</v>
      </c>
      <c r="U10" s="231">
        <v>6542.5</v>
      </c>
      <c r="V10" s="231">
        <v>6528</v>
      </c>
      <c r="W10" s="228">
        <v>14.5</v>
      </c>
      <c r="X10" s="229">
        <v>2.2000000000000001E-3</v>
      </c>
      <c r="Y10" s="228">
        <v>20.5</v>
      </c>
      <c r="Z10" s="228">
        <v>5.5</v>
      </c>
      <c r="AA10" s="228">
        <v>15</v>
      </c>
      <c r="AB10" s="229">
        <v>3.0999999999999999E-3</v>
      </c>
      <c r="AC10" s="228">
        <v>20.5</v>
      </c>
      <c r="AD10" s="228">
        <v>5.5</v>
      </c>
      <c r="AE10" s="228">
        <v>15</v>
      </c>
      <c r="AF10" s="229">
        <v>3.0999999999999999E-3</v>
      </c>
      <c r="AG10" s="228">
        <v>-80.5</v>
      </c>
      <c r="AH10" s="228">
        <v>-109.5</v>
      </c>
      <c r="AI10" s="228">
        <v>29</v>
      </c>
      <c r="AJ10" s="229">
        <v>-1.21E-2</v>
      </c>
      <c r="AK10" s="228">
        <v>-110.5</v>
      </c>
      <c r="AL10" s="228">
        <v>-179.5</v>
      </c>
      <c r="AM10" s="228">
        <v>69</v>
      </c>
      <c r="AN10" s="229">
        <v>-1.66E-2</v>
      </c>
      <c r="AO10" s="231">
        <v>6681.09</v>
      </c>
      <c r="AP10" s="231">
        <v>6580.42</v>
      </c>
      <c r="AQ10" s="228">
        <v>0</v>
      </c>
      <c r="AR10" s="230">
        <v>116800</v>
      </c>
      <c r="AS10" s="230">
        <v>234900</v>
      </c>
      <c r="AT10" s="230">
        <v>-118100</v>
      </c>
      <c r="AU10" s="229">
        <v>-0.50280000000000002</v>
      </c>
      <c r="AV10" s="230">
        <v>102400</v>
      </c>
      <c r="AW10" s="230">
        <v>215900</v>
      </c>
      <c r="AX10" s="230">
        <v>-113500</v>
      </c>
      <c r="AY10" s="229">
        <v>-0.52569999999999995</v>
      </c>
      <c r="AZ10" s="230">
        <v>14200</v>
      </c>
      <c r="BA10" s="230">
        <v>17900</v>
      </c>
      <c r="BB10" s="230">
        <v>-3700</v>
      </c>
      <c r="BC10" s="229">
        <v>-0.20669999999999999</v>
      </c>
      <c r="BD10" s="228">
        <v>200</v>
      </c>
      <c r="BE10" s="230">
        <v>1100</v>
      </c>
      <c r="BF10" s="228">
        <v>-900</v>
      </c>
      <c r="BG10" s="229">
        <v>-0.81820000000000004</v>
      </c>
      <c r="BH10" s="230">
        <v>353800</v>
      </c>
      <c r="BI10" s="230">
        <v>612700</v>
      </c>
      <c r="BJ10" s="230">
        <v>-258900</v>
      </c>
      <c r="BK10" s="229">
        <v>-0.42259999999999998</v>
      </c>
      <c r="BL10" s="230">
        <v>171500</v>
      </c>
      <c r="BM10" s="230">
        <v>532400</v>
      </c>
      <c r="BN10" s="230">
        <v>-360900</v>
      </c>
      <c r="BO10" s="229">
        <v>-0.67789999999999995</v>
      </c>
      <c r="BP10" s="230">
        <v>642100</v>
      </c>
      <c r="BQ10" s="230">
        <v>1380000</v>
      </c>
      <c r="BR10" s="230">
        <v>-737900</v>
      </c>
      <c r="BS10" s="229">
        <v>-0.53469999999999995</v>
      </c>
      <c r="BT10" s="230">
        <v>109650</v>
      </c>
      <c r="BU10" s="230">
        <v>183524</v>
      </c>
      <c r="BV10" s="230">
        <v>-73874</v>
      </c>
      <c r="BW10" s="229">
        <v>-0.40250000000000002</v>
      </c>
      <c r="BX10" s="230">
        <v>939600</v>
      </c>
      <c r="BY10" s="230">
        <v>931900</v>
      </c>
      <c r="BZ10" s="230">
        <v>7700</v>
      </c>
      <c r="CA10" s="229">
        <v>8.3000000000000001E-3</v>
      </c>
      <c r="CB10" s="230">
        <v>878700</v>
      </c>
      <c r="CC10" s="230">
        <v>876800</v>
      </c>
      <c r="CD10" s="230">
        <v>1900</v>
      </c>
      <c r="CE10" s="229">
        <v>2.2000000000000001E-3</v>
      </c>
      <c r="CF10" s="230">
        <v>55800</v>
      </c>
      <c r="CG10" s="230">
        <v>50200</v>
      </c>
      <c r="CH10" s="230">
        <v>5600</v>
      </c>
      <c r="CI10" s="229">
        <v>0.1116</v>
      </c>
      <c r="CJ10" s="230">
        <v>5100</v>
      </c>
      <c r="CK10" s="230">
        <v>4900</v>
      </c>
      <c r="CL10" s="228">
        <v>200</v>
      </c>
      <c r="CM10" s="229">
        <v>4.0800000000000003E-2</v>
      </c>
      <c r="CN10" s="230">
        <v>459800</v>
      </c>
      <c r="CO10" s="230">
        <v>417200</v>
      </c>
      <c r="CP10" s="230">
        <v>42600</v>
      </c>
      <c r="CQ10" s="229">
        <v>0.1021</v>
      </c>
      <c r="CR10" s="230">
        <v>329900</v>
      </c>
      <c r="CS10" s="230">
        <v>329800</v>
      </c>
      <c r="CT10" s="228">
        <v>100</v>
      </c>
      <c r="CU10" s="229">
        <v>2.9999999999999997E-4</v>
      </c>
      <c r="CV10" s="230">
        <v>1729300</v>
      </c>
      <c r="CW10" s="230">
        <v>1678900</v>
      </c>
      <c r="CX10" s="230">
        <v>50400</v>
      </c>
      <c r="CY10" s="229">
        <v>0.03</v>
      </c>
      <c r="CZ10" s="228">
        <v>30.98</v>
      </c>
      <c r="DA10" s="228">
        <v>31.4</v>
      </c>
      <c r="DB10" s="228">
        <v>-0.42</v>
      </c>
      <c r="DC10" s="228">
        <v>-0.42</v>
      </c>
      <c r="DD10" s="228">
        <v>51.39</v>
      </c>
      <c r="DE10" s="228">
        <v>51.51</v>
      </c>
      <c r="DF10" s="228">
        <v>-20.41</v>
      </c>
      <c r="DG10" s="228">
        <v>-0.12</v>
      </c>
      <c r="DH10" s="228">
        <v>30.54</v>
      </c>
      <c r="DI10" s="228">
        <v>30.78</v>
      </c>
      <c r="DJ10" s="228">
        <v>-0.24</v>
      </c>
      <c r="DK10" s="228">
        <v>-0.24</v>
      </c>
      <c r="DL10" s="228">
        <v>31.89</v>
      </c>
      <c r="DM10" s="228">
        <v>32.119999999999997</v>
      </c>
      <c r="DN10" s="228">
        <v>-0.23</v>
      </c>
      <c r="DO10" s="228">
        <v>-0.23</v>
      </c>
      <c r="DP10" s="228">
        <v>0.72</v>
      </c>
      <c r="DQ10" s="228">
        <v>0.79</v>
      </c>
      <c r="DR10" s="228">
        <v>-7.0000000000000007E-2</v>
      </c>
      <c r="DS10" s="229">
        <v>-8.8599999999999998E-2</v>
      </c>
      <c r="DT10" s="231">
        <v>7000</v>
      </c>
      <c r="DU10" s="231">
        <v>6000</v>
      </c>
      <c r="DV10" s="228">
        <v>0.48</v>
      </c>
      <c r="DW10" s="228">
        <v>0.87</v>
      </c>
      <c r="DX10" s="228">
        <v>-0.39</v>
      </c>
      <c r="DY10" s="229">
        <v>-0.44829999999999998</v>
      </c>
      <c r="DZ10" s="229">
        <v>6.4799999999999996E-2</v>
      </c>
      <c r="EA10" s="230">
        <v>55100</v>
      </c>
      <c r="EB10" s="229">
        <v>-1.5100000000000001E-2</v>
      </c>
      <c r="EC10" s="229">
        <v>6.4799999999999996E-2</v>
      </c>
      <c r="ED10" s="228">
        <v>-100.67</v>
      </c>
      <c r="EE10" s="229">
        <v>-1.5100000000000001E-2</v>
      </c>
      <c r="EF10" s="230">
        <v>47699</v>
      </c>
      <c r="EG10" s="230">
        <v>49435</v>
      </c>
      <c r="EH10" s="229">
        <v>-3.5099999999999999E-2</v>
      </c>
      <c r="EI10" s="229">
        <v>0.435</v>
      </c>
      <c r="EJ10" s="231">
        <v>24857.599999999999</v>
      </c>
      <c r="EK10" s="231">
        <v>11129.07</v>
      </c>
      <c r="EL10" s="231">
        <v>7788.95</v>
      </c>
      <c r="EM10" s="231">
        <v>2534</v>
      </c>
      <c r="EN10" s="231">
        <v>43775.62</v>
      </c>
      <c r="EO10" s="231">
        <v>93655.06</v>
      </c>
      <c r="EP10" s="231">
        <v>-49879.44</v>
      </c>
      <c r="EQ10" s="229">
        <v>-0.53259999999999996</v>
      </c>
      <c r="ER10" s="231">
        <v>31642</v>
      </c>
      <c r="ES10" s="231">
        <v>21010</v>
      </c>
      <c r="ET10" s="231">
        <v>62641</v>
      </c>
      <c r="EU10" s="231">
        <v>3257355</v>
      </c>
      <c r="EV10" s="231">
        <v>115294</v>
      </c>
      <c r="EW10" s="231">
        <v>112201</v>
      </c>
      <c r="EX10" s="231">
        <v>3093</v>
      </c>
      <c r="EY10" s="229">
        <v>2.76E-2</v>
      </c>
      <c r="EZ10" s="229">
        <v>0.53090000000000004</v>
      </c>
      <c r="FA10" s="227" t="s">
        <v>567</v>
      </c>
      <c r="FB10" s="161">
        <f t="shared" si="0"/>
        <v>60900</v>
      </c>
    </row>
    <row r="11" spans="1:158" ht="17.25" hidden="1" thickBot="1" x14ac:dyDescent="0.3">
      <c r="A11" s="226">
        <v>46029</v>
      </c>
      <c r="B11" s="227" t="s">
        <v>157</v>
      </c>
      <c r="C11" s="227" t="s">
        <v>164</v>
      </c>
      <c r="D11" s="228">
        <v>1050</v>
      </c>
      <c r="E11" s="228">
        <v>564.6</v>
      </c>
      <c r="F11" s="228">
        <v>564.95000000000005</v>
      </c>
      <c r="G11" s="228">
        <v>-0.35</v>
      </c>
      <c r="H11" s="229">
        <v>-5.9999999999999995E-4</v>
      </c>
      <c r="I11" s="228">
        <v>562</v>
      </c>
      <c r="J11" s="228">
        <v>563.54999999999995</v>
      </c>
      <c r="K11" s="228">
        <v>-1.55</v>
      </c>
      <c r="L11" s="229">
        <v>-2.8E-3</v>
      </c>
      <c r="M11" s="228">
        <v>564.6</v>
      </c>
      <c r="N11" s="228">
        <v>564.95000000000005</v>
      </c>
      <c r="O11" s="228">
        <v>-0.35</v>
      </c>
      <c r="P11" s="229">
        <v>-5.9999999999999995E-4</v>
      </c>
      <c r="Q11" s="228">
        <v>567.9</v>
      </c>
      <c r="R11" s="228">
        <v>568.25</v>
      </c>
      <c r="S11" s="228">
        <v>-0.35</v>
      </c>
      <c r="T11" s="229">
        <v>-5.9999999999999995E-4</v>
      </c>
      <c r="U11" s="228">
        <v>570.1</v>
      </c>
      <c r="V11" s="228">
        <v>571.15</v>
      </c>
      <c r="W11" s="228">
        <v>-1.05</v>
      </c>
      <c r="X11" s="229">
        <v>-1.8E-3</v>
      </c>
      <c r="Y11" s="228">
        <v>2.6</v>
      </c>
      <c r="Z11" s="228">
        <v>1.4</v>
      </c>
      <c r="AA11" s="228">
        <v>1.2</v>
      </c>
      <c r="AB11" s="229">
        <v>4.5999999999999999E-3</v>
      </c>
      <c r="AC11" s="228">
        <v>2.6</v>
      </c>
      <c r="AD11" s="228">
        <v>1.4</v>
      </c>
      <c r="AE11" s="228">
        <v>1.2</v>
      </c>
      <c r="AF11" s="229">
        <v>4.5999999999999999E-3</v>
      </c>
      <c r="AG11" s="228">
        <v>5.9</v>
      </c>
      <c r="AH11" s="228">
        <v>4.7</v>
      </c>
      <c r="AI11" s="228">
        <v>1.2</v>
      </c>
      <c r="AJ11" s="229">
        <v>1.0500000000000001E-2</v>
      </c>
      <c r="AK11" s="228">
        <v>8.1</v>
      </c>
      <c r="AL11" s="228">
        <v>7.6</v>
      </c>
      <c r="AM11" s="228">
        <v>0.5</v>
      </c>
      <c r="AN11" s="229">
        <v>1.44E-2</v>
      </c>
      <c r="AO11" s="228">
        <v>565.42999999999995</v>
      </c>
      <c r="AP11" s="228">
        <v>568.85</v>
      </c>
      <c r="AQ11" s="228">
        <v>0</v>
      </c>
      <c r="AR11" s="230">
        <v>3974250</v>
      </c>
      <c r="AS11" s="230">
        <v>5104050</v>
      </c>
      <c r="AT11" s="230">
        <v>-1129800</v>
      </c>
      <c r="AU11" s="229">
        <v>-0.22140000000000001</v>
      </c>
      <c r="AV11" s="230">
        <v>3853500</v>
      </c>
      <c r="AW11" s="230">
        <v>4820550</v>
      </c>
      <c r="AX11" s="230">
        <v>-967050</v>
      </c>
      <c r="AY11" s="229">
        <v>-0.2006</v>
      </c>
      <c r="AZ11" s="230">
        <v>110250</v>
      </c>
      <c r="BA11" s="230">
        <v>248850</v>
      </c>
      <c r="BB11" s="230">
        <v>-138600</v>
      </c>
      <c r="BC11" s="229">
        <v>-0.55700000000000005</v>
      </c>
      <c r="BD11" s="230">
        <v>10500</v>
      </c>
      <c r="BE11" s="230">
        <v>34650</v>
      </c>
      <c r="BF11" s="230">
        <v>-24150</v>
      </c>
      <c r="BG11" s="229">
        <v>-0.69699999999999995</v>
      </c>
      <c r="BH11" s="230">
        <v>5864250</v>
      </c>
      <c r="BI11" s="230">
        <v>6939450</v>
      </c>
      <c r="BJ11" s="230">
        <v>-1075200</v>
      </c>
      <c r="BK11" s="229">
        <v>-0.15490000000000001</v>
      </c>
      <c r="BL11" s="230">
        <v>2670150</v>
      </c>
      <c r="BM11" s="230">
        <v>4489800</v>
      </c>
      <c r="BN11" s="230">
        <v>-1819650</v>
      </c>
      <c r="BO11" s="229">
        <v>-0.40529999999999999</v>
      </c>
      <c r="BP11" s="230">
        <v>12508650</v>
      </c>
      <c r="BQ11" s="230">
        <v>16533300</v>
      </c>
      <c r="BR11" s="230">
        <v>-4024650</v>
      </c>
      <c r="BS11" s="229">
        <v>-0.24340000000000001</v>
      </c>
      <c r="BT11" s="230">
        <v>3950238</v>
      </c>
      <c r="BU11" s="230">
        <v>1093389</v>
      </c>
      <c r="BV11" s="230">
        <v>2856849</v>
      </c>
      <c r="BW11" s="229">
        <v>2.6128</v>
      </c>
      <c r="BX11" s="230">
        <v>51768150</v>
      </c>
      <c r="BY11" s="230">
        <v>51560250</v>
      </c>
      <c r="BZ11" s="230">
        <v>207900</v>
      </c>
      <c r="CA11" s="229">
        <v>4.0000000000000001E-3</v>
      </c>
      <c r="CB11" s="230">
        <v>50736000</v>
      </c>
      <c r="CC11" s="230">
        <v>50570100</v>
      </c>
      <c r="CD11" s="230">
        <v>165900</v>
      </c>
      <c r="CE11" s="229">
        <v>3.3E-3</v>
      </c>
      <c r="CF11" s="230">
        <v>929250</v>
      </c>
      <c r="CG11" s="230">
        <v>897750</v>
      </c>
      <c r="CH11" s="230">
        <v>31500</v>
      </c>
      <c r="CI11" s="229">
        <v>3.5099999999999999E-2</v>
      </c>
      <c r="CJ11" s="230">
        <v>102900</v>
      </c>
      <c r="CK11" s="230">
        <v>92400</v>
      </c>
      <c r="CL11" s="230">
        <v>10500</v>
      </c>
      <c r="CM11" s="229">
        <v>0.11360000000000001</v>
      </c>
      <c r="CN11" s="230">
        <v>11747400</v>
      </c>
      <c r="CO11" s="230">
        <v>11772600</v>
      </c>
      <c r="CP11" s="230">
        <v>-25200</v>
      </c>
      <c r="CQ11" s="229">
        <v>-2.0999999999999999E-3</v>
      </c>
      <c r="CR11" s="230">
        <v>10590300</v>
      </c>
      <c r="CS11" s="230">
        <v>10593450</v>
      </c>
      <c r="CT11" s="230">
        <v>-3150</v>
      </c>
      <c r="CU11" s="229">
        <v>-2.9999999999999997E-4</v>
      </c>
      <c r="CV11" s="230">
        <v>74105850</v>
      </c>
      <c r="CW11" s="230">
        <v>73926300</v>
      </c>
      <c r="CX11" s="230">
        <v>179550</v>
      </c>
      <c r="CY11" s="229">
        <v>2.3999999999999998E-3</v>
      </c>
      <c r="CZ11" s="228">
        <v>19.309999999999999</v>
      </c>
      <c r="DA11" s="228">
        <v>19.73</v>
      </c>
      <c r="DB11" s="228">
        <v>-0.42</v>
      </c>
      <c r="DC11" s="228">
        <v>-0.42</v>
      </c>
      <c r="DD11" s="228">
        <v>30.93</v>
      </c>
      <c r="DE11" s="228">
        <v>31.01</v>
      </c>
      <c r="DF11" s="228">
        <v>-11.62</v>
      </c>
      <c r="DG11" s="228">
        <v>-0.08</v>
      </c>
      <c r="DH11" s="228">
        <v>19.45</v>
      </c>
      <c r="DI11" s="228">
        <v>20.13</v>
      </c>
      <c r="DJ11" s="228">
        <v>-0.68</v>
      </c>
      <c r="DK11" s="228">
        <v>-0.68</v>
      </c>
      <c r="DL11" s="228">
        <v>18.989999999999998</v>
      </c>
      <c r="DM11" s="228">
        <v>19.13</v>
      </c>
      <c r="DN11" s="228">
        <v>-0.14000000000000001</v>
      </c>
      <c r="DO11" s="228">
        <v>-0.14000000000000001</v>
      </c>
      <c r="DP11" s="228">
        <v>0.9</v>
      </c>
      <c r="DQ11" s="228">
        <v>0.9</v>
      </c>
      <c r="DR11" s="228">
        <v>0</v>
      </c>
      <c r="DS11" s="229">
        <v>0</v>
      </c>
      <c r="DT11" s="228">
        <v>550</v>
      </c>
      <c r="DU11" s="228">
        <v>550</v>
      </c>
      <c r="DV11" s="228">
        <v>0.46</v>
      </c>
      <c r="DW11" s="228">
        <v>0.65</v>
      </c>
      <c r="DX11" s="228">
        <v>-0.19</v>
      </c>
      <c r="DY11" s="229">
        <v>-0.2923</v>
      </c>
      <c r="DZ11" s="229">
        <v>1.9900000000000001E-2</v>
      </c>
      <c r="EA11" s="230">
        <v>990150</v>
      </c>
      <c r="EB11" s="229">
        <v>5.7999999999999996E-3</v>
      </c>
      <c r="EC11" s="229">
        <v>1.9900000000000001E-2</v>
      </c>
      <c r="ED11" s="228">
        <v>3.42</v>
      </c>
      <c r="EE11" s="229">
        <v>6.0000000000000001E-3</v>
      </c>
      <c r="EF11" s="230">
        <v>3084698</v>
      </c>
      <c r="EG11" s="230">
        <v>543054</v>
      </c>
      <c r="EH11" s="229">
        <v>4.6802999999999999</v>
      </c>
      <c r="EI11" s="229">
        <v>0.78090000000000004</v>
      </c>
      <c r="EJ11" s="231">
        <v>34217.53</v>
      </c>
      <c r="EK11" s="231">
        <v>15033.18</v>
      </c>
      <c r="EL11" s="231">
        <v>22475.89</v>
      </c>
      <c r="EM11" s="231">
        <v>4252</v>
      </c>
      <c r="EN11" s="231">
        <v>71726.600000000006</v>
      </c>
      <c r="EO11" s="231">
        <v>95170.02</v>
      </c>
      <c r="EP11" s="231">
        <v>-23443.42</v>
      </c>
      <c r="EQ11" s="229">
        <v>-0.24629999999999999</v>
      </c>
      <c r="ER11" s="231">
        <v>67291</v>
      </c>
      <c r="ES11" s="231">
        <v>59263</v>
      </c>
      <c r="ET11" s="231">
        <v>292319</v>
      </c>
      <c r="EU11" s="231">
        <v>79841849</v>
      </c>
      <c r="EV11" s="231">
        <v>418873</v>
      </c>
      <c r="EW11" s="231">
        <v>418007</v>
      </c>
      <c r="EX11" s="228">
        <v>866</v>
      </c>
      <c r="EY11" s="229">
        <v>2.0999999999999999E-3</v>
      </c>
      <c r="EZ11" s="229">
        <v>0.92820000000000003</v>
      </c>
      <c r="FA11" s="227" t="s">
        <v>567</v>
      </c>
      <c r="FB11" s="161">
        <f t="shared" si="0"/>
        <v>1032150</v>
      </c>
    </row>
    <row r="12" spans="1:158" ht="17.25" hidden="1" thickBot="1" x14ac:dyDescent="0.3">
      <c r="A12" s="226">
        <v>46029</v>
      </c>
      <c r="B12" s="227" t="s">
        <v>175</v>
      </c>
      <c r="C12" s="227" t="s">
        <v>609</v>
      </c>
      <c r="D12" s="228">
        <v>250</v>
      </c>
      <c r="E12" s="231">
        <v>2469.3000000000002</v>
      </c>
      <c r="F12" s="231">
        <v>2416</v>
      </c>
      <c r="G12" s="228">
        <v>53.3</v>
      </c>
      <c r="H12" s="229">
        <v>2.2100000000000002E-2</v>
      </c>
      <c r="I12" s="231">
        <v>2470.6</v>
      </c>
      <c r="J12" s="231">
        <v>2411.3000000000002</v>
      </c>
      <c r="K12" s="228">
        <v>59.3</v>
      </c>
      <c r="L12" s="229">
        <v>2.46E-2</v>
      </c>
      <c r="M12" s="231">
        <v>2469.3000000000002</v>
      </c>
      <c r="N12" s="231">
        <v>2416</v>
      </c>
      <c r="O12" s="228">
        <v>53.3</v>
      </c>
      <c r="P12" s="229">
        <v>2.2100000000000002E-2</v>
      </c>
      <c r="Q12" s="231">
        <v>2453</v>
      </c>
      <c r="R12" s="231">
        <v>2394.4</v>
      </c>
      <c r="S12" s="228">
        <v>58.6</v>
      </c>
      <c r="T12" s="229">
        <v>2.4500000000000001E-2</v>
      </c>
      <c r="U12" s="231">
        <v>2439.6</v>
      </c>
      <c r="V12" s="231">
        <v>2369.6</v>
      </c>
      <c r="W12" s="228">
        <v>70</v>
      </c>
      <c r="X12" s="229">
        <v>2.9499999999999998E-2</v>
      </c>
      <c r="Y12" s="228">
        <v>-1.3</v>
      </c>
      <c r="Z12" s="228">
        <v>4.7</v>
      </c>
      <c r="AA12" s="228">
        <v>-6</v>
      </c>
      <c r="AB12" s="229">
        <v>-5.0000000000000001E-4</v>
      </c>
      <c r="AC12" s="228">
        <v>-1.3</v>
      </c>
      <c r="AD12" s="228">
        <v>4.7</v>
      </c>
      <c r="AE12" s="228">
        <v>-6</v>
      </c>
      <c r="AF12" s="229">
        <v>-5.0000000000000001E-4</v>
      </c>
      <c r="AG12" s="228">
        <v>-17.600000000000001</v>
      </c>
      <c r="AH12" s="228">
        <v>-16.899999999999999</v>
      </c>
      <c r="AI12" s="228">
        <v>-0.7</v>
      </c>
      <c r="AJ12" s="229">
        <v>-7.1000000000000004E-3</v>
      </c>
      <c r="AK12" s="228">
        <v>-31</v>
      </c>
      <c r="AL12" s="228">
        <v>-41.7</v>
      </c>
      <c r="AM12" s="228">
        <v>10.7</v>
      </c>
      <c r="AN12" s="229">
        <v>-1.2500000000000001E-2</v>
      </c>
      <c r="AO12" s="231">
        <v>2453.0700000000002</v>
      </c>
      <c r="AP12" s="231">
        <v>2435.3000000000002</v>
      </c>
      <c r="AQ12" s="228">
        <v>0</v>
      </c>
      <c r="AR12" s="230">
        <v>1142000</v>
      </c>
      <c r="AS12" s="230">
        <v>871250</v>
      </c>
      <c r="AT12" s="230">
        <v>270750</v>
      </c>
      <c r="AU12" s="229">
        <v>0.31080000000000002</v>
      </c>
      <c r="AV12" s="230">
        <v>1057750</v>
      </c>
      <c r="AW12" s="230">
        <v>759750</v>
      </c>
      <c r="AX12" s="230">
        <v>298000</v>
      </c>
      <c r="AY12" s="229">
        <v>0.39219999999999999</v>
      </c>
      <c r="AZ12" s="230">
        <v>75250</v>
      </c>
      <c r="BA12" s="230">
        <v>104500</v>
      </c>
      <c r="BB12" s="230">
        <v>-29250</v>
      </c>
      <c r="BC12" s="229">
        <v>-0.27989999999999998</v>
      </c>
      <c r="BD12" s="230">
        <v>9000</v>
      </c>
      <c r="BE12" s="230">
        <v>7000</v>
      </c>
      <c r="BF12" s="230">
        <v>2000</v>
      </c>
      <c r="BG12" s="229">
        <v>0.28570000000000001</v>
      </c>
      <c r="BH12" s="230">
        <v>3907500</v>
      </c>
      <c r="BI12" s="230">
        <v>3583250</v>
      </c>
      <c r="BJ12" s="230">
        <v>324250</v>
      </c>
      <c r="BK12" s="229">
        <v>9.0499999999999997E-2</v>
      </c>
      <c r="BL12" s="230">
        <v>2432250</v>
      </c>
      <c r="BM12" s="230">
        <v>1852750</v>
      </c>
      <c r="BN12" s="230">
        <v>579500</v>
      </c>
      <c r="BO12" s="229">
        <v>0.31280000000000002</v>
      </c>
      <c r="BP12" s="230">
        <v>7481750</v>
      </c>
      <c r="BQ12" s="230">
        <v>6307250</v>
      </c>
      <c r="BR12" s="230">
        <v>1174500</v>
      </c>
      <c r="BS12" s="229">
        <v>0.1862</v>
      </c>
      <c r="BT12" s="230">
        <v>573484</v>
      </c>
      <c r="BU12" s="230">
        <v>484884</v>
      </c>
      <c r="BV12" s="230">
        <v>88600</v>
      </c>
      <c r="BW12" s="229">
        <v>0.1827</v>
      </c>
      <c r="BX12" s="230">
        <v>4003500</v>
      </c>
      <c r="BY12" s="230">
        <v>4051750</v>
      </c>
      <c r="BZ12" s="230">
        <v>-48250</v>
      </c>
      <c r="CA12" s="229">
        <v>-1.1900000000000001E-2</v>
      </c>
      <c r="CB12" s="230">
        <v>3764500</v>
      </c>
      <c r="CC12" s="230">
        <v>3826500</v>
      </c>
      <c r="CD12" s="230">
        <v>-62000</v>
      </c>
      <c r="CE12" s="229">
        <v>-1.6199999999999999E-2</v>
      </c>
      <c r="CF12" s="230">
        <v>223750</v>
      </c>
      <c r="CG12" s="230">
        <v>209250</v>
      </c>
      <c r="CH12" s="230">
        <v>14500</v>
      </c>
      <c r="CI12" s="229">
        <v>6.93E-2</v>
      </c>
      <c r="CJ12" s="230">
        <v>15250</v>
      </c>
      <c r="CK12" s="230">
        <v>16000</v>
      </c>
      <c r="CL12" s="228">
        <v>-750</v>
      </c>
      <c r="CM12" s="229">
        <v>-4.6899999999999997E-2</v>
      </c>
      <c r="CN12" s="230">
        <v>1956000</v>
      </c>
      <c r="CO12" s="230">
        <v>2128500</v>
      </c>
      <c r="CP12" s="230">
        <v>-172500</v>
      </c>
      <c r="CQ12" s="229">
        <v>-8.1000000000000003E-2</v>
      </c>
      <c r="CR12" s="230">
        <v>1961250</v>
      </c>
      <c r="CS12" s="230">
        <v>1867750</v>
      </c>
      <c r="CT12" s="230">
        <v>93500</v>
      </c>
      <c r="CU12" s="229">
        <v>5.0099999999999999E-2</v>
      </c>
      <c r="CV12" s="230">
        <v>7920750</v>
      </c>
      <c r="CW12" s="230">
        <v>8048000</v>
      </c>
      <c r="CX12" s="230">
        <v>-127250</v>
      </c>
      <c r="CY12" s="229">
        <v>-1.5800000000000002E-2</v>
      </c>
      <c r="CZ12" s="228">
        <v>41.86</v>
      </c>
      <c r="DA12" s="228">
        <v>40.93</v>
      </c>
      <c r="DB12" s="228">
        <v>0.93</v>
      </c>
      <c r="DC12" s="228">
        <v>0.93</v>
      </c>
      <c r="DD12" s="228">
        <v>51.64</v>
      </c>
      <c r="DE12" s="228">
        <v>51.69</v>
      </c>
      <c r="DF12" s="228">
        <v>-9.7799999999999994</v>
      </c>
      <c r="DG12" s="228">
        <v>-0.05</v>
      </c>
      <c r="DH12" s="228">
        <v>41.18</v>
      </c>
      <c r="DI12" s="228">
        <v>40.6</v>
      </c>
      <c r="DJ12" s="228">
        <v>0.57999999999999996</v>
      </c>
      <c r="DK12" s="228">
        <v>0.57999999999999996</v>
      </c>
      <c r="DL12" s="228">
        <v>42.96</v>
      </c>
      <c r="DM12" s="228">
        <v>41.58</v>
      </c>
      <c r="DN12" s="228">
        <v>1.38</v>
      </c>
      <c r="DO12" s="228">
        <v>1.38</v>
      </c>
      <c r="DP12" s="228">
        <v>1</v>
      </c>
      <c r="DQ12" s="228">
        <v>0.88</v>
      </c>
      <c r="DR12" s="228">
        <v>0.12</v>
      </c>
      <c r="DS12" s="229">
        <v>0.13639999999999999</v>
      </c>
      <c r="DT12" s="231">
        <v>2600</v>
      </c>
      <c r="DU12" s="231">
        <v>2200</v>
      </c>
      <c r="DV12" s="228">
        <v>0.62</v>
      </c>
      <c r="DW12" s="228">
        <v>0.52</v>
      </c>
      <c r="DX12" s="228">
        <v>0.1</v>
      </c>
      <c r="DY12" s="229">
        <v>0.1923</v>
      </c>
      <c r="DZ12" s="229">
        <v>5.9700000000000003E-2</v>
      </c>
      <c r="EA12" s="230">
        <v>225250</v>
      </c>
      <c r="EB12" s="229">
        <v>-6.6E-3</v>
      </c>
      <c r="EC12" s="229">
        <v>5.9700000000000003E-2</v>
      </c>
      <c r="ED12" s="228">
        <v>-17.77</v>
      </c>
      <c r="EE12" s="229">
        <v>-7.1999999999999998E-3</v>
      </c>
      <c r="EF12" s="230">
        <v>190674</v>
      </c>
      <c r="EG12" s="230">
        <v>109712</v>
      </c>
      <c r="EH12" s="229">
        <v>0.73799999999999999</v>
      </c>
      <c r="EI12" s="229">
        <v>0.33250000000000002</v>
      </c>
      <c r="EJ12" s="231">
        <v>102113.41</v>
      </c>
      <c r="EK12" s="231">
        <v>57450.74</v>
      </c>
      <c r="EL12" s="231">
        <v>27997.57</v>
      </c>
      <c r="EM12" s="231">
        <v>4275</v>
      </c>
      <c r="EN12" s="231">
        <v>187561.72</v>
      </c>
      <c r="EO12" s="231">
        <v>157314.85</v>
      </c>
      <c r="EP12" s="231">
        <v>30246.87</v>
      </c>
      <c r="EQ12" s="229">
        <v>0.1923</v>
      </c>
      <c r="ER12" s="231">
        <v>50872</v>
      </c>
      <c r="ES12" s="231">
        <v>45449</v>
      </c>
      <c r="ET12" s="231">
        <v>98817</v>
      </c>
      <c r="EU12" s="231">
        <v>9673308</v>
      </c>
      <c r="EV12" s="231">
        <v>195139</v>
      </c>
      <c r="EW12" s="231">
        <v>195955</v>
      </c>
      <c r="EX12" s="228">
        <v>-816</v>
      </c>
      <c r="EY12" s="229">
        <v>-4.1999999999999997E-3</v>
      </c>
      <c r="EZ12" s="229">
        <v>0.81879999999999997</v>
      </c>
      <c r="FA12" s="227" t="s">
        <v>556</v>
      </c>
      <c r="FB12" s="161">
        <f t="shared" si="0"/>
        <v>239000</v>
      </c>
    </row>
    <row r="13" spans="1:158" ht="17.25" hidden="1" thickBot="1" x14ac:dyDescent="0.3">
      <c r="A13" s="226">
        <v>46029</v>
      </c>
      <c r="B13" s="227" t="s">
        <v>227</v>
      </c>
      <c r="C13" s="227" t="s">
        <v>598</v>
      </c>
      <c r="D13" s="228">
        <v>350</v>
      </c>
      <c r="E13" s="231">
        <v>1957.5</v>
      </c>
      <c r="F13" s="231">
        <v>1953.3</v>
      </c>
      <c r="G13" s="228">
        <v>4.2</v>
      </c>
      <c r="H13" s="229">
        <v>2.2000000000000001E-3</v>
      </c>
      <c r="I13" s="231">
        <v>1949.8</v>
      </c>
      <c r="J13" s="231">
        <v>1947.9</v>
      </c>
      <c r="K13" s="228">
        <v>1.9</v>
      </c>
      <c r="L13" s="229">
        <v>1E-3</v>
      </c>
      <c r="M13" s="231">
        <v>1957.5</v>
      </c>
      <c r="N13" s="231">
        <v>1953.3</v>
      </c>
      <c r="O13" s="228">
        <v>4.2</v>
      </c>
      <c r="P13" s="229">
        <v>2.2000000000000001E-3</v>
      </c>
      <c r="Q13" s="231">
        <v>1965</v>
      </c>
      <c r="R13" s="231">
        <v>1965.1</v>
      </c>
      <c r="S13" s="228">
        <v>-0.1</v>
      </c>
      <c r="T13" s="229">
        <v>-1E-4</v>
      </c>
      <c r="U13" s="231">
        <v>1977.4</v>
      </c>
      <c r="V13" s="231">
        <v>1973</v>
      </c>
      <c r="W13" s="228">
        <v>4.4000000000000004</v>
      </c>
      <c r="X13" s="229">
        <v>2.2000000000000001E-3</v>
      </c>
      <c r="Y13" s="228">
        <v>7.7</v>
      </c>
      <c r="Z13" s="228">
        <v>5.4</v>
      </c>
      <c r="AA13" s="228">
        <v>2.2999999999999998</v>
      </c>
      <c r="AB13" s="229">
        <v>3.8999999999999998E-3</v>
      </c>
      <c r="AC13" s="228">
        <v>7.7</v>
      </c>
      <c r="AD13" s="228">
        <v>5.4</v>
      </c>
      <c r="AE13" s="228">
        <v>2.2999999999999998</v>
      </c>
      <c r="AF13" s="229">
        <v>3.8999999999999998E-3</v>
      </c>
      <c r="AG13" s="228">
        <v>15.2</v>
      </c>
      <c r="AH13" s="228">
        <v>17.2</v>
      </c>
      <c r="AI13" s="228">
        <v>-2</v>
      </c>
      <c r="AJ13" s="229">
        <v>7.7999999999999996E-3</v>
      </c>
      <c r="AK13" s="228">
        <v>27.6</v>
      </c>
      <c r="AL13" s="228">
        <v>25.1</v>
      </c>
      <c r="AM13" s="228">
        <v>2.5</v>
      </c>
      <c r="AN13" s="229">
        <v>1.4200000000000001E-2</v>
      </c>
      <c r="AO13" s="231">
        <v>1952.04</v>
      </c>
      <c r="AP13" s="231">
        <v>1963.71</v>
      </c>
      <c r="AQ13" s="228">
        <v>0</v>
      </c>
      <c r="AR13" s="230">
        <v>370300</v>
      </c>
      <c r="AS13" s="230">
        <v>690550</v>
      </c>
      <c r="AT13" s="230">
        <v>-320250</v>
      </c>
      <c r="AU13" s="229">
        <v>-0.46379999999999999</v>
      </c>
      <c r="AV13" s="230">
        <v>362250</v>
      </c>
      <c r="AW13" s="230">
        <v>669550</v>
      </c>
      <c r="AX13" s="230">
        <v>-307300</v>
      </c>
      <c r="AY13" s="229">
        <v>-0.45900000000000002</v>
      </c>
      <c r="AZ13" s="230">
        <v>7000</v>
      </c>
      <c r="BA13" s="230">
        <v>16100</v>
      </c>
      <c r="BB13" s="230">
        <v>-9100</v>
      </c>
      <c r="BC13" s="229">
        <v>-0.56520000000000004</v>
      </c>
      <c r="BD13" s="230">
        <v>1050</v>
      </c>
      <c r="BE13" s="230">
        <v>4900</v>
      </c>
      <c r="BF13" s="230">
        <v>-3850</v>
      </c>
      <c r="BG13" s="229">
        <v>-0.78569999999999995</v>
      </c>
      <c r="BH13" s="230">
        <v>453600</v>
      </c>
      <c r="BI13" s="230">
        <v>880950</v>
      </c>
      <c r="BJ13" s="230">
        <v>-427350</v>
      </c>
      <c r="BK13" s="229">
        <v>-0.48509999999999998</v>
      </c>
      <c r="BL13" s="230">
        <v>101150</v>
      </c>
      <c r="BM13" s="230">
        <v>211750</v>
      </c>
      <c r="BN13" s="230">
        <v>-110600</v>
      </c>
      <c r="BO13" s="229">
        <v>-0.52229999999999999</v>
      </c>
      <c r="BP13" s="230">
        <v>925050</v>
      </c>
      <c r="BQ13" s="230">
        <v>1783250</v>
      </c>
      <c r="BR13" s="230">
        <v>-858200</v>
      </c>
      <c r="BS13" s="229">
        <v>-0.48130000000000001</v>
      </c>
      <c r="BT13" s="230">
        <v>327527</v>
      </c>
      <c r="BU13" s="230">
        <v>534243</v>
      </c>
      <c r="BV13" s="230">
        <v>-206716</v>
      </c>
      <c r="BW13" s="229">
        <v>-0.38690000000000002</v>
      </c>
      <c r="BX13" s="230">
        <v>9856350</v>
      </c>
      <c r="BY13" s="230">
        <v>9911650</v>
      </c>
      <c r="BZ13" s="230">
        <v>-55300</v>
      </c>
      <c r="CA13" s="229">
        <v>-5.5999999999999999E-3</v>
      </c>
      <c r="CB13" s="230">
        <v>9772000</v>
      </c>
      <c r="CC13" s="230">
        <v>9828350</v>
      </c>
      <c r="CD13" s="230">
        <v>-56350</v>
      </c>
      <c r="CE13" s="229">
        <v>-5.7000000000000002E-3</v>
      </c>
      <c r="CF13" s="230">
        <v>77000</v>
      </c>
      <c r="CG13" s="230">
        <v>75950</v>
      </c>
      <c r="CH13" s="230">
        <v>1050</v>
      </c>
      <c r="CI13" s="229">
        <v>1.38E-2</v>
      </c>
      <c r="CJ13" s="230">
        <v>7350</v>
      </c>
      <c r="CK13" s="230">
        <v>7350</v>
      </c>
      <c r="CL13" s="228">
        <v>0</v>
      </c>
      <c r="CM13" s="229">
        <v>0</v>
      </c>
      <c r="CN13" s="230">
        <v>1179850</v>
      </c>
      <c r="CO13" s="230">
        <v>1161650</v>
      </c>
      <c r="CP13" s="230">
        <v>18200</v>
      </c>
      <c r="CQ13" s="229">
        <v>1.5699999999999999E-2</v>
      </c>
      <c r="CR13" s="230">
        <v>641550</v>
      </c>
      <c r="CS13" s="230">
        <v>630000</v>
      </c>
      <c r="CT13" s="230">
        <v>11550</v>
      </c>
      <c r="CU13" s="229">
        <v>1.83E-2</v>
      </c>
      <c r="CV13" s="230">
        <v>11677750</v>
      </c>
      <c r="CW13" s="230">
        <v>11703300</v>
      </c>
      <c r="CX13" s="230">
        <v>-25550</v>
      </c>
      <c r="CY13" s="229">
        <v>-2.2000000000000001E-3</v>
      </c>
      <c r="CZ13" s="228">
        <v>24.58</v>
      </c>
      <c r="DA13" s="228">
        <v>25.02</v>
      </c>
      <c r="DB13" s="228">
        <v>-0.44</v>
      </c>
      <c r="DC13" s="228">
        <v>-0.44</v>
      </c>
      <c r="DD13" s="228">
        <v>32.020000000000003</v>
      </c>
      <c r="DE13" s="228">
        <v>32.1</v>
      </c>
      <c r="DF13" s="228">
        <v>-7.44</v>
      </c>
      <c r="DG13" s="228">
        <v>-0.08</v>
      </c>
      <c r="DH13" s="228">
        <v>24.62</v>
      </c>
      <c r="DI13" s="228">
        <v>25</v>
      </c>
      <c r="DJ13" s="228">
        <v>-0.38</v>
      </c>
      <c r="DK13" s="228">
        <v>-0.38</v>
      </c>
      <c r="DL13" s="228">
        <v>24.41</v>
      </c>
      <c r="DM13" s="228">
        <v>25.1</v>
      </c>
      <c r="DN13" s="228">
        <v>-0.69</v>
      </c>
      <c r="DO13" s="228">
        <v>-0.69</v>
      </c>
      <c r="DP13" s="228">
        <v>0.54</v>
      </c>
      <c r="DQ13" s="228">
        <v>0.54</v>
      </c>
      <c r="DR13" s="228">
        <v>0</v>
      </c>
      <c r="DS13" s="229">
        <v>0</v>
      </c>
      <c r="DT13" s="231">
        <v>2000</v>
      </c>
      <c r="DU13" s="231">
        <v>1900</v>
      </c>
      <c r="DV13" s="228">
        <v>0.22</v>
      </c>
      <c r="DW13" s="228">
        <v>0.24</v>
      </c>
      <c r="DX13" s="228">
        <v>-0.02</v>
      </c>
      <c r="DY13" s="229">
        <v>-8.3299999999999999E-2</v>
      </c>
      <c r="DZ13" s="229">
        <v>8.6E-3</v>
      </c>
      <c r="EA13" s="230">
        <v>83300</v>
      </c>
      <c r="EB13" s="229">
        <v>3.8E-3</v>
      </c>
      <c r="EC13" s="229">
        <v>8.6E-3</v>
      </c>
      <c r="ED13" s="228">
        <v>11.67</v>
      </c>
      <c r="EE13" s="229">
        <v>6.0000000000000001E-3</v>
      </c>
      <c r="EF13" s="230">
        <v>220272</v>
      </c>
      <c r="EG13" s="230">
        <v>357014</v>
      </c>
      <c r="EH13" s="229">
        <v>-0.38300000000000001</v>
      </c>
      <c r="EI13" s="229">
        <v>0.67249999999999999</v>
      </c>
      <c r="EJ13" s="231">
        <v>9243</v>
      </c>
      <c r="EK13" s="231">
        <v>1958.23</v>
      </c>
      <c r="EL13" s="231">
        <v>7229.46</v>
      </c>
      <c r="EM13" s="231">
        <v>3791</v>
      </c>
      <c r="EN13" s="231">
        <v>18430.689999999999</v>
      </c>
      <c r="EO13" s="231">
        <v>35612.11</v>
      </c>
      <c r="EP13" s="231">
        <v>-17181.419999999998</v>
      </c>
      <c r="EQ13" s="229">
        <v>-0.48249999999999998</v>
      </c>
      <c r="ER13" s="231">
        <v>23669</v>
      </c>
      <c r="ES13" s="231">
        <v>11986</v>
      </c>
      <c r="ET13" s="231">
        <v>192945</v>
      </c>
      <c r="EU13" s="231">
        <v>23068453</v>
      </c>
      <c r="EV13" s="231">
        <v>228600</v>
      </c>
      <c r="EW13" s="231">
        <v>228649</v>
      </c>
      <c r="EX13" s="228">
        <v>-49</v>
      </c>
      <c r="EY13" s="229">
        <v>-2.0000000000000001E-4</v>
      </c>
      <c r="EZ13" s="229">
        <v>0.50619999999999998</v>
      </c>
      <c r="FA13" s="227" t="s">
        <v>556</v>
      </c>
      <c r="FB13" s="161">
        <f t="shared" si="0"/>
        <v>84350</v>
      </c>
    </row>
    <row r="14" spans="1:158" ht="17.25" hidden="1" thickBot="1" x14ac:dyDescent="0.3">
      <c r="A14" s="226">
        <v>46029</v>
      </c>
      <c r="B14" s="227" t="s">
        <v>170</v>
      </c>
      <c r="C14" s="227" t="s">
        <v>165</v>
      </c>
      <c r="D14" s="228">
        <v>125</v>
      </c>
      <c r="E14" s="231">
        <v>7474</v>
      </c>
      <c r="F14" s="231">
        <v>7365</v>
      </c>
      <c r="G14" s="228">
        <v>109</v>
      </c>
      <c r="H14" s="229">
        <v>1.4800000000000001E-2</v>
      </c>
      <c r="I14" s="231">
        <v>7447.5</v>
      </c>
      <c r="J14" s="231">
        <v>7348</v>
      </c>
      <c r="K14" s="228">
        <v>99.5</v>
      </c>
      <c r="L14" s="229">
        <v>1.35E-2</v>
      </c>
      <c r="M14" s="231">
        <v>7474</v>
      </c>
      <c r="N14" s="231">
        <v>7365</v>
      </c>
      <c r="O14" s="228">
        <v>109</v>
      </c>
      <c r="P14" s="229">
        <v>1.4800000000000001E-2</v>
      </c>
      <c r="Q14" s="231">
        <v>7507.5</v>
      </c>
      <c r="R14" s="231">
        <v>7404</v>
      </c>
      <c r="S14" s="228">
        <v>103.5</v>
      </c>
      <c r="T14" s="229">
        <v>1.4E-2</v>
      </c>
      <c r="U14" s="231">
        <v>7558.5</v>
      </c>
      <c r="V14" s="231">
        <v>7443.5</v>
      </c>
      <c r="W14" s="228">
        <v>115</v>
      </c>
      <c r="X14" s="229">
        <v>1.54E-2</v>
      </c>
      <c r="Y14" s="228">
        <v>26.5</v>
      </c>
      <c r="Z14" s="228">
        <v>17</v>
      </c>
      <c r="AA14" s="228">
        <v>9.5</v>
      </c>
      <c r="AB14" s="229">
        <v>3.5999999999999999E-3</v>
      </c>
      <c r="AC14" s="228">
        <v>26.5</v>
      </c>
      <c r="AD14" s="228">
        <v>17</v>
      </c>
      <c r="AE14" s="228">
        <v>9.5</v>
      </c>
      <c r="AF14" s="229">
        <v>3.5999999999999999E-3</v>
      </c>
      <c r="AG14" s="228">
        <v>60</v>
      </c>
      <c r="AH14" s="228">
        <v>56</v>
      </c>
      <c r="AI14" s="228">
        <v>4</v>
      </c>
      <c r="AJ14" s="229">
        <v>8.0999999999999996E-3</v>
      </c>
      <c r="AK14" s="228">
        <v>111</v>
      </c>
      <c r="AL14" s="228">
        <v>95.5</v>
      </c>
      <c r="AM14" s="228">
        <v>15.5</v>
      </c>
      <c r="AN14" s="229">
        <v>1.49E-2</v>
      </c>
      <c r="AO14" s="231">
        <v>7445.8</v>
      </c>
      <c r="AP14" s="231">
        <v>7484.46</v>
      </c>
      <c r="AQ14" s="228">
        <v>0</v>
      </c>
      <c r="AR14" s="230">
        <v>886125</v>
      </c>
      <c r="AS14" s="230">
        <v>985625</v>
      </c>
      <c r="AT14" s="230">
        <v>-99500</v>
      </c>
      <c r="AU14" s="229">
        <v>-0.10100000000000001</v>
      </c>
      <c r="AV14" s="230">
        <v>846625</v>
      </c>
      <c r="AW14" s="230">
        <v>953875</v>
      </c>
      <c r="AX14" s="230">
        <v>-107250</v>
      </c>
      <c r="AY14" s="229">
        <v>-0.1124</v>
      </c>
      <c r="AZ14" s="230">
        <v>29125</v>
      </c>
      <c r="BA14" s="230">
        <v>27500</v>
      </c>
      <c r="BB14" s="230">
        <v>1625</v>
      </c>
      <c r="BC14" s="229">
        <v>5.91E-2</v>
      </c>
      <c r="BD14" s="230">
        <v>10375</v>
      </c>
      <c r="BE14" s="230">
        <v>4250</v>
      </c>
      <c r="BF14" s="230">
        <v>6125</v>
      </c>
      <c r="BG14" s="229">
        <v>1.4412</v>
      </c>
      <c r="BH14" s="230">
        <v>7903250</v>
      </c>
      <c r="BI14" s="230">
        <v>8858750</v>
      </c>
      <c r="BJ14" s="230">
        <v>-955500</v>
      </c>
      <c r="BK14" s="229">
        <v>-0.1079</v>
      </c>
      <c r="BL14" s="230">
        <v>3112250</v>
      </c>
      <c r="BM14" s="230">
        <v>2870875</v>
      </c>
      <c r="BN14" s="230">
        <v>241375</v>
      </c>
      <c r="BO14" s="229">
        <v>8.4099999999999994E-2</v>
      </c>
      <c r="BP14" s="230">
        <v>11901625</v>
      </c>
      <c r="BQ14" s="230">
        <v>12715250</v>
      </c>
      <c r="BR14" s="230">
        <v>-813625</v>
      </c>
      <c r="BS14" s="229">
        <v>-6.4000000000000001E-2</v>
      </c>
      <c r="BT14" s="230">
        <v>652758</v>
      </c>
      <c r="BU14" s="230">
        <v>599077</v>
      </c>
      <c r="BV14" s="230">
        <v>53681</v>
      </c>
      <c r="BW14" s="229">
        <v>8.9599999999999999E-2</v>
      </c>
      <c r="BX14" s="230">
        <v>3050500</v>
      </c>
      <c r="BY14" s="230">
        <v>2980750</v>
      </c>
      <c r="BZ14" s="230">
        <v>69750</v>
      </c>
      <c r="CA14" s="229">
        <v>2.3400000000000001E-2</v>
      </c>
      <c r="CB14" s="230">
        <v>2986000</v>
      </c>
      <c r="CC14" s="230">
        <v>2921000</v>
      </c>
      <c r="CD14" s="230">
        <v>65000</v>
      </c>
      <c r="CE14" s="229">
        <v>2.23E-2</v>
      </c>
      <c r="CF14" s="230">
        <v>54125</v>
      </c>
      <c r="CG14" s="230">
        <v>55875</v>
      </c>
      <c r="CH14" s="230">
        <v>-1750</v>
      </c>
      <c r="CI14" s="229">
        <v>-3.1300000000000001E-2</v>
      </c>
      <c r="CJ14" s="230">
        <v>10375</v>
      </c>
      <c r="CK14" s="230">
        <v>3875</v>
      </c>
      <c r="CL14" s="230">
        <v>6500</v>
      </c>
      <c r="CM14" s="229">
        <v>1.6774</v>
      </c>
      <c r="CN14" s="230">
        <v>1211250</v>
      </c>
      <c r="CO14" s="230">
        <v>1125875</v>
      </c>
      <c r="CP14" s="230">
        <v>85375</v>
      </c>
      <c r="CQ14" s="229">
        <v>7.5800000000000006E-2</v>
      </c>
      <c r="CR14" s="230">
        <v>1181250</v>
      </c>
      <c r="CS14" s="230">
        <v>961500</v>
      </c>
      <c r="CT14" s="230">
        <v>219750</v>
      </c>
      <c r="CU14" s="229">
        <v>0.22850000000000001</v>
      </c>
      <c r="CV14" s="230">
        <v>5443000</v>
      </c>
      <c r="CW14" s="230">
        <v>5068125</v>
      </c>
      <c r="CX14" s="230">
        <v>374875</v>
      </c>
      <c r="CY14" s="229">
        <v>7.3999999999999996E-2</v>
      </c>
      <c r="CZ14" s="228">
        <v>18.11</v>
      </c>
      <c r="DA14" s="228">
        <v>17.71</v>
      </c>
      <c r="DB14" s="228">
        <v>0.4</v>
      </c>
      <c r="DC14" s="228">
        <v>0.4</v>
      </c>
      <c r="DD14" s="228">
        <v>24.99</v>
      </c>
      <c r="DE14" s="228">
        <v>24.99</v>
      </c>
      <c r="DF14" s="228">
        <v>-6.88</v>
      </c>
      <c r="DG14" s="228">
        <v>0</v>
      </c>
      <c r="DH14" s="228">
        <v>17.920000000000002</v>
      </c>
      <c r="DI14" s="228">
        <v>17.54</v>
      </c>
      <c r="DJ14" s="228">
        <v>0.38</v>
      </c>
      <c r="DK14" s="228">
        <v>0.38</v>
      </c>
      <c r="DL14" s="228">
        <v>18.600000000000001</v>
      </c>
      <c r="DM14" s="228">
        <v>18.23</v>
      </c>
      <c r="DN14" s="228">
        <v>0.37</v>
      </c>
      <c r="DO14" s="228">
        <v>0.37</v>
      </c>
      <c r="DP14" s="228">
        <v>0.98</v>
      </c>
      <c r="DQ14" s="228">
        <v>0.85</v>
      </c>
      <c r="DR14" s="228">
        <v>0.13</v>
      </c>
      <c r="DS14" s="229">
        <v>0.15290000000000001</v>
      </c>
      <c r="DT14" s="231">
        <v>7500</v>
      </c>
      <c r="DU14" s="231">
        <v>7300</v>
      </c>
      <c r="DV14" s="228">
        <v>0.39</v>
      </c>
      <c r="DW14" s="228">
        <v>0.32</v>
      </c>
      <c r="DX14" s="228">
        <v>7.0000000000000007E-2</v>
      </c>
      <c r="DY14" s="229">
        <v>0.21879999999999999</v>
      </c>
      <c r="DZ14" s="229">
        <v>2.1100000000000001E-2</v>
      </c>
      <c r="EA14" s="230">
        <v>59750</v>
      </c>
      <c r="EB14" s="229">
        <v>4.4999999999999997E-3</v>
      </c>
      <c r="EC14" s="229">
        <v>2.1100000000000001E-2</v>
      </c>
      <c r="ED14" s="228">
        <v>38.659999999999997</v>
      </c>
      <c r="EE14" s="229">
        <v>5.1999999999999998E-3</v>
      </c>
      <c r="EF14" s="230">
        <v>356486</v>
      </c>
      <c r="EG14" s="230">
        <v>293132</v>
      </c>
      <c r="EH14" s="229">
        <v>0.21609999999999999</v>
      </c>
      <c r="EI14" s="229">
        <v>0.54610000000000003</v>
      </c>
      <c r="EJ14" s="231">
        <v>606703.62</v>
      </c>
      <c r="EK14" s="231">
        <v>228000.19</v>
      </c>
      <c r="EL14" s="231">
        <v>66000.81</v>
      </c>
      <c r="EM14" s="231">
        <v>3596</v>
      </c>
      <c r="EN14" s="231">
        <v>900704.62</v>
      </c>
      <c r="EO14" s="231">
        <v>942696.13</v>
      </c>
      <c r="EP14" s="231">
        <v>-41991.51</v>
      </c>
      <c r="EQ14" s="229">
        <v>-4.4499999999999998E-2</v>
      </c>
      <c r="ER14" s="231">
        <v>91253</v>
      </c>
      <c r="ES14" s="231">
        <v>83612</v>
      </c>
      <c r="ET14" s="231">
        <v>228021</v>
      </c>
      <c r="EU14" s="231">
        <v>15524629</v>
      </c>
      <c r="EV14" s="231">
        <v>402886</v>
      </c>
      <c r="EW14" s="231">
        <v>370848</v>
      </c>
      <c r="EX14" s="231">
        <v>32038</v>
      </c>
      <c r="EY14" s="229">
        <v>8.6400000000000005E-2</v>
      </c>
      <c r="EZ14" s="229">
        <v>0.35060000000000002</v>
      </c>
      <c r="FA14" s="227" t="s">
        <v>555</v>
      </c>
      <c r="FB14" s="161">
        <f t="shared" si="0"/>
        <v>64500</v>
      </c>
    </row>
    <row r="15" spans="1:158" ht="17.25" hidden="1" thickBot="1" x14ac:dyDescent="0.3">
      <c r="A15" s="226">
        <v>46029</v>
      </c>
      <c r="B15" s="227" t="s">
        <v>162</v>
      </c>
      <c r="C15" s="227" t="s">
        <v>167</v>
      </c>
      <c r="D15" s="228">
        <v>5000</v>
      </c>
      <c r="E15" s="228">
        <v>185.76</v>
      </c>
      <c r="F15" s="228">
        <v>185.97</v>
      </c>
      <c r="G15" s="228">
        <v>-0.21</v>
      </c>
      <c r="H15" s="229">
        <v>-1.1000000000000001E-3</v>
      </c>
      <c r="I15" s="228">
        <v>186.12</v>
      </c>
      <c r="J15" s="228">
        <v>186.15</v>
      </c>
      <c r="K15" s="228">
        <v>-0.03</v>
      </c>
      <c r="L15" s="229">
        <v>-2.0000000000000001E-4</v>
      </c>
      <c r="M15" s="228">
        <v>185.76</v>
      </c>
      <c r="N15" s="228">
        <v>185.97</v>
      </c>
      <c r="O15" s="228">
        <v>-0.21</v>
      </c>
      <c r="P15" s="229">
        <v>-1.1000000000000001E-3</v>
      </c>
      <c r="Q15" s="228">
        <v>184.26</v>
      </c>
      <c r="R15" s="228">
        <v>183.93</v>
      </c>
      <c r="S15" s="228">
        <v>0.33</v>
      </c>
      <c r="T15" s="229">
        <v>1.8E-3</v>
      </c>
      <c r="U15" s="228">
        <v>183.14</v>
      </c>
      <c r="V15" s="228">
        <v>181.7</v>
      </c>
      <c r="W15" s="228">
        <v>1.44</v>
      </c>
      <c r="X15" s="229">
        <v>7.9000000000000008E-3</v>
      </c>
      <c r="Y15" s="228">
        <v>-0.36</v>
      </c>
      <c r="Z15" s="228">
        <v>-0.18</v>
      </c>
      <c r="AA15" s="228">
        <v>-0.18</v>
      </c>
      <c r="AB15" s="229">
        <v>-1.9E-3</v>
      </c>
      <c r="AC15" s="228">
        <v>-0.36</v>
      </c>
      <c r="AD15" s="228">
        <v>-0.18</v>
      </c>
      <c r="AE15" s="228">
        <v>-0.18</v>
      </c>
      <c r="AF15" s="229">
        <v>-1.9E-3</v>
      </c>
      <c r="AG15" s="228">
        <v>-1.86</v>
      </c>
      <c r="AH15" s="228">
        <v>-2.2200000000000002</v>
      </c>
      <c r="AI15" s="228">
        <v>0.36</v>
      </c>
      <c r="AJ15" s="229">
        <v>-0.01</v>
      </c>
      <c r="AK15" s="228">
        <v>-2.98</v>
      </c>
      <c r="AL15" s="228">
        <v>-4.45</v>
      </c>
      <c r="AM15" s="228">
        <v>1.47</v>
      </c>
      <c r="AN15" s="229">
        <v>-1.6E-2</v>
      </c>
      <c r="AO15" s="228">
        <v>185.23</v>
      </c>
      <c r="AP15" s="228">
        <v>183.66</v>
      </c>
      <c r="AQ15" s="228">
        <v>0</v>
      </c>
      <c r="AR15" s="230">
        <v>19265000</v>
      </c>
      <c r="AS15" s="230">
        <v>15380000</v>
      </c>
      <c r="AT15" s="230">
        <v>3885000</v>
      </c>
      <c r="AU15" s="229">
        <v>0.25259999999999999</v>
      </c>
      <c r="AV15" s="230">
        <v>15570000</v>
      </c>
      <c r="AW15" s="230">
        <v>14490000</v>
      </c>
      <c r="AX15" s="230">
        <v>1080000</v>
      </c>
      <c r="AY15" s="229">
        <v>7.4499999999999997E-2</v>
      </c>
      <c r="AZ15" s="230">
        <v>3600000</v>
      </c>
      <c r="BA15" s="230">
        <v>805000</v>
      </c>
      <c r="BB15" s="230">
        <v>2795000</v>
      </c>
      <c r="BC15" s="229">
        <v>3.472</v>
      </c>
      <c r="BD15" s="230">
        <v>95000</v>
      </c>
      <c r="BE15" s="230">
        <v>85000</v>
      </c>
      <c r="BF15" s="230">
        <v>10000</v>
      </c>
      <c r="BG15" s="229">
        <v>0.1176</v>
      </c>
      <c r="BH15" s="230">
        <v>36500000</v>
      </c>
      <c r="BI15" s="230">
        <v>56395000</v>
      </c>
      <c r="BJ15" s="230">
        <v>-19895000</v>
      </c>
      <c r="BK15" s="229">
        <v>-0.3528</v>
      </c>
      <c r="BL15" s="230">
        <v>21475000</v>
      </c>
      <c r="BM15" s="230">
        <v>22310000</v>
      </c>
      <c r="BN15" s="230">
        <v>-835000</v>
      </c>
      <c r="BO15" s="229">
        <v>-3.7400000000000003E-2</v>
      </c>
      <c r="BP15" s="230">
        <v>77240000</v>
      </c>
      <c r="BQ15" s="230">
        <v>94085000</v>
      </c>
      <c r="BR15" s="230">
        <v>-16845000</v>
      </c>
      <c r="BS15" s="229">
        <v>-0.17899999999999999</v>
      </c>
      <c r="BT15" s="230">
        <v>9694424</v>
      </c>
      <c r="BU15" s="230">
        <v>9367141</v>
      </c>
      <c r="BV15" s="230">
        <v>327283</v>
      </c>
      <c r="BW15" s="229">
        <v>3.49E-2</v>
      </c>
      <c r="BX15" s="230">
        <v>174185000</v>
      </c>
      <c r="BY15" s="230">
        <v>174560000</v>
      </c>
      <c r="BZ15" s="230">
        <v>-375000</v>
      </c>
      <c r="CA15" s="229">
        <v>-2.0999999999999999E-3</v>
      </c>
      <c r="CB15" s="230">
        <v>168365000</v>
      </c>
      <c r="CC15" s="230">
        <v>170725000</v>
      </c>
      <c r="CD15" s="230">
        <v>-2360000</v>
      </c>
      <c r="CE15" s="229">
        <v>-1.38E-2</v>
      </c>
      <c r="CF15" s="230">
        <v>5280000</v>
      </c>
      <c r="CG15" s="230">
        <v>3300000</v>
      </c>
      <c r="CH15" s="230">
        <v>1980000</v>
      </c>
      <c r="CI15" s="229">
        <v>0.6</v>
      </c>
      <c r="CJ15" s="230">
        <v>540000</v>
      </c>
      <c r="CK15" s="230">
        <v>535000</v>
      </c>
      <c r="CL15" s="230">
        <v>5000</v>
      </c>
      <c r="CM15" s="229">
        <v>9.2999999999999992E-3</v>
      </c>
      <c r="CN15" s="230">
        <v>59750000</v>
      </c>
      <c r="CO15" s="230">
        <v>59860000</v>
      </c>
      <c r="CP15" s="230">
        <v>-110000</v>
      </c>
      <c r="CQ15" s="229">
        <v>-1.8E-3</v>
      </c>
      <c r="CR15" s="230">
        <v>43660000</v>
      </c>
      <c r="CS15" s="230">
        <v>42835000</v>
      </c>
      <c r="CT15" s="230">
        <v>825000</v>
      </c>
      <c r="CU15" s="229">
        <v>1.9300000000000001E-2</v>
      </c>
      <c r="CV15" s="230">
        <v>277595000</v>
      </c>
      <c r="CW15" s="230">
        <v>277255000</v>
      </c>
      <c r="CX15" s="230">
        <v>340000</v>
      </c>
      <c r="CY15" s="229">
        <v>1.1999999999999999E-3</v>
      </c>
      <c r="CZ15" s="228">
        <v>26.62</v>
      </c>
      <c r="DA15" s="228">
        <v>26.52</v>
      </c>
      <c r="DB15" s="228">
        <v>0.1</v>
      </c>
      <c r="DC15" s="228">
        <v>0.1</v>
      </c>
      <c r="DD15" s="228">
        <v>34.86</v>
      </c>
      <c r="DE15" s="228">
        <v>34.94</v>
      </c>
      <c r="DF15" s="228">
        <v>-8.24</v>
      </c>
      <c r="DG15" s="228">
        <v>-0.08</v>
      </c>
      <c r="DH15" s="228">
        <v>26.58</v>
      </c>
      <c r="DI15" s="228">
        <v>26.42</v>
      </c>
      <c r="DJ15" s="228">
        <v>0.16</v>
      </c>
      <c r="DK15" s="228">
        <v>0.16</v>
      </c>
      <c r="DL15" s="228">
        <v>26.7</v>
      </c>
      <c r="DM15" s="228">
        <v>26.75</v>
      </c>
      <c r="DN15" s="228">
        <v>-0.05</v>
      </c>
      <c r="DO15" s="228">
        <v>-0.05</v>
      </c>
      <c r="DP15" s="228">
        <v>0.73</v>
      </c>
      <c r="DQ15" s="228">
        <v>0.72</v>
      </c>
      <c r="DR15" s="228">
        <v>0.01</v>
      </c>
      <c r="DS15" s="229">
        <v>1.3899999999999999E-2</v>
      </c>
      <c r="DT15" s="228">
        <v>190</v>
      </c>
      <c r="DU15" s="228">
        <v>180</v>
      </c>
      <c r="DV15" s="228">
        <v>0.59</v>
      </c>
      <c r="DW15" s="228">
        <v>0.4</v>
      </c>
      <c r="DX15" s="228">
        <v>0.19</v>
      </c>
      <c r="DY15" s="229">
        <v>0.47499999999999998</v>
      </c>
      <c r="DZ15" s="229">
        <v>3.3399999999999999E-2</v>
      </c>
      <c r="EA15" s="230">
        <v>3835000</v>
      </c>
      <c r="EB15" s="229">
        <v>-8.0999999999999996E-3</v>
      </c>
      <c r="EC15" s="229">
        <v>3.3399999999999999E-2</v>
      </c>
      <c r="ED15" s="228">
        <v>-1.57</v>
      </c>
      <c r="EE15" s="229">
        <v>-8.5000000000000006E-3</v>
      </c>
      <c r="EF15" s="230">
        <v>5220671</v>
      </c>
      <c r="EG15" s="230">
        <v>4545441</v>
      </c>
      <c r="EH15" s="229">
        <v>0.14860000000000001</v>
      </c>
      <c r="EI15" s="229">
        <v>0.53849999999999998</v>
      </c>
      <c r="EJ15" s="231">
        <v>70520.740000000005</v>
      </c>
      <c r="EK15" s="231">
        <v>38969.019999999997</v>
      </c>
      <c r="EL15" s="231">
        <v>35625.19</v>
      </c>
      <c r="EM15" s="231">
        <v>5957</v>
      </c>
      <c r="EN15" s="231">
        <v>145114.95000000001</v>
      </c>
      <c r="EO15" s="231">
        <v>178858.9</v>
      </c>
      <c r="EP15" s="231">
        <v>-33743.949999999997</v>
      </c>
      <c r="EQ15" s="229">
        <v>-0.18870000000000001</v>
      </c>
      <c r="ER15" s="231">
        <v>113363</v>
      </c>
      <c r="ES15" s="231">
        <v>75796</v>
      </c>
      <c r="ET15" s="231">
        <v>323473</v>
      </c>
      <c r="EU15" s="231">
        <v>423719104</v>
      </c>
      <c r="EV15" s="231">
        <v>512631</v>
      </c>
      <c r="EW15" s="231">
        <v>512312</v>
      </c>
      <c r="EX15" s="228">
        <v>319</v>
      </c>
      <c r="EY15" s="229">
        <v>5.9999999999999995E-4</v>
      </c>
      <c r="EZ15" s="229">
        <v>0.65510000000000002</v>
      </c>
      <c r="FA15" s="227" t="s">
        <v>568</v>
      </c>
      <c r="FB15" s="161">
        <f t="shared" si="0"/>
        <v>5820000</v>
      </c>
    </row>
    <row r="16" spans="1:158" ht="17.25" hidden="1" thickBot="1" x14ac:dyDescent="0.3">
      <c r="A16" s="226">
        <v>46029</v>
      </c>
      <c r="B16" s="227" t="s">
        <v>168</v>
      </c>
      <c r="C16" s="227" t="s">
        <v>169</v>
      </c>
      <c r="D16" s="228">
        <v>250</v>
      </c>
      <c r="E16" s="231">
        <v>2811.8</v>
      </c>
      <c r="F16" s="231">
        <v>2850.5</v>
      </c>
      <c r="G16" s="228">
        <v>-38.700000000000003</v>
      </c>
      <c r="H16" s="229">
        <v>-1.3599999999999999E-2</v>
      </c>
      <c r="I16" s="231">
        <v>2809.4</v>
      </c>
      <c r="J16" s="231">
        <v>2845.8</v>
      </c>
      <c r="K16" s="228">
        <v>-36.4</v>
      </c>
      <c r="L16" s="229">
        <v>-1.2800000000000001E-2</v>
      </c>
      <c r="M16" s="231">
        <v>2811.8</v>
      </c>
      <c r="N16" s="231">
        <v>2850.5</v>
      </c>
      <c r="O16" s="228">
        <v>-38.700000000000003</v>
      </c>
      <c r="P16" s="229">
        <v>-1.3599999999999999E-2</v>
      </c>
      <c r="Q16" s="231">
        <v>2825.3</v>
      </c>
      <c r="R16" s="231">
        <v>2862.2</v>
      </c>
      <c r="S16" s="228">
        <v>-36.9</v>
      </c>
      <c r="T16" s="229">
        <v>-1.29E-2</v>
      </c>
      <c r="U16" s="231">
        <v>2843.9</v>
      </c>
      <c r="V16" s="231">
        <v>2878.3</v>
      </c>
      <c r="W16" s="228">
        <v>-34.4</v>
      </c>
      <c r="X16" s="229">
        <v>-1.2E-2</v>
      </c>
      <c r="Y16" s="228">
        <v>2.4</v>
      </c>
      <c r="Z16" s="228">
        <v>4.7</v>
      </c>
      <c r="AA16" s="228">
        <v>-2.2999999999999998</v>
      </c>
      <c r="AB16" s="229">
        <v>8.9999999999999998E-4</v>
      </c>
      <c r="AC16" s="228">
        <v>2.4</v>
      </c>
      <c r="AD16" s="228">
        <v>4.7</v>
      </c>
      <c r="AE16" s="228">
        <v>-2.2999999999999998</v>
      </c>
      <c r="AF16" s="229">
        <v>8.9999999999999998E-4</v>
      </c>
      <c r="AG16" s="228">
        <v>15.9</v>
      </c>
      <c r="AH16" s="228">
        <v>16.399999999999999</v>
      </c>
      <c r="AI16" s="228">
        <v>-0.5</v>
      </c>
      <c r="AJ16" s="229">
        <v>5.7000000000000002E-3</v>
      </c>
      <c r="AK16" s="228">
        <v>34.5</v>
      </c>
      <c r="AL16" s="228">
        <v>32.5</v>
      </c>
      <c r="AM16" s="228">
        <v>2</v>
      </c>
      <c r="AN16" s="229">
        <v>1.23E-2</v>
      </c>
      <c r="AO16" s="231">
        <v>2826.07</v>
      </c>
      <c r="AP16" s="231">
        <v>2840.75</v>
      </c>
      <c r="AQ16" s="228">
        <v>0</v>
      </c>
      <c r="AR16" s="230">
        <v>1036500</v>
      </c>
      <c r="AS16" s="230">
        <v>1270250</v>
      </c>
      <c r="AT16" s="230">
        <v>-233750</v>
      </c>
      <c r="AU16" s="229">
        <v>-0.184</v>
      </c>
      <c r="AV16" s="230">
        <v>976000</v>
      </c>
      <c r="AW16" s="230">
        <v>1202500</v>
      </c>
      <c r="AX16" s="230">
        <v>-226500</v>
      </c>
      <c r="AY16" s="229">
        <v>-0.18840000000000001</v>
      </c>
      <c r="AZ16" s="230">
        <v>52000</v>
      </c>
      <c r="BA16" s="230">
        <v>60250</v>
      </c>
      <c r="BB16" s="230">
        <v>-8250</v>
      </c>
      <c r="BC16" s="229">
        <v>-0.13689999999999999</v>
      </c>
      <c r="BD16" s="230">
        <v>8500</v>
      </c>
      <c r="BE16" s="230">
        <v>7500</v>
      </c>
      <c r="BF16" s="230">
        <v>1000</v>
      </c>
      <c r="BG16" s="229">
        <v>0.1333</v>
      </c>
      <c r="BH16" s="230">
        <v>5127750</v>
      </c>
      <c r="BI16" s="230">
        <v>7656750</v>
      </c>
      <c r="BJ16" s="230">
        <v>-2529000</v>
      </c>
      <c r="BK16" s="229">
        <v>-0.33029999999999998</v>
      </c>
      <c r="BL16" s="230">
        <v>3004500</v>
      </c>
      <c r="BM16" s="230">
        <v>3655000</v>
      </c>
      <c r="BN16" s="230">
        <v>-650500</v>
      </c>
      <c r="BO16" s="229">
        <v>-0.17799999999999999</v>
      </c>
      <c r="BP16" s="230">
        <v>9168750</v>
      </c>
      <c r="BQ16" s="230">
        <v>12582000</v>
      </c>
      <c r="BR16" s="230">
        <v>-3413250</v>
      </c>
      <c r="BS16" s="229">
        <v>-0.27129999999999999</v>
      </c>
      <c r="BT16" s="230">
        <v>651523</v>
      </c>
      <c r="BU16" s="230">
        <v>915222</v>
      </c>
      <c r="BV16" s="230">
        <v>-263699</v>
      </c>
      <c r="BW16" s="229">
        <v>-0.28810000000000002</v>
      </c>
      <c r="BX16" s="230">
        <v>13380000</v>
      </c>
      <c r="BY16" s="230">
        <v>13290000</v>
      </c>
      <c r="BZ16" s="230">
        <v>90000</v>
      </c>
      <c r="CA16" s="229">
        <v>6.7999999999999996E-3</v>
      </c>
      <c r="CB16" s="230">
        <v>13093750</v>
      </c>
      <c r="CC16" s="230">
        <v>13014500</v>
      </c>
      <c r="CD16" s="230">
        <v>79250</v>
      </c>
      <c r="CE16" s="229">
        <v>6.1000000000000004E-3</v>
      </c>
      <c r="CF16" s="230">
        <v>270250</v>
      </c>
      <c r="CG16" s="230">
        <v>264750</v>
      </c>
      <c r="CH16" s="230">
        <v>5500</v>
      </c>
      <c r="CI16" s="229">
        <v>2.0799999999999999E-2</v>
      </c>
      <c r="CJ16" s="230">
        <v>16000</v>
      </c>
      <c r="CK16" s="230">
        <v>10750</v>
      </c>
      <c r="CL16" s="230">
        <v>5250</v>
      </c>
      <c r="CM16" s="229">
        <v>0.4884</v>
      </c>
      <c r="CN16" s="230">
        <v>4310500</v>
      </c>
      <c r="CO16" s="230">
        <v>4177500</v>
      </c>
      <c r="CP16" s="230">
        <v>133000</v>
      </c>
      <c r="CQ16" s="229">
        <v>3.1800000000000002E-2</v>
      </c>
      <c r="CR16" s="230">
        <v>3134000</v>
      </c>
      <c r="CS16" s="230">
        <v>3027500</v>
      </c>
      <c r="CT16" s="230">
        <v>106500</v>
      </c>
      <c r="CU16" s="229">
        <v>3.5200000000000002E-2</v>
      </c>
      <c r="CV16" s="230">
        <v>20824500</v>
      </c>
      <c r="CW16" s="230">
        <v>20495000</v>
      </c>
      <c r="CX16" s="230">
        <v>329500</v>
      </c>
      <c r="CY16" s="229">
        <v>1.61E-2</v>
      </c>
      <c r="CZ16" s="228">
        <v>20.440000000000001</v>
      </c>
      <c r="DA16" s="228">
        <v>20.100000000000001</v>
      </c>
      <c r="DB16" s="228">
        <v>0.34</v>
      </c>
      <c r="DC16" s="228">
        <v>0.34</v>
      </c>
      <c r="DD16" s="228">
        <v>24.81</v>
      </c>
      <c r="DE16" s="228">
        <v>24.81</v>
      </c>
      <c r="DF16" s="228">
        <v>-4.37</v>
      </c>
      <c r="DG16" s="228">
        <v>0</v>
      </c>
      <c r="DH16" s="228">
        <v>20.36</v>
      </c>
      <c r="DI16" s="228">
        <v>19.8</v>
      </c>
      <c r="DJ16" s="228">
        <v>0.56000000000000005</v>
      </c>
      <c r="DK16" s="228">
        <v>0.56000000000000005</v>
      </c>
      <c r="DL16" s="228">
        <v>20.58</v>
      </c>
      <c r="DM16" s="228">
        <v>20.73</v>
      </c>
      <c r="DN16" s="228">
        <v>-0.15</v>
      </c>
      <c r="DO16" s="228">
        <v>-0.15</v>
      </c>
      <c r="DP16" s="228">
        <v>0.73</v>
      </c>
      <c r="DQ16" s="228">
        <v>0.72</v>
      </c>
      <c r="DR16" s="228">
        <v>0.01</v>
      </c>
      <c r="DS16" s="229">
        <v>1.3899999999999999E-2</v>
      </c>
      <c r="DT16" s="231">
        <v>3000</v>
      </c>
      <c r="DU16" s="231">
        <v>2600</v>
      </c>
      <c r="DV16" s="228">
        <v>0.59</v>
      </c>
      <c r="DW16" s="228">
        <v>0.48</v>
      </c>
      <c r="DX16" s="228">
        <v>0.11</v>
      </c>
      <c r="DY16" s="229">
        <v>0.22919999999999999</v>
      </c>
      <c r="DZ16" s="229">
        <v>2.1399999999999999E-2</v>
      </c>
      <c r="EA16" s="230">
        <v>275500</v>
      </c>
      <c r="EB16" s="229">
        <v>4.7999999999999996E-3</v>
      </c>
      <c r="EC16" s="229">
        <v>2.1399999999999999E-2</v>
      </c>
      <c r="ED16" s="228">
        <v>14.68</v>
      </c>
      <c r="EE16" s="229">
        <v>5.1999999999999998E-3</v>
      </c>
      <c r="EF16" s="230">
        <v>357815</v>
      </c>
      <c r="EG16" s="230">
        <v>546625</v>
      </c>
      <c r="EH16" s="229">
        <v>-0.34539999999999998</v>
      </c>
      <c r="EI16" s="229">
        <v>0.54920000000000002</v>
      </c>
      <c r="EJ16" s="231">
        <v>150079.82999999999</v>
      </c>
      <c r="EK16" s="231">
        <v>84378.28</v>
      </c>
      <c r="EL16" s="231">
        <v>29302.02</v>
      </c>
      <c r="EM16" s="231">
        <v>4239</v>
      </c>
      <c r="EN16" s="231">
        <v>263760.13</v>
      </c>
      <c r="EO16" s="231">
        <v>363021.55</v>
      </c>
      <c r="EP16" s="231">
        <v>-99261.42</v>
      </c>
      <c r="EQ16" s="229">
        <v>-0.27339999999999998</v>
      </c>
      <c r="ER16" s="231">
        <v>126063</v>
      </c>
      <c r="ES16" s="231">
        <v>83992</v>
      </c>
      <c r="ET16" s="231">
        <v>376260</v>
      </c>
      <c r="EU16" s="231">
        <v>49389162</v>
      </c>
      <c r="EV16" s="231">
        <v>586316</v>
      </c>
      <c r="EW16" s="231">
        <v>581866</v>
      </c>
      <c r="EX16" s="231">
        <v>4450</v>
      </c>
      <c r="EY16" s="229">
        <v>7.6E-3</v>
      </c>
      <c r="EZ16" s="229">
        <v>0.42159999999999997</v>
      </c>
      <c r="FA16" s="227" t="s">
        <v>567</v>
      </c>
      <c r="FB16" s="161">
        <f t="shared" si="0"/>
        <v>286250</v>
      </c>
    </row>
    <row r="17" spans="1:158" ht="17.25" hidden="1" thickBot="1" x14ac:dyDescent="0.3">
      <c r="A17" s="226">
        <v>46029</v>
      </c>
      <c r="B17" s="227" t="s">
        <v>184</v>
      </c>
      <c r="C17" s="227" t="s">
        <v>503</v>
      </c>
      <c r="D17" s="228">
        <v>425</v>
      </c>
      <c r="E17" s="231">
        <v>1503.7</v>
      </c>
      <c r="F17" s="231">
        <v>1493.1</v>
      </c>
      <c r="G17" s="228">
        <v>10.6</v>
      </c>
      <c r="H17" s="229">
        <v>7.1000000000000004E-3</v>
      </c>
      <c r="I17" s="231">
        <v>1502.6</v>
      </c>
      <c r="J17" s="231">
        <v>1487.2</v>
      </c>
      <c r="K17" s="228">
        <v>15.4</v>
      </c>
      <c r="L17" s="229">
        <v>1.04E-2</v>
      </c>
      <c r="M17" s="231">
        <v>1503.7</v>
      </c>
      <c r="N17" s="231">
        <v>1493.1</v>
      </c>
      <c r="O17" s="228">
        <v>10.6</v>
      </c>
      <c r="P17" s="229">
        <v>7.1000000000000004E-3</v>
      </c>
      <c r="Q17" s="231">
        <v>1500</v>
      </c>
      <c r="R17" s="231">
        <v>1487</v>
      </c>
      <c r="S17" s="228">
        <v>13</v>
      </c>
      <c r="T17" s="229">
        <v>8.6999999999999994E-3</v>
      </c>
      <c r="U17" s="231">
        <v>1502.3</v>
      </c>
      <c r="V17" s="231">
        <v>1490.2</v>
      </c>
      <c r="W17" s="228">
        <v>12.1</v>
      </c>
      <c r="X17" s="229">
        <v>8.0999999999999996E-3</v>
      </c>
      <c r="Y17" s="228">
        <v>1.1000000000000001</v>
      </c>
      <c r="Z17" s="228">
        <v>5.9</v>
      </c>
      <c r="AA17" s="228">
        <v>-4.8</v>
      </c>
      <c r="AB17" s="229">
        <v>6.9999999999999999E-4</v>
      </c>
      <c r="AC17" s="228">
        <v>1.1000000000000001</v>
      </c>
      <c r="AD17" s="228">
        <v>5.9</v>
      </c>
      <c r="AE17" s="228">
        <v>-4.8</v>
      </c>
      <c r="AF17" s="229">
        <v>6.9999999999999999E-4</v>
      </c>
      <c r="AG17" s="228">
        <v>-2.6</v>
      </c>
      <c r="AH17" s="228">
        <v>-0.2</v>
      </c>
      <c r="AI17" s="228">
        <v>-2.4</v>
      </c>
      <c r="AJ17" s="229">
        <v>-1.6999999999999999E-3</v>
      </c>
      <c r="AK17" s="228">
        <v>-0.3</v>
      </c>
      <c r="AL17" s="228">
        <v>3</v>
      </c>
      <c r="AM17" s="228">
        <v>-3.3</v>
      </c>
      <c r="AN17" s="229">
        <v>-2.0000000000000001E-4</v>
      </c>
      <c r="AO17" s="231">
        <v>1500.62</v>
      </c>
      <c r="AP17" s="231">
        <v>1499.15</v>
      </c>
      <c r="AQ17" s="228">
        <v>0</v>
      </c>
      <c r="AR17" s="230">
        <v>2765475</v>
      </c>
      <c r="AS17" s="230">
        <v>852975</v>
      </c>
      <c r="AT17" s="230">
        <v>1912500</v>
      </c>
      <c r="AU17" s="229">
        <v>2.2422</v>
      </c>
      <c r="AV17" s="230">
        <v>2217225</v>
      </c>
      <c r="AW17" s="230">
        <v>799425</v>
      </c>
      <c r="AX17" s="230">
        <v>1417800</v>
      </c>
      <c r="AY17" s="229">
        <v>1.7735000000000001</v>
      </c>
      <c r="AZ17" s="230">
        <v>535500</v>
      </c>
      <c r="BA17" s="230">
        <v>42075</v>
      </c>
      <c r="BB17" s="230">
        <v>493425</v>
      </c>
      <c r="BC17" s="229">
        <v>11.7273</v>
      </c>
      <c r="BD17" s="230">
        <v>12750</v>
      </c>
      <c r="BE17" s="230">
        <v>11475</v>
      </c>
      <c r="BF17" s="230">
        <v>1275</v>
      </c>
      <c r="BG17" s="229">
        <v>0.1111</v>
      </c>
      <c r="BH17" s="230">
        <v>4646525</v>
      </c>
      <c r="BI17" s="230">
        <v>1644325</v>
      </c>
      <c r="BJ17" s="230">
        <v>3002200</v>
      </c>
      <c r="BK17" s="229">
        <v>1.8258000000000001</v>
      </c>
      <c r="BL17" s="230">
        <v>2429300</v>
      </c>
      <c r="BM17" s="230">
        <v>838950</v>
      </c>
      <c r="BN17" s="230">
        <v>1590350</v>
      </c>
      <c r="BO17" s="229">
        <v>1.8956</v>
      </c>
      <c r="BP17" s="230">
        <v>9841300</v>
      </c>
      <c r="BQ17" s="230">
        <v>3336250</v>
      </c>
      <c r="BR17" s="230">
        <v>6505050</v>
      </c>
      <c r="BS17" s="229">
        <v>1.9498</v>
      </c>
      <c r="BT17" s="230">
        <v>1058724</v>
      </c>
      <c r="BU17" s="230">
        <v>267149</v>
      </c>
      <c r="BV17" s="230">
        <v>791575</v>
      </c>
      <c r="BW17" s="229">
        <v>2.9630000000000001</v>
      </c>
      <c r="BX17" s="230">
        <v>7070725</v>
      </c>
      <c r="BY17" s="230">
        <v>7122575</v>
      </c>
      <c r="BZ17" s="230">
        <v>-51850</v>
      </c>
      <c r="CA17" s="229">
        <v>-7.3000000000000001E-3</v>
      </c>
      <c r="CB17" s="230">
        <v>6658900</v>
      </c>
      <c r="CC17" s="230">
        <v>6743900</v>
      </c>
      <c r="CD17" s="230">
        <v>-85000</v>
      </c>
      <c r="CE17" s="229">
        <v>-1.26E-2</v>
      </c>
      <c r="CF17" s="230">
        <v>393550</v>
      </c>
      <c r="CG17" s="230">
        <v>362100</v>
      </c>
      <c r="CH17" s="230">
        <v>31450</v>
      </c>
      <c r="CI17" s="229">
        <v>8.6900000000000005E-2</v>
      </c>
      <c r="CJ17" s="230">
        <v>18275</v>
      </c>
      <c r="CK17" s="230">
        <v>16575</v>
      </c>
      <c r="CL17" s="230">
        <v>1700</v>
      </c>
      <c r="CM17" s="229">
        <v>0.1026</v>
      </c>
      <c r="CN17" s="230">
        <v>2489225</v>
      </c>
      <c r="CO17" s="230">
        <v>2361725</v>
      </c>
      <c r="CP17" s="230">
        <v>127500</v>
      </c>
      <c r="CQ17" s="229">
        <v>5.3999999999999999E-2</v>
      </c>
      <c r="CR17" s="230">
        <v>1884450</v>
      </c>
      <c r="CS17" s="230">
        <v>1796050</v>
      </c>
      <c r="CT17" s="230">
        <v>88400</v>
      </c>
      <c r="CU17" s="229">
        <v>4.9200000000000001E-2</v>
      </c>
      <c r="CV17" s="230">
        <v>11444400</v>
      </c>
      <c r="CW17" s="230">
        <v>11280350</v>
      </c>
      <c r="CX17" s="230">
        <v>164050</v>
      </c>
      <c r="CY17" s="229">
        <v>1.4500000000000001E-2</v>
      </c>
      <c r="CZ17" s="228">
        <v>23.91</v>
      </c>
      <c r="DA17" s="228">
        <v>24.59</v>
      </c>
      <c r="DB17" s="228">
        <v>-0.68</v>
      </c>
      <c r="DC17" s="228">
        <v>-0.68</v>
      </c>
      <c r="DD17" s="228">
        <v>33.49</v>
      </c>
      <c r="DE17" s="228">
        <v>33.56</v>
      </c>
      <c r="DF17" s="228">
        <v>-9.58</v>
      </c>
      <c r="DG17" s="228">
        <v>-7.0000000000000007E-2</v>
      </c>
      <c r="DH17" s="228">
        <v>23.76</v>
      </c>
      <c r="DI17" s="228">
        <v>24.22</v>
      </c>
      <c r="DJ17" s="228">
        <v>-0.46</v>
      </c>
      <c r="DK17" s="228">
        <v>-0.46</v>
      </c>
      <c r="DL17" s="228">
        <v>24.18</v>
      </c>
      <c r="DM17" s="228">
        <v>25.31</v>
      </c>
      <c r="DN17" s="228">
        <v>-1.1299999999999999</v>
      </c>
      <c r="DO17" s="228">
        <v>-1.1299999999999999</v>
      </c>
      <c r="DP17" s="228">
        <v>0.76</v>
      </c>
      <c r="DQ17" s="228">
        <v>0.76</v>
      </c>
      <c r="DR17" s="228">
        <v>0</v>
      </c>
      <c r="DS17" s="229">
        <v>0</v>
      </c>
      <c r="DT17" s="231">
        <v>1400</v>
      </c>
      <c r="DU17" s="231">
        <v>1400</v>
      </c>
      <c r="DV17" s="228">
        <v>0.52</v>
      </c>
      <c r="DW17" s="228">
        <v>0.51</v>
      </c>
      <c r="DX17" s="228">
        <v>0.01</v>
      </c>
      <c r="DY17" s="229">
        <v>1.9599999999999999E-2</v>
      </c>
      <c r="DZ17" s="229">
        <v>5.8200000000000002E-2</v>
      </c>
      <c r="EA17" s="230">
        <v>378675</v>
      </c>
      <c r="EB17" s="229">
        <v>-2.5000000000000001E-3</v>
      </c>
      <c r="EC17" s="229">
        <v>5.8200000000000002E-2</v>
      </c>
      <c r="ED17" s="228">
        <v>-1.47</v>
      </c>
      <c r="EE17" s="229">
        <v>-1E-3</v>
      </c>
      <c r="EF17" s="230">
        <v>273795</v>
      </c>
      <c r="EG17" s="230">
        <v>118687</v>
      </c>
      <c r="EH17" s="229">
        <v>1.3069</v>
      </c>
      <c r="EI17" s="229">
        <v>0.2586</v>
      </c>
      <c r="EJ17" s="231">
        <v>71818.179999999993</v>
      </c>
      <c r="EK17" s="231">
        <v>36514.47</v>
      </c>
      <c r="EL17" s="231">
        <v>41491.06</v>
      </c>
      <c r="EM17" s="231">
        <v>3733</v>
      </c>
      <c r="EN17" s="231">
        <v>149823.71</v>
      </c>
      <c r="EO17" s="231">
        <v>50752.41</v>
      </c>
      <c r="EP17" s="231">
        <v>99071.3</v>
      </c>
      <c r="EQ17" s="229">
        <v>1.9520999999999999</v>
      </c>
      <c r="ER17" s="231">
        <v>37472</v>
      </c>
      <c r="ES17" s="231">
        <v>26336</v>
      </c>
      <c r="ET17" s="231">
        <v>106308</v>
      </c>
      <c r="EU17" s="231">
        <v>18450534</v>
      </c>
      <c r="EV17" s="231">
        <v>170115</v>
      </c>
      <c r="EW17" s="231">
        <v>166611</v>
      </c>
      <c r="EX17" s="231">
        <v>3504</v>
      </c>
      <c r="EY17" s="229">
        <v>2.1000000000000001E-2</v>
      </c>
      <c r="EZ17" s="229">
        <v>0.62029999999999996</v>
      </c>
      <c r="FA17" s="227" t="s">
        <v>556</v>
      </c>
      <c r="FB17" s="161">
        <f t="shared" si="0"/>
        <v>411825</v>
      </c>
    </row>
    <row r="18" spans="1:158" ht="17.25" hidden="1" thickBot="1" x14ac:dyDescent="0.3">
      <c r="A18" s="226">
        <v>46029</v>
      </c>
      <c r="B18" s="227" t="s">
        <v>172</v>
      </c>
      <c r="C18" s="227" t="s">
        <v>495</v>
      </c>
      <c r="D18" s="228">
        <v>1000</v>
      </c>
      <c r="E18" s="231">
        <v>1007.9</v>
      </c>
      <c r="F18" s="231">
        <v>1013.9</v>
      </c>
      <c r="G18" s="228">
        <v>-6</v>
      </c>
      <c r="H18" s="229">
        <v>-5.8999999999999999E-3</v>
      </c>
      <c r="I18" s="231">
        <v>1004.55</v>
      </c>
      <c r="J18" s="231">
        <v>1008.75</v>
      </c>
      <c r="K18" s="228">
        <v>-4.2</v>
      </c>
      <c r="L18" s="229">
        <v>-4.1999999999999997E-3</v>
      </c>
      <c r="M18" s="231">
        <v>1007.9</v>
      </c>
      <c r="N18" s="231">
        <v>1013.9</v>
      </c>
      <c r="O18" s="228">
        <v>-6</v>
      </c>
      <c r="P18" s="229">
        <v>-5.8999999999999999E-3</v>
      </c>
      <c r="Q18" s="231">
        <v>1011.8</v>
      </c>
      <c r="R18" s="231">
        <v>1017.45</v>
      </c>
      <c r="S18" s="228">
        <v>-5.65</v>
      </c>
      <c r="T18" s="229">
        <v>-5.5999999999999999E-3</v>
      </c>
      <c r="U18" s="231">
        <v>1013.9</v>
      </c>
      <c r="V18" s="231">
        <v>1021.05</v>
      </c>
      <c r="W18" s="228">
        <v>-7.15</v>
      </c>
      <c r="X18" s="229">
        <v>-7.0000000000000001E-3</v>
      </c>
      <c r="Y18" s="228">
        <v>3.35</v>
      </c>
      <c r="Z18" s="228">
        <v>5.15</v>
      </c>
      <c r="AA18" s="228">
        <v>-1.8</v>
      </c>
      <c r="AB18" s="229">
        <v>3.3E-3</v>
      </c>
      <c r="AC18" s="228">
        <v>3.35</v>
      </c>
      <c r="AD18" s="228">
        <v>5.15</v>
      </c>
      <c r="AE18" s="228">
        <v>-1.8</v>
      </c>
      <c r="AF18" s="229">
        <v>3.3E-3</v>
      </c>
      <c r="AG18" s="228">
        <v>7.25</v>
      </c>
      <c r="AH18" s="228">
        <v>8.6999999999999993</v>
      </c>
      <c r="AI18" s="228">
        <v>-1.45</v>
      </c>
      <c r="AJ18" s="229">
        <v>7.1999999999999998E-3</v>
      </c>
      <c r="AK18" s="228">
        <v>9.35</v>
      </c>
      <c r="AL18" s="228">
        <v>12.3</v>
      </c>
      <c r="AM18" s="228">
        <v>-2.95</v>
      </c>
      <c r="AN18" s="229">
        <v>9.2999999999999992E-3</v>
      </c>
      <c r="AO18" s="231">
        <v>1008.98</v>
      </c>
      <c r="AP18" s="231">
        <v>1012.18</v>
      </c>
      <c r="AQ18" s="228">
        <v>0</v>
      </c>
      <c r="AR18" s="230">
        <v>2450000</v>
      </c>
      <c r="AS18" s="230">
        <v>2213000</v>
      </c>
      <c r="AT18" s="230">
        <v>237000</v>
      </c>
      <c r="AU18" s="229">
        <v>0.1071</v>
      </c>
      <c r="AV18" s="230">
        <v>2358000</v>
      </c>
      <c r="AW18" s="230">
        <v>2105000</v>
      </c>
      <c r="AX18" s="230">
        <v>253000</v>
      </c>
      <c r="AY18" s="229">
        <v>0.1202</v>
      </c>
      <c r="AZ18" s="230">
        <v>83000</v>
      </c>
      <c r="BA18" s="230">
        <v>102000</v>
      </c>
      <c r="BB18" s="230">
        <v>-19000</v>
      </c>
      <c r="BC18" s="229">
        <v>-0.18629999999999999</v>
      </c>
      <c r="BD18" s="230">
        <v>9000</v>
      </c>
      <c r="BE18" s="230">
        <v>6000</v>
      </c>
      <c r="BF18" s="230">
        <v>3000</v>
      </c>
      <c r="BG18" s="229">
        <v>0.5</v>
      </c>
      <c r="BH18" s="230">
        <v>3130000</v>
      </c>
      <c r="BI18" s="230">
        <v>3227000</v>
      </c>
      <c r="BJ18" s="230">
        <v>-97000</v>
      </c>
      <c r="BK18" s="229">
        <v>-3.0099999999999998E-2</v>
      </c>
      <c r="BL18" s="230">
        <v>1926000</v>
      </c>
      <c r="BM18" s="230">
        <v>2310000</v>
      </c>
      <c r="BN18" s="230">
        <v>-384000</v>
      </c>
      <c r="BO18" s="229">
        <v>-0.16619999999999999</v>
      </c>
      <c r="BP18" s="230">
        <v>7506000</v>
      </c>
      <c r="BQ18" s="230">
        <v>7750000</v>
      </c>
      <c r="BR18" s="230">
        <v>-244000</v>
      </c>
      <c r="BS18" s="229">
        <v>-3.15E-2</v>
      </c>
      <c r="BT18" s="230">
        <v>1660283</v>
      </c>
      <c r="BU18" s="230">
        <v>710390</v>
      </c>
      <c r="BV18" s="230">
        <v>949893</v>
      </c>
      <c r="BW18" s="229">
        <v>1.3371</v>
      </c>
      <c r="BX18" s="230">
        <v>19939000</v>
      </c>
      <c r="BY18" s="230">
        <v>19924000</v>
      </c>
      <c r="BZ18" s="230">
        <v>15000</v>
      </c>
      <c r="CA18" s="229">
        <v>8.0000000000000004E-4</v>
      </c>
      <c r="CB18" s="230">
        <v>19447000</v>
      </c>
      <c r="CC18" s="230">
        <v>19444000</v>
      </c>
      <c r="CD18" s="230">
        <v>3000</v>
      </c>
      <c r="CE18" s="229">
        <v>2.0000000000000001E-4</v>
      </c>
      <c r="CF18" s="230">
        <v>462000</v>
      </c>
      <c r="CG18" s="230">
        <v>455000</v>
      </c>
      <c r="CH18" s="230">
        <v>7000</v>
      </c>
      <c r="CI18" s="229">
        <v>1.54E-2</v>
      </c>
      <c r="CJ18" s="230">
        <v>30000</v>
      </c>
      <c r="CK18" s="230">
        <v>25000</v>
      </c>
      <c r="CL18" s="230">
        <v>5000</v>
      </c>
      <c r="CM18" s="229">
        <v>0.2</v>
      </c>
      <c r="CN18" s="230">
        <v>5363000</v>
      </c>
      <c r="CO18" s="230">
        <v>5055000</v>
      </c>
      <c r="CP18" s="230">
        <v>308000</v>
      </c>
      <c r="CQ18" s="229">
        <v>6.0900000000000003E-2</v>
      </c>
      <c r="CR18" s="230">
        <v>3764000</v>
      </c>
      <c r="CS18" s="230">
        <v>3865000</v>
      </c>
      <c r="CT18" s="230">
        <v>-101000</v>
      </c>
      <c r="CU18" s="229">
        <v>-2.6100000000000002E-2</v>
      </c>
      <c r="CV18" s="230">
        <v>29066000</v>
      </c>
      <c r="CW18" s="230">
        <v>28844000</v>
      </c>
      <c r="CX18" s="230">
        <v>222000</v>
      </c>
      <c r="CY18" s="229">
        <v>7.7000000000000002E-3</v>
      </c>
      <c r="CZ18" s="228">
        <v>27.73</v>
      </c>
      <c r="DA18" s="228">
        <v>27.48</v>
      </c>
      <c r="DB18" s="228">
        <v>0.25</v>
      </c>
      <c r="DC18" s="228">
        <v>0.25</v>
      </c>
      <c r="DD18" s="228">
        <v>34.630000000000003</v>
      </c>
      <c r="DE18" s="228">
        <v>34.71</v>
      </c>
      <c r="DF18" s="228">
        <v>-6.9</v>
      </c>
      <c r="DG18" s="228">
        <v>-0.08</v>
      </c>
      <c r="DH18" s="228">
        <v>27.64</v>
      </c>
      <c r="DI18" s="228">
        <v>27.3</v>
      </c>
      <c r="DJ18" s="228">
        <v>0.34</v>
      </c>
      <c r="DK18" s="228">
        <v>0.34</v>
      </c>
      <c r="DL18" s="228">
        <v>27.87</v>
      </c>
      <c r="DM18" s="228">
        <v>27.72</v>
      </c>
      <c r="DN18" s="228">
        <v>0.15</v>
      </c>
      <c r="DO18" s="228">
        <v>0.15</v>
      </c>
      <c r="DP18" s="228">
        <v>0.7</v>
      </c>
      <c r="DQ18" s="228">
        <v>0.76</v>
      </c>
      <c r="DR18" s="228">
        <v>-0.06</v>
      </c>
      <c r="DS18" s="229">
        <v>-7.8899999999999998E-2</v>
      </c>
      <c r="DT18" s="231">
        <v>1100</v>
      </c>
      <c r="DU18" s="231">
        <v>1000</v>
      </c>
      <c r="DV18" s="228">
        <v>0.62</v>
      </c>
      <c r="DW18" s="228">
        <v>0.72</v>
      </c>
      <c r="DX18" s="228">
        <v>-0.1</v>
      </c>
      <c r="DY18" s="229">
        <v>-0.1389</v>
      </c>
      <c r="DZ18" s="229">
        <v>2.47E-2</v>
      </c>
      <c r="EA18" s="230">
        <v>480000</v>
      </c>
      <c r="EB18" s="229">
        <v>3.8999999999999998E-3</v>
      </c>
      <c r="EC18" s="229">
        <v>2.47E-2</v>
      </c>
      <c r="ED18" s="228">
        <v>3.2</v>
      </c>
      <c r="EE18" s="229">
        <v>3.2000000000000002E-3</v>
      </c>
      <c r="EF18" s="230">
        <v>1148933</v>
      </c>
      <c r="EG18" s="230">
        <v>375629</v>
      </c>
      <c r="EH18" s="229">
        <v>2.0587</v>
      </c>
      <c r="EI18" s="229">
        <v>0.69199999999999995</v>
      </c>
      <c r="EJ18" s="231">
        <v>33118.519999999997</v>
      </c>
      <c r="EK18" s="231">
        <v>19123.78</v>
      </c>
      <c r="EL18" s="231">
        <v>24723.23</v>
      </c>
      <c r="EM18" s="231">
        <v>3090</v>
      </c>
      <c r="EN18" s="231">
        <v>76965.53</v>
      </c>
      <c r="EO18" s="231">
        <v>79561.710000000006</v>
      </c>
      <c r="EP18" s="231">
        <v>-2596.1799999999998</v>
      </c>
      <c r="EQ18" s="229">
        <v>-3.2599999999999997E-2</v>
      </c>
      <c r="ER18" s="231">
        <v>55158</v>
      </c>
      <c r="ES18" s="231">
        <v>36319</v>
      </c>
      <c r="ET18" s="231">
        <v>200985</v>
      </c>
      <c r="EU18" s="231">
        <v>86371921</v>
      </c>
      <c r="EV18" s="231">
        <v>292462</v>
      </c>
      <c r="EW18" s="231">
        <v>291228</v>
      </c>
      <c r="EX18" s="231">
        <v>1234</v>
      </c>
      <c r="EY18" s="229">
        <v>4.1999999999999997E-3</v>
      </c>
      <c r="EZ18" s="229">
        <v>0.33650000000000002</v>
      </c>
      <c r="FA18" s="227" t="s">
        <v>567</v>
      </c>
      <c r="FB18" s="161">
        <f t="shared" si="0"/>
        <v>492000</v>
      </c>
    </row>
    <row r="19" spans="1:158" ht="17.25" hidden="1" thickBot="1" x14ac:dyDescent="0.3">
      <c r="A19" s="226">
        <v>46029</v>
      </c>
      <c r="B19" s="227" t="s">
        <v>170</v>
      </c>
      <c r="C19" s="227" t="s">
        <v>171</v>
      </c>
      <c r="D19" s="228">
        <v>550</v>
      </c>
      <c r="E19" s="231">
        <v>1241.5999999999999</v>
      </c>
      <c r="F19" s="231">
        <v>1237.5999999999999</v>
      </c>
      <c r="G19" s="228">
        <v>4</v>
      </c>
      <c r="H19" s="229">
        <v>3.2000000000000002E-3</v>
      </c>
      <c r="I19" s="231">
        <v>1235.4000000000001</v>
      </c>
      <c r="J19" s="231">
        <v>1231.3</v>
      </c>
      <c r="K19" s="228">
        <v>4.0999999999999996</v>
      </c>
      <c r="L19" s="229">
        <v>3.3E-3</v>
      </c>
      <c r="M19" s="231">
        <v>1241.5999999999999</v>
      </c>
      <c r="N19" s="231">
        <v>1237.5999999999999</v>
      </c>
      <c r="O19" s="228">
        <v>4</v>
      </c>
      <c r="P19" s="229">
        <v>3.2000000000000002E-3</v>
      </c>
      <c r="Q19" s="231">
        <v>1248.2</v>
      </c>
      <c r="R19" s="231">
        <v>1244.4000000000001</v>
      </c>
      <c r="S19" s="228">
        <v>3.8</v>
      </c>
      <c r="T19" s="229">
        <v>3.0999999999999999E-3</v>
      </c>
      <c r="U19" s="231">
        <v>1257</v>
      </c>
      <c r="V19" s="231">
        <v>1254.7</v>
      </c>
      <c r="W19" s="228">
        <v>2.2999999999999998</v>
      </c>
      <c r="X19" s="229">
        <v>1.8E-3</v>
      </c>
      <c r="Y19" s="228">
        <v>6.2</v>
      </c>
      <c r="Z19" s="228">
        <v>6.3</v>
      </c>
      <c r="AA19" s="228">
        <v>-0.1</v>
      </c>
      <c r="AB19" s="229">
        <v>5.0000000000000001E-3</v>
      </c>
      <c r="AC19" s="228">
        <v>6.2</v>
      </c>
      <c r="AD19" s="228">
        <v>6.3</v>
      </c>
      <c r="AE19" s="228">
        <v>-0.1</v>
      </c>
      <c r="AF19" s="229">
        <v>5.0000000000000001E-3</v>
      </c>
      <c r="AG19" s="228">
        <v>12.8</v>
      </c>
      <c r="AH19" s="228">
        <v>13.1</v>
      </c>
      <c r="AI19" s="228">
        <v>-0.3</v>
      </c>
      <c r="AJ19" s="229">
        <v>1.04E-2</v>
      </c>
      <c r="AK19" s="228">
        <v>21.6</v>
      </c>
      <c r="AL19" s="228">
        <v>23.4</v>
      </c>
      <c r="AM19" s="228">
        <v>-1.8</v>
      </c>
      <c r="AN19" s="229">
        <v>1.7500000000000002E-2</v>
      </c>
      <c r="AO19" s="231">
        <v>1255.17</v>
      </c>
      <c r="AP19" s="231">
        <v>1264.26</v>
      </c>
      <c r="AQ19" s="228">
        <v>0</v>
      </c>
      <c r="AR19" s="230">
        <v>4555650</v>
      </c>
      <c r="AS19" s="230">
        <v>3234000</v>
      </c>
      <c r="AT19" s="230">
        <v>1321650</v>
      </c>
      <c r="AU19" s="229">
        <v>0.40870000000000001</v>
      </c>
      <c r="AV19" s="230">
        <v>4214100</v>
      </c>
      <c r="AW19" s="230">
        <v>3029400</v>
      </c>
      <c r="AX19" s="230">
        <v>1184700</v>
      </c>
      <c r="AY19" s="229">
        <v>0.3911</v>
      </c>
      <c r="AZ19" s="230">
        <v>322850</v>
      </c>
      <c r="BA19" s="230">
        <v>198000</v>
      </c>
      <c r="BB19" s="230">
        <v>124850</v>
      </c>
      <c r="BC19" s="229">
        <v>0.63060000000000005</v>
      </c>
      <c r="BD19" s="230">
        <v>18700</v>
      </c>
      <c r="BE19" s="230">
        <v>6600</v>
      </c>
      <c r="BF19" s="230">
        <v>12100</v>
      </c>
      <c r="BG19" s="229">
        <v>1.8332999999999999</v>
      </c>
      <c r="BH19" s="230">
        <v>18727500</v>
      </c>
      <c r="BI19" s="230">
        <v>8021750</v>
      </c>
      <c r="BJ19" s="230">
        <v>10705750</v>
      </c>
      <c r="BK19" s="229">
        <v>1.3346</v>
      </c>
      <c r="BL19" s="230">
        <v>4814150</v>
      </c>
      <c r="BM19" s="230">
        <v>2497000</v>
      </c>
      <c r="BN19" s="230">
        <v>2317150</v>
      </c>
      <c r="BO19" s="229">
        <v>0.92800000000000005</v>
      </c>
      <c r="BP19" s="230">
        <v>28097300</v>
      </c>
      <c r="BQ19" s="230">
        <v>13752750</v>
      </c>
      <c r="BR19" s="230">
        <v>14344550</v>
      </c>
      <c r="BS19" s="229">
        <v>1.0429999999999999</v>
      </c>
      <c r="BT19" s="230">
        <v>2439873</v>
      </c>
      <c r="BU19" s="230">
        <v>1907809</v>
      </c>
      <c r="BV19" s="230">
        <v>532064</v>
      </c>
      <c r="BW19" s="229">
        <v>0.27889999999999998</v>
      </c>
      <c r="BX19" s="230">
        <v>22461450</v>
      </c>
      <c r="BY19" s="230">
        <v>22189200</v>
      </c>
      <c r="BZ19" s="230">
        <v>272250</v>
      </c>
      <c r="CA19" s="229">
        <v>1.23E-2</v>
      </c>
      <c r="CB19" s="230">
        <v>22061600</v>
      </c>
      <c r="CC19" s="230">
        <v>21931250</v>
      </c>
      <c r="CD19" s="230">
        <v>130350</v>
      </c>
      <c r="CE19" s="229">
        <v>5.8999999999999999E-3</v>
      </c>
      <c r="CF19" s="230">
        <v>381150</v>
      </c>
      <c r="CG19" s="230">
        <v>251900</v>
      </c>
      <c r="CH19" s="230">
        <v>129250</v>
      </c>
      <c r="CI19" s="229">
        <v>0.5131</v>
      </c>
      <c r="CJ19" s="230">
        <v>18700</v>
      </c>
      <c r="CK19" s="230">
        <v>6050</v>
      </c>
      <c r="CL19" s="230">
        <v>12650</v>
      </c>
      <c r="CM19" s="229">
        <v>2.0909</v>
      </c>
      <c r="CN19" s="230">
        <v>5370200</v>
      </c>
      <c r="CO19" s="230">
        <v>4137100</v>
      </c>
      <c r="CP19" s="230">
        <v>1233100</v>
      </c>
      <c r="CQ19" s="229">
        <v>0.29809999999999998</v>
      </c>
      <c r="CR19" s="230">
        <v>2911150</v>
      </c>
      <c r="CS19" s="230">
        <v>2459050</v>
      </c>
      <c r="CT19" s="230">
        <v>452100</v>
      </c>
      <c r="CU19" s="229">
        <v>0.18390000000000001</v>
      </c>
      <c r="CV19" s="230">
        <v>30742800</v>
      </c>
      <c r="CW19" s="230">
        <v>28785350</v>
      </c>
      <c r="CX19" s="230">
        <v>1957450</v>
      </c>
      <c r="CY19" s="229">
        <v>6.8000000000000005E-2</v>
      </c>
      <c r="CZ19" s="228">
        <v>27.33</v>
      </c>
      <c r="DA19" s="228">
        <v>26.4</v>
      </c>
      <c r="DB19" s="228">
        <v>0.93</v>
      </c>
      <c r="DC19" s="228">
        <v>0.93</v>
      </c>
      <c r="DD19" s="228">
        <v>32.409999999999997</v>
      </c>
      <c r="DE19" s="228">
        <v>32.49</v>
      </c>
      <c r="DF19" s="228">
        <v>-5.08</v>
      </c>
      <c r="DG19" s="228">
        <v>-0.08</v>
      </c>
      <c r="DH19" s="228">
        <v>27.41</v>
      </c>
      <c r="DI19" s="228">
        <v>26.38</v>
      </c>
      <c r="DJ19" s="228">
        <v>1.03</v>
      </c>
      <c r="DK19" s="228">
        <v>1.03</v>
      </c>
      <c r="DL19" s="228">
        <v>26.98</v>
      </c>
      <c r="DM19" s="228">
        <v>26.44</v>
      </c>
      <c r="DN19" s="228">
        <v>0.54</v>
      </c>
      <c r="DO19" s="228">
        <v>0.54</v>
      </c>
      <c r="DP19" s="228">
        <v>0.54</v>
      </c>
      <c r="DQ19" s="228">
        <v>0.59</v>
      </c>
      <c r="DR19" s="228">
        <v>-0.05</v>
      </c>
      <c r="DS19" s="229">
        <v>-8.4699999999999998E-2</v>
      </c>
      <c r="DT19" s="231">
        <v>1260</v>
      </c>
      <c r="DU19" s="231">
        <v>1200</v>
      </c>
      <c r="DV19" s="228">
        <v>0.26</v>
      </c>
      <c r="DW19" s="228">
        <v>0.31</v>
      </c>
      <c r="DX19" s="228">
        <v>-0.05</v>
      </c>
      <c r="DY19" s="229">
        <v>-0.1613</v>
      </c>
      <c r="DZ19" s="229">
        <v>1.78E-2</v>
      </c>
      <c r="EA19" s="230">
        <v>257950</v>
      </c>
      <c r="EB19" s="229">
        <v>5.3E-3</v>
      </c>
      <c r="EC19" s="229">
        <v>1.78E-2</v>
      </c>
      <c r="ED19" s="228">
        <v>9.09</v>
      </c>
      <c r="EE19" s="229">
        <v>7.1999999999999998E-3</v>
      </c>
      <c r="EF19" s="230">
        <v>991018</v>
      </c>
      <c r="EG19" s="230">
        <v>1143069</v>
      </c>
      <c r="EH19" s="229">
        <v>-0.13300000000000001</v>
      </c>
      <c r="EI19" s="229">
        <v>0.40620000000000001</v>
      </c>
      <c r="EJ19" s="231">
        <v>243577.21</v>
      </c>
      <c r="EK19" s="231">
        <v>58967.33</v>
      </c>
      <c r="EL19" s="231">
        <v>57213.46</v>
      </c>
      <c r="EM19" s="231">
        <v>3638</v>
      </c>
      <c r="EN19" s="231">
        <v>359758</v>
      </c>
      <c r="EO19" s="231">
        <v>172078.12</v>
      </c>
      <c r="EP19" s="231">
        <v>187679.88</v>
      </c>
      <c r="EQ19" s="229">
        <v>1.0907</v>
      </c>
      <c r="ER19" s="231">
        <v>67895</v>
      </c>
      <c r="ES19" s="231">
        <v>34409</v>
      </c>
      <c r="ET19" s="231">
        <v>278909</v>
      </c>
      <c r="EU19" s="231">
        <v>41977935</v>
      </c>
      <c r="EV19" s="231">
        <v>381214</v>
      </c>
      <c r="EW19" s="231">
        <v>355158</v>
      </c>
      <c r="EX19" s="231">
        <v>26056</v>
      </c>
      <c r="EY19" s="229">
        <v>7.3400000000000007E-2</v>
      </c>
      <c r="EZ19" s="229">
        <v>0.73240000000000005</v>
      </c>
      <c r="FA19" s="227" t="s">
        <v>555</v>
      </c>
      <c r="FB19" s="161">
        <f t="shared" si="0"/>
        <v>399850</v>
      </c>
    </row>
    <row r="20" spans="1:158" ht="17.25" hidden="1" thickBot="1" x14ac:dyDescent="0.3">
      <c r="A20" s="226">
        <v>46029</v>
      </c>
      <c r="B20" s="227" t="s">
        <v>172</v>
      </c>
      <c r="C20" s="227" t="s">
        <v>173</v>
      </c>
      <c r="D20" s="228">
        <v>625</v>
      </c>
      <c r="E20" s="231">
        <v>1297.8</v>
      </c>
      <c r="F20" s="231">
        <v>1296.8</v>
      </c>
      <c r="G20" s="228">
        <v>1</v>
      </c>
      <c r="H20" s="229">
        <v>8.0000000000000004E-4</v>
      </c>
      <c r="I20" s="231">
        <v>1295.5</v>
      </c>
      <c r="J20" s="231">
        <v>1293.8</v>
      </c>
      <c r="K20" s="228">
        <v>1.7</v>
      </c>
      <c r="L20" s="229">
        <v>1.2999999999999999E-3</v>
      </c>
      <c r="M20" s="231">
        <v>1297.8</v>
      </c>
      <c r="N20" s="231">
        <v>1296.8</v>
      </c>
      <c r="O20" s="228">
        <v>1</v>
      </c>
      <c r="P20" s="229">
        <v>8.0000000000000004E-4</v>
      </c>
      <c r="Q20" s="231">
        <v>1305.5</v>
      </c>
      <c r="R20" s="231">
        <v>1303.8</v>
      </c>
      <c r="S20" s="228">
        <v>1.7</v>
      </c>
      <c r="T20" s="229">
        <v>1.2999999999999999E-3</v>
      </c>
      <c r="U20" s="231">
        <v>1311.9</v>
      </c>
      <c r="V20" s="231">
        <v>1311.9</v>
      </c>
      <c r="W20" s="228">
        <v>0</v>
      </c>
      <c r="X20" s="229">
        <v>0</v>
      </c>
      <c r="Y20" s="228">
        <v>2.2999999999999998</v>
      </c>
      <c r="Z20" s="228">
        <v>3</v>
      </c>
      <c r="AA20" s="228">
        <v>-0.7</v>
      </c>
      <c r="AB20" s="229">
        <v>1.8E-3</v>
      </c>
      <c r="AC20" s="228">
        <v>2.2999999999999998</v>
      </c>
      <c r="AD20" s="228">
        <v>3</v>
      </c>
      <c r="AE20" s="228">
        <v>-0.7</v>
      </c>
      <c r="AF20" s="229">
        <v>1.8E-3</v>
      </c>
      <c r="AG20" s="228">
        <v>10</v>
      </c>
      <c r="AH20" s="228">
        <v>10</v>
      </c>
      <c r="AI20" s="228">
        <v>0</v>
      </c>
      <c r="AJ20" s="229">
        <v>7.7000000000000002E-3</v>
      </c>
      <c r="AK20" s="228">
        <v>16.399999999999999</v>
      </c>
      <c r="AL20" s="228">
        <v>18.100000000000001</v>
      </c>
      <c r="AM20" s="228">
        <v>-1.7</v>
      </c>
      <c r="AN20" s="229">
        <v>1.2699999999999999E-2</v>
      </c>
      <c r="AO20" s="231">
        <v>1293.1500000000001</v>
      </c>
      <c r="AP20" s="231">
        <v>1300.21</v>
      </c>
      <c r="AQ20" s="228">
        <v>0</v>
      </c>
      <c r="AR20" s="230">
        <v>6298750</v>
      </c>
      <c r="AS20" s="230">
        <v>12340000</v>
      </c>
      <c r="AT20" s="230">
        <v>-6041250</v>
      </c>
      <c r="AU20" s="229">
        <v>-0.48959999999999998</v>
      </c>
      <c r="AV20" s="230">
        <v>6183750</v>
      </c>
      <c r="AW20" s="230">
        <v>12086875</v>
      </c>
      <c r="AX20" s="230">
        <v>-5903125</v>
      </c>
      <c r="AY20" s="229">
        <v>-0.4884</v>
      </c>
      <c r="AZ20" s="230">
        <v>100000</v>
      </c>
      <c r="BA20" s="230">
        <v>208125</v>
      </c>
      <c r="BB20" s="230">
        <v>-108125</v>
      </c>
      <c r="BC20" s="229">
        <v>-0.51949999999999996</v>
      </c>
      <c r="BD20" s="230">
        <v>15000</v>
      </c>
      <c r="BE20" s="230">
        <v>45000</v>
      </c>
      <c r="BF20" s="230">
        <v>-30000</v>
      </c>
      <c r="BG20" s="229">
        <v>-0.66669999999999996</v>
      </c>
      <c r="BH20" s="230">
        <v>22550000</v>
      </c>
      <c r="BI20" s="230">
        <v>44013125</v>
      </c>
      <c r="BJ20" s="230">
        <v>-21463125</v>
      </c>
      <c r="BK20" s="229">
        <v>-0.48770000000000002</v>
      </c>
      <c r="BL20" s="230">
        <v>12558125</v>
      </c>
      <c r="BM20" s="230">
        <v>19848750</v>
      </c>
      <c r="BN20" s="230">
        <v>-7290625</v>
      </c>
      <c r="BO20" s="229">
        <v>-0.36730000000000002</v>
      </c>
      <c r="BP20" s="230">
        <v>41406875</v>
      </c>
      <c r="BQ20" s="230">
        <v>76201875</v>
      </c>
      <c r="BR20" s="230">
        <v>-34795000</v>
      </c>
      <c r="BS20" s="229">
        <v>-0.45660000000000001</v>
      </c>
      <c r="BT20" s="230">
        <v>5557548</v>
      </c>
      <c r="BU20" s="230">
        <v>6985005</v>
      </c>
      <c r="BV20" s="230">
        <v>-1427457</v>
      </c>
      <c r="BW20" s="229">
        <v>-0.2044</v>
      </c>
      <c r="BX20" s="230">
        <v>72963125</v>
      </c>
      <c r="BY20" s="230">
        <v>73513750</v>
      </c>
      <c r="BZ20" s="230">
        <v>-550625</v>
      </c>
      <c r="CA20" s="229">
        <v>-7.4999999999999997E-3</v>
      </c>
      <c r="CB20" s="230">
        <v>72419375</v>
      </c>
      <c r="CC20" s="230">
        <v>72987500</v>
      </c>
      <c r="CD20" s="230">
        <v>-568125</v>
      </c>
      <c r="CE20" s="229">
        <v>-7.7999999999999996E-3</v>
      </c>
      <c r="CF20" s="230">
        <v>490000</v>
      </c>
      <c r="CG20" s="230">
        <v>474375</v>
      </c>
      <c r="CH20" s="230">
        <v>15625</v>
      </c>
      <c r="CI20" s="229">
        <v>3.2899999999999999E-2</v>
      </c>
      <c r="CJ20" s="230">
        <v>53750</v>
      </c>
      <c r="CK20" s="230">
        <v>51875</v>
      </c>
      <c r="CL20" s="230">
        <v>1875</v>
      </c>
      <c r="CM20" s="229">
        <v>3.61E-2</v>
      </c>
      <c r="CN20" s="230">
        <v>28002500</v>
      </c>
      <c r="CO20" s="230">
        <v>25120000</v>
      </c>
      <c r="CP20" s="230">
        <v>2882500</v>
      </c>
      <c r="CQ20" s="229">
        <v>0.1147</v>
      </c>
      <c r="CR20" s="230">
        <v>15350625</v>
      </c>
      <c r="CS20" s="230">
        <v>14492500</v>
      </c>
      <c r="CT20" s="230">
        <v>858125</v>
      </c>
      <c r="CU20" s="229">
        <v>5.9200000000000003E-2</v>
      </c>
      <c r="CV20" s="230">
        <v>116316250</v>
      </c>
      <c r="CW20" s="230">
        <v>113126250</v>
      </c>
      <c r="CX20" s="230">
        <v>3190000</v>
      </c>
      <c r="CY20" s="229">
        <v>2.8199999999999999E-2</v>
      </c>
      <c r="CZ20" s="228">
        <v>19.37</v>
      </c>
      <c r="DA20" s="228">
        <v>19.649999999999999</v>
      </c>
      <c r="DB20" s="228">
        <v>-0.28000000000000003</v>
      </c>
      <c r="DC20" s="228">
        <v>-0.28000000000000003</v>
      </c>
      <c r="DD20" s="228">
        <v>25.61</v>
      </c>
      <c r="DE20" s="228">
        <v>25.67</v>
      </c>
      <c r="DF20" s="228">
        <v>-6.24</v>
      </c>
      <c r="DG20" s="228">
        <v>-0.06</v>
      </c>
      <c r="DH20" s="228">
        <v>18.72</v>
      </c>
      <c r="DI20" s="228">
        <v>19.16</v>
      </c>
      <c r="DJ20" s="228">
        <v>-0.44</v>
      </c>
      <c r="DK20" s="228">
        <v>-0.44</v>
      </c>
      <c r="DL20" s="228">
        <v>20.55</v>
      </c>
      <c r="DM20" s="228">
        <v>20.75</v>
      </c>
      <c r="DN20" s="228">
        <v>-0.2</v>
      </c>
      <c r="DO20" s="228">
        <v>-0.2</v>
      </c>
      <c r="DP20" s="228">
        <v>0.55000000000000004</v>
      </c>
      <c r="DQ20" s="228">
        <v>0.57999999999999996</v>
      </c>
      <c r="DR20" s="228">
        <v>-0.03</v>
      </c>
      <c r="DS20" s="229">
        <v>-5.1700000000000003E-2</v>
      </c>
      <c r="DT20" s="231">
        <v>1300</v>
      </c>
      <c r="DU20" s="231">
        <v>1300</v>
      </c>
      <c r="DV20" s="228">
        <v>0.56000000000000005</v>
      </c>
      <c r="DW20" s="228">
        <v>0.45</v>
      </c>
      <c r="DX20" s="228">
        <v>0.11</v>
      </c>
      <c r="DY20" s="229">
        <v>0.24440000000000001</v>
      </c>
      <c r="DZ20" s="229">
        <v>7.4999999999999997E-3</v>
      </c>
      <c r="EA20" s="230">
        <v>526250</v>
      </c>
      <c r="EB20" s="229">
        <v>5.8999999999999999E-3</v>
      </c>
      <c r="EC20" s="229">
        <v>7.4999999999999997E-3</v>
      </c>
      <c r="ED20" s="228">
        <v>7.06</v>
      </c>
      <c r="EE20" s="229">
        <v>5.4999999999999997E-3</v>
      </c>
      <c r="EF20" s="230">
        <v>4065613</v>
      </c>
      <c r="EG20" s="230">
        <v>3881597</v>
      </c>
      <c r="EH20" s="229">
        <v>4.7399999999999998E-2</v>
      </c>
      <c r="EI20" s="229">
        <v>0.73150000000000004</v>
      </c>
      <c r="EJ20" s="231">
        <v>300358.96999999997</v>
      </c>
      <c r="EK20" s="231">
        <v>160806.63</v>
      </c>
      <c r="EL20" s="231">
        <v>81461.5</v>
      </c>
      <c r="EM20" s="231">
        <v>14218</v>
      </c>
      <c r="EN20" s="231">
        <v>542627.1</v>
      </c>
      <c r="EO20" s="231">
        <v>1001304.23</v>
      </c>
      <c r="EP20" s="231">
        <v>-458677.13</v>
      </c>
      <c r="EQ20" s="229">
        <v>-0.45810000000000001</v>
      </c>
      <c r="ER20" s="231">
        <v>366352</v>
      </c>
      <c r="ES20" s="231">
        <v>192151</v>
      </c>
      <c r="ET20" s="231">
        <v>946961</v>
      </c>
      <c r="EU20" s="231">
        <v>296371456</v>
      </c>
      <c r="EV20" s="231">
        <v>1505463</v>
      </c>
      <c r="EW20" s="231">
        <v>1462388</v>
      </c>
      <c r="EX20" s="231">
        <v>43075</v>
      </c>
      <c r="EY20" s="229">
        <v>2.9499999999999998E-2</v>
      </c>
      <c r="EZ20" s="229">
        <v>0.39250000000000002</v>
      </c>
      <c r="FA20" s="227" t="s">
        <v>556</v>
      </c>
      <c r="FB20" s="161">
        <f t="shared" si="0"/>
        <v>543750</v>
      </c>
    </row>
    <row r="21" spans="1:158" ht="17.25" hidden="1" thickBot="1" x14ac:dyDescent="0.3">
      <c r="A21" s="226">
        <v>46029</v>
      </c>
      <c r="B21" s="227" t="s">
        <v>162</v>
      </c>
      <c r="C21" s="227" t="s">
        <v>174</v>
      </c>
      <c r="D21" s="228">
        <v>75</v>
      </c>
      <c r="E21" s="231">
        <v>9802.5</v>
      </c>
      <c r="F21" s="231">
        <v>9686</v>
      </c>
      <c r="G21" s="228">
        <v>116.5</v>
      </c>
      <c r="H21" s="229">
        <v>1.2E-2</v>
      </c>
      <c r="I21" s="231">
        <v>9789.5</v>
      </c>
      <c r="J21" s="231">
        <v>9661</v>
      </c>
      <c r="K21" s="228">
        <v>128.5</v>
      </c>
      <c r="L21" s="229">
        <v>1.3299999999999999E-2</v>
      </c>
      <c r="M21" s="231">
        <v>9802.5</v>
      </c>
      <c r="N21" s="231">
        <v>9686</v>
      </c>
      <c r="O21" s="228">
        <v>116.5</v>
      </c>
      <c r="P21" s="229">
        <v>1.2E-2</v>
      </c>
      <c r="Q21" s="231">
        <v>9834.5</v>
      </c>
      <c r="R21" s="231">
        <v>9723.5</v>
      </c>
      <c r="S21" s="228">
        <v>111</v>
      </c>
      <c r="T21" s="229">
        <v>1.14E-2</v>
      </c>
      <c r="U21" s="231">
        <v>9882</v>
      </c>
      <c r="V21" s="231">
        <v>9747.5</v>
      </c>
      <c r="W21" s="228">
        <v>134.5</v>
      </c>
      <c r="X21" s="229">
        <v>1.38E-2</v>
      </c>
      <c r="Y21" s="228">
        <v>13</v>
      </c>
      <c r="Z21" s="228">
        <v>25</v>
      </c>
      <c r="AA21" s="228">
        <v>-12</v>
      </c>
      <c r="AB21" s="229">
        <v>1.2999999999999999E-3</v>
      </c>
      <c r="AC21" s="228">
        <v>13</v>
      </c>
      <c r="AD21" s="228">
        <v>25</v>
      </c>
      <c r="AE21" s="228">
        <v>-12</v>
      </c>
      <c r="AF21" s="229">
        <v>1.2999999999999999E-3</v>
      </c>
      <c r="AG21" s="228">
        <v>45</v>
      </c>
      <c r="AH21" s="228">
        <v>62.5</v>
      </c>
      <c r="AI21" s="228">
        <v>-17.5</v>
      </c>
      <c r="AJ21" s="229">
        <v>4.5999999999999999E-3</v>
      </c>
      <c r="AK21" s="228">
        <v>92.5</v>
      </c>
      <c r="AL21" s="228">
        <v>86.5</v>
      </c>
      <c r="AM21" s="228">
        <v>6</v>
      </c>
      <c r="AN21" s="229">
        <v>9.4000000000000004E-3</v>
      </c>
      <c r="AO21" s="231">
        <v>9741.59</v>
      </c>
      <c r="AP21" s="231">
        <v>9781.18</v>
      </c>
      <c r="AQ21" s="228">
        <v>0</v>
      </c>
      <c r="AR21" s="230">
        <v>523125</v>
      </c>
      <c r="AS21" s="230">
        <v>735675</v>
      </c>
      <c r="AT21" s="230">
        <v>-212550</v>
      </c>
      <c r="AU21" s="229">
        <v>-0.28889999999999999</v>
      </c>
      <c r="AV21" s="230">
        <v>470925</v>
      </c>
      <c r="AW21" s="230">
        <v>693825</v>
      </c>
      <c r="AX21" s="230">
        <v>-222900</v>
      </c>
      <c r="AY21" s="229">
        <v>-0.32129999999999997</v>
      </c>
      <c r="AZ21" s="230">
        <v>47925</v>
      </c>
      <c r="BA21" s="230">
        <v>37500</v>
      </c>
      <c r="BB21" s="230">
        <v>10425</v>
      </c>
      <c r="BC21" s="229">
        <v>0.27800000000000002</v>
      </c>
      <c r="BD21" s="230">
        <v>4275</v>
      </c>
      <c r="BE21" s="230">
        <v>4350</v>
      </c>
      <c r="BF21" s="228">
        <v>-75</v>
      </c>
      <c r="BG21" s="229">
        <v>-1.72E-2</v>
      </c>
      <c r="BH21" s="230">
        <v>3460650</v>
      </c>
      <c r="BI21" s="230">
        <v>6367425</v>
      </c>
      <c r="BJ21" s="230">
        <v>-2906775</v>
      </c>
      <c r="BK21" s="229">
        <v>-0.45650000000000002</v>
      </c>
      <c r="BL21" s="230">
        <v>1955025</v>
      </c>
      <c r="BM21" s="230">
        <v>2861100</v>
      </c>
      <c r="BN21" s="230">
        <v>-906075</v>
      </c>
      <c r="BO21" s="229">
        <v>-0.31669999999999998</v>
      </c>
      <c r="BP21" s="230">
        <v>5938800</v>
      </c>
      <c r="BQ21" s="230">
        <v>9964200</v>
      </c>
      <c r="BR21" s="230">
        <v>-4025400</v>
      </c>
      <c r="BS21" s="229">
        <v>-0.40400000000000003</v>
      </c>
      <c r="BT21" s="230">
        <v>342119</v>
      </c>
      <c r="BU21" s="230">
        <v>525240</v>
      </c>
      <c r="BV21" s="230">
        <v>-183121</v>
      </c>
      <c r="BW21" s="229">
        <v>-0.34860000000000002</v>
      </c>
      <c r="BX21" s="230">
        <v>3634500</v>
      </c>
      <c r="BY21" s="230">
        <v>3540300</v>
      </c>
      <c r="BZ21" s="230">
        <v>94200</v>
      </c>
      <c r="CA21" s="229">
        <v>2.6599999999999999E-2</v>
      </c>
      <c r="CB21" s="230">
        <v>3553725</v>
      </c>
      <c r="CC21" s="230">
        <v>3476250</v>
      </c>
      <c r="CD21" s="230">
        <v>77475</v>
      </c>
      <c r="CE21" s="229">
        <v>2.23E-2</v>
      </c>
      <c r="CF21" s="230">
        <v>71175</v>
      </c>
      <c r="CG21" s="230">
        <v>54300</v>
      </c>
      <c r="CH21" s="230">
        <v>16875</v>
      </c>
      <c r="CI21" s="229">
        <v>0.31080000000000002</v>
      </c>
      <c r="CJ21" s="230">
        <v>9600</v>
      </c>
      <c r="CK21" s="230">
        <v>9750</v>
      </c>
      <c r="CL21" s="228">
        <v>-150</v>
      </c>
      <c r="CM21" s="229">
        <v>-1.54E-2</v>
      </c>
      <c r="CN21" s="230">
        <v>1495500</v>
      </c>
      <c r="CO21" s="230">
        <v>1366575</v>
      </c>
      <c r="CP21" s="230">
        <v>128925</v>
      </c>
      <c r="CQ21" s="229">
        <v>9.4299999999999995E-2</v>
      </c>
      <c r="CR21" s="230">
        <v>1224000</v>
      </c>
      <c r="CS21" s="230">
        <v>1066650</v>
      </c>
      <c r="CT21" s="230">
        <v>157350</v>
      </c>
      <c r="CU21" s="229">
        <v>0.14749999999999999</v>
      </c>
      <c r="CV21" s="230">
        <v>6354000</v>
      </c>
      <c r="CW21" s="230">
        <v>5973525</v>
      </c>
      <c r="CX21" s="230">
        <v>380475</v>
      </c>
      <c r="CY21" s="229">
        <v>6.3700000000000007E-2</v>
      </c>
      <c r="CZ21" s="228">
        <v>22.24</v>
      </c>
      <c r="DA21" s="228">
        <v>22.01</v>
      </c>
      <c r="DB21" s="228">
        <v>0.23</v>
      </c>
      <c r="DC21" s="228">
        <v>0.23</v>
      </c>
      <c r="DD21" s="228">
        <v>28.08</v>
      </c>
      <c r="DE21" s="228">
        <v>28.09</v>
      </c>
      <c r="DF21" s="228">
        <v>-5.84</v>
      </c>
      <c r="DG21" s="228">
        <v>-0.01</v>
      </c>
      <c r="DH21" s="228">
        <v>21.71</v>
      </c>
      <c r="DI21" s="228">
        <v>21.71</v>
      </c>
      <c r="DJ21" s="228">
        <v>0</v>
      </c>
      <c r="DK21" s="228">
        <v>0</v>
      </c>
      <c r="DL21" s="228">
        <v>23.16</v>
      </c>
      <c r="DM21" s="228">
        <v>22.67</v>
      </c>
      <c r="DN21" s="228">
        <v>0.49</v>
      </c>
      <c r="DO21" s="228">
        <v>0.49</v>
      </c>
      <c r="DP21" s="228">
        <v>0.82</v>
      </c>
      <c r="DQ21" s="228">
        <v>0.78</v>
      </c>
      <c r="DR21" s="228">
        <v>0.04</v>
      </c>
      <c r="DS21" s="229">
        <v>5.1299999999999998E-2</v>
      </c>
      <c r="DT21" s="231">
        <v>10000</v>
      </c>
      <c r="DU21" s="231">
        <v>9500</v>
      </c>
      <c r="DV21" s="228">
        <v>0.56000000000000005</v>
      </c>
      <c r="DW21" s="228">
        <v>0.45</v>
      </c>
      <c r="DX21" s="228">
        <v>0.11</v>
      </c>
      <c r="DY21" s="229">
        <v>0.24440000000000001</v>
      </c>
      <c r="DZ21" s="229">
        <v>2.2200000000000001E-2</v>
      </c>
      <c r="EA21" s="230">
        <v>64050</v>
      </c>
      <c r="EB21" s="229">
        <v>3.3E-3</v>
      </c>
      <c r="EC21" s="229">
        <v>2.2200000000000001E-2</v>
      </c>
      <c r="ED21" s="228">
        <v>39.590000000000003</v>
      </c>
      <c r="EE21" s="229">
        <v>4.1000000000000003E-3</v>
      </c>
      <c r="EF21" s="230">
        <v>189461</v>
      </c>
      <c r="EG21" s="230">
        <v>247829</v>
      </c>
      <c r="EH21" s="229">
        <v>-0.23549999999999999</v>
      </c>
      <c r="EI21" s="229">
        <v>0.55379999999999996</v>
      </c>
      <c r="EJ21" s="231">
        <v>350040.38</v>
      </c>
      <c r="EK21" s="231">
        <v>186505.19</v>
      </c>
      <c r="EL21" s="231">
        <v>50982.12</v>
      </c>
      <c r="EM21" s="231">
        <v>10427</v>
      </c>
      <c r="EN21" s="231">
        <v>587527.68999999994</v>
      </c>
      <c r="EO21" s="231">
        <v>986112.59</v>
      </c>
      <c r="EP21" s="231">
        <v>-398584.9</v>
      </c>
      <c r="EQ21" s="229">
        <v>-0.4042</v>
      </c>
      <c r="ER21" s="231">
        <v>149078</v>
      </c>
      <c r="ES21" s="231">
        <v>112186</v>
      </c>
      <c r="ET21" s="231">
        <v>356302</v>
      </c>
      <c r="EU21" s="231">
        <v>15906526</v>
      </c>
      <c r="EV21" s="231">
        <v>617567</v>
      </c>
      <c r="EW21" s="231">
        <v>575748</v>
      </c>
      <c r="EX21" s="231">
        <v>41819</v>
      </c>
      <c r="EY21" s="229">
        <v>7.2599999999999998E-2</v>
      </c>
      <c r="EZ21" s="229">
        <v>0.39950000000000002</v>
      </c>
      <c r="FA21" s="227" t="s">
        <v>555</v>
      </c>
      <c r="FB21" s="161">
        <f t="shared" si="0"/>
        <v>80775</v>
      </c>
    </row>
    <row r="22" spans="1:158" ht="17.25" hidden="1" thickBot="1" x14ac:dyDescent="0.3">
      <c r="A22" s="226">
        <v>46029</v>
      </c>
      <c r="B22" s="227" t="s">
        <v>175</v>
      </c>
      <c r="C22" s="227" t="s">
        <v>176</v>
      </c>
      <c r="D22" s="228">
        <v>250</v>
      </c>
      <c r="E22" s="231">
        <v>2036.2</v>
      </c>
      <c r="F22" s="231">
        <v>2055.1999999999998</v>
      </c>
      <c r="G22" s="228">
        <v>-19</v>
      </c>
      <c r="H22" s="229">
        <v>-9.1999999999999998E-3</v>
      </c>
      <c r="I22" s="231">
        <v>2031.9</v>
      </c>
      <c r="J22" s="231">
        <v>2044.6</v>
      </c>
      <c r="K22" s="228">
        <v>-12.7</v>
      </c>
      <c r="L22" s="229">
        <v>-6.1999999999999998E-3</v>
      </c>
      <c r="M22" s="231">
        <v>2036.2</v>
      </c>
      <c r="N22" s="231">
        <v>2055.1999999999998</v>
      </c>
      <c r="O22" s="228">
        <v>-19</v>
      </c>
      <c r="P22" s="229">
        <v>-9.1999999999999998E-3</v>
      </c>
      <c r="Q22" s="231">
        <v>2046.9</v>
      </c>
      <c r="R22" s="231">
        <v>2065.6</v>
      </c>
      <c r="S22" s="228">
        <v>-18.7</v>
      </c>
      <c r="T22" s="229">
        <v>-9.1000000000000004E-3</v>
      </c>
      <c r="U22" s="231">
        <v>2059.3000000000002</v>
      </c>
      <c r="V22" s="231">
        <v>2080</v>
      </c>
      <c r="W22" s="228">
        <v>-20.7</v>
      </c>
      <c r="X22" s="229">
        <v>-0.01</v>
      </c>
      <c r="Y22" s="228">
        <v>4.3</v>
      </c>
      <c r="Z22" s="228">
        <v>10.6</v>
      </c>
      <c r="AA22" s="228">
        <v>-6.3</v>
      </c>
      <c r="AB22" s="229">
        <v>2.0999999999999999E-3</v>
      </c>
      <c r="AC22" s="228">
        <v>4.3</v>
      </c>
      <c r="AD22" s="228">
        <v>10.6</v>
      </c>
      <c r="AE22" s="228">
        <v>-6.3</v>
      </c>
      <c r="AF22" s="229">
        <v>2.0999999999999999E-3</v>
      </c>
      <c r="AG22" s="228">
        <v>15</v>
      </c>
      <c r="AH22" s="228">
        <v>21</v>
      </c>
      <c r="AI22" s="228">
        <v>-6</v>
      </c>
      <c r="AJ22" s="229">
        <v>7.4000000000000003E-3</v>
      </c>
      <c r="AK22" s="228">
        <v>27.4</v>
      </c>
      <c r="AL22" s="228">
        <v>35.4</v>
      </c>
      <c r="AM22" s="228">
        <v>-8</v>
      </c>
      <c r="AN22" s="229">
        <v>1.35E-2</v>
      </c>
      <c r="AO22" s="231">
        <v>2035.53</v>
      </c>
      <c r="AP22" s="231">
        <v>2047.38</v>
      </c>
      <c r="AQ22" s="228">
        <v>0</v>
      </c>
      <c r="AR22" s="230">
        <v>946500</v>
      </c>
      <c r="AS22" s="230">
        <v>2150250</v>
      </c>
      <c r="AT22" s="230">
        <v>-1203750</v>
      </c>
      <c r="AU22" s="229">
        <v>-0.55979999999999996</v>
      </c>
      <c r="AV22" s="230">
        <v>877250</v>
      </c>
      <c r="AW22" s="230">
        <v>2000000</v>
      </c>
      <c r="AX22" s="230">
        <v>-1122750</v>
      </c>
      <c r="AY22" s="229">
        <v>-0.56140000000000001</v>
      </c>
      <c r="AZ22" s="230">
        <v>61750</v>
      </c>
      <c r="BA22" s="230">
        <v>129250</v>
      </c>
      <c r="BB22" s="230">
        <v>-67500</v>
      </c>
      <c r="BC22" s="229">
        <v>-0.5222</v>
      </c>
      <c r="BD22" s="230">
        <v>7500</v>
      </c>
      <c r="BE22" s="230">
        <v>21000</v>
      </c>
      <c r="BF22" s="230">
        <v>-13500</v>
      </c>
      <c r="BG22" s="229">
        <v>-0.64290000000000003</v>
      </c>
      <c r="BH22" s="230">
        <v>3946750</v>
      </c>
      <c r="BI22" s="230">
        <v>11146500</v>
      </c>
      <c r="BJ22" s="230">
        <v>-7199750</v>
      </c>
      <c r="BK22" s="229">
        <v>-0.64590000000000003</v>
      </c>
      <c r="BL22" s="230">
        <v>2057500</v>
      </c>
      <c r="BM22" s="230">
        <v>3462500</v>
      </c>
      <c r="BN22" s="230">
        <v>-1405000</v>
      </c>
      <c r="BO22" s="229">
        <v>-0.40579999999999999</v>
      </c>
      <c r="BP22" s="230">
        <v>6950750</v>
      </c>
      <c r="BQ22" s="230">
        <v>16759250</v>
      </c>
      <c r="BR22" s="230">
        <v>-9808500</v>
      </c>
      <c r="BS22" s="229">
        <v>-0.58530000000000004</v>
      </c>
      <c r="BT22" s="230">
        <v>669047</v>
      </c>
      <c r="BU22" s="230">
        <v>1277934</v>
      </c>
      <c r="BV22" s="230">
        <v>-608887</v>
      </c>
      <c r="BW22" s="229">
        <v>-0.47649999999999998</v>
      </c>
      <c r="BX22" s="230">
        <v>17834750</v>
      </c>
      <c r="BY22" s="230">
        <v>17898000</v>
      </c>
      <c r="BZ22" s="230">
        <v>-63250</v>
      </c>
      <c r="CA22" s="229">
        <v>-3.5000000000000001E-3</v>
      </c>
      <c r="CB22" s="230">
        <v>17561750</v>
      </c>
      <c r="CC22" s="230">
        <v>17632500</v>
      </c>
      <c r="CD22" s="230">
        <v>-70750</v>
      </c>
      <c r="CE22" s="229">
        <v>-4.0000000000000001E-3</v>
      </c>
      <c r="CF22" s="230">
        <v>245000</v>
      </c>
      <c r="CG22" s="230">
        <v>241000</v>
      </c>
      <c r="CH22" s="230">
        <v>4000</v>
      </c>
      <c r="CI22" s="229">
        <v>1.66E-2</v>
      </c>
      <c r="CJ22" s="230">
        <v>28000</v>
      </c>
      <c r="CK22" s="230">
        <v>24500</v>
      </c>
      <c r="CL22" s="230">
        <v>3500</v>
      </c>
      <c r="CM22" s="229">
        <v>0.1429</v>
      </c>
      <c r="CN22" s="230">
        <v>4421000</v>
      </c>
      <c r="CO22" s="230">
        <v>4091500</v>
      </c>
      <c r="CP22" s="230">
        <v>329500</v>
      </c>
      <c r="CQ22" s="229">
        <v>8.0500000000000002E-2</v>
      </c>
      <c r="CR22" s="230">
        <v>3045000</v>
      </c>
      <c r="CS22" s="230">
        <v>2921000</v>
      </c>
      <c r="CT22" s="230">
        <v>124000</v>
      </c>
      <c r="CU22" s="229">
        <v>4.2500000000000003E-2</v>
      </c>
      <c r="CV22" s="230">
        <v>25300750</v>
      </c>
      <c r="CW22" s="230">
        <v>24910500</v>
      </c>
      <c r="CX22" s="230">
        <v>390250</v>
      </c>
      <c r="CY22" s="229">
        <v>1.5699999999999999E-2</v>
      </c>
      <c r="CZ22" s="228">
        <v>20.99</v>
      </c>
      <c r="DA22" s="228">
        <v>20.37</v>
      </c>
      <c r="DB22" s="228">
        <v>0.62</v>
      </c>
      <c r="DC22" s="228">
        <v>0.62</v>
      </c>
      <c r="DD22" s="228">
        <v>27.88</v>
      </c>
      <c r="DE22" s="228">
        <v>27.93</v>
      </c>
      <c r="DF22" s="228">
        <v>-6.89</v>
      </c>
      <c r="DG22" s="228">
        <v>-0.05</v>
      </c>
      <c r="DH22" s="228">
        <v>20.89</v>
      </c>
      <c r="DI22" s="228">
        <v>20.170000000000002</v>
      </c>
      <c r="DJ22" s="228">
        <v>0.72</v>
      </c>
      <c r="DK22" s="228">
        <v>0.72</v>
      </c>
      <c r="DL22" s="228">
        <v>21.19</v>
      </c>
      <c r="DM22" s="228">
        <v>21.02</v>
      </c>
      <c r="DN22" s="228">
        <v>0.17</v>
      </c>
      <c r="DO22" s="228">
        <v>0.17</v>
      </c>
      <c r="DP22" s="228">
        <v>0.69</v>
      </c>
      <c r="DQ22" s="228">
        <v>0.71</v>
      </c>
      <c r="DR22" s="228">
        <v>-0.02</v>
      </c>
      <c r="DS22" s="229">
        <v>-2.8199999999999999E-2</v>
      </c>
      <c r="DT22" s="231">
        <v>2080</v>
      </c>
      <c r="DU22" s="231">
        <v>1900</v>
      </c>
      <c r="DV22" s="228">
        <v>0.52</v>
      </c>
      <c r="DW22" s="228">
        <v>0.31</v>
      </c>
      <c r="DX22" s="228">
        <v>0.21</v>
      </c>
      <c r="DY22" s="229">
        <v>0.6774</v>
      </c>
      <c r="DZ22" s="229">
        <v>1.5299999999999999E-2</v>
      </c>
      <c r="EA22" s="230">
        <v>265500</v>
      </c>
      <c r="EB22" s="229">
        <v>5.3E-3</v>
      </c>
      <c r="EC22" s="229">
        <v>1.5299999999999999E-2</v>
      </c>
      <c r="ED22" s="228">
        <v>11.85</v>
      </c>
      <c r="EE22" s="229">
        <v>5.7999999999999996E-3</v>
      </c>
      <c r="EF22" s="230">
        <v>375640</v>
      </c>
      <c r="EG22" s="230">
        <v>783458</v>
      </c>
      <c r="EH22" s="229">
        <v>-0.52049999999999996</v>
      </c>
      <c r="EI22" s="229">
        <v>0.5615</v>
      </c>
      <c r="EJ22" s="231">
        <v>83054.27</v>
      </c>
      <c r="EK22" s="231">
        <v>41640.79</v>
      </c>
      <c r="EL22" s="231">
        <v>19275.419999999998</v>
      </c>
      <c r="EM22" s="231">
        <v>4930</v>
      </c>
      <c r="EN22" s="231">
        <v>143970.48000000001</v>
      </c>
      <c r="EO22" s="231">
        <v>353339.03</v>
      </c>
      <c r="EP22" s="231">
        <v>-209368.55</v>
      </c>
      <c r="EQ22" s="229">
        <v>-0.59250000000000003</v>
      </c>
      <c r="ER22" s="231">
        <v>92870</v>
      </c>
      <c r="ES22" s="231">
        <v>60281</v>
      </c>
      <c r="ET22" s="231">
        <v>363184</v>
      </c>
      <c r="EU22" s="231">
        <v>65701623</v>
      </c>
      <c r="EV22" s="231">
        <v>516335</v>
      </c>
      <c r="EW22" s="231">
        <v>512045</v>
      </c>
      <c r="EX22" s="231">
        <v>4290</v>
      </c>
      <c r="EY22" s="229">
        <v>8.3999999999999995E-3</v>
      </c>
      <c r="EZ22" s="229">
        <v>0.3851</v>
      </c>
      <c r="FA22" s="227" t="s">
        <v>568</v>
      </c>
      <c r="FB22" s="161">
        <f t="shared" si="0"/>
        <v>273000</v>
      </c>
    </row>
    <row r="23" spans="1:158" ht="17.25" hidden="1" thickBot="1" x14ac:dyDescent="0.3">
      <c r="A23" s="226">
        <v>46029</v>
      </c>
      <c r="B23" s="227" t="s">
        <v>175</v>
      </c>
      <c r="C23" s="227" t="s">
        <v>691</v>
      </c>
      <c r="D23" s="228">
        <v>50</v>
      </c>
      <c r="E23" s="231">
        <v>11256</v>
      </c>
      <c r="F23" s="231">
        <v>11253</v>
      </c>
      <c r="G23" s="228">
        <v>3</v>
      </c>
      <c r="H23" s="229">
        <v>2.9999999999999997E-4</v>
      </c>
      <c r="I23" s="231">
        <v>11198</v>
      </c>
      <c r="J23" s="231">
        <v>11202</v>
      </c>
      <c r="K23" s="228">
        <v>-4</v>
      </c>
      <c r="L23" s="229">
        <v>-4.0000000000000002E-4</v>
      </c>
      <c r="M23" s="231">
        <v>11256</v>
      </c>
      <c r="N23" s="231">
        <v>11253</v>
      </c>
      <c r="O23" s="228">
        <v>3</v>
      </c>
      <c r="P23" s="229">
        <v>2.9999999999999997E-4</v>
      </c>
      <c r="Q23" s="231">
        <v>11318</v>
      </c>
      <c r="R23" s="231">
        <v>11304</v>
      </c>
      <c r="S23" s="228">
        <v>14</v>
      </c>
      <c r="T23" s="229">
        <v>1.1999999999999999E-3</v>
      </c>
      <c r="U23" s="231">
        <v>11488</v>
      </c>
      <c r="V23" s="231">
        <v>11488</v>
      </c>
      <c r="W23" s="228">
        <v>0</v>
      </c>
      <c r="X23" s="229">
        <v>0</v>
      </c>
      <c r="Y23" s="228">
        <v>58</v>
      </c>
      <c r="Z23" s="228">
        <v>51</v>
      </c>
      <c r="AA23" s="228">
        <v>7</v>
      </c>
      <c r="AB23" s="229">
        <v>5.1999999999999998E-3</v>
      </c>
      <c r="AC23" s="228">
        <v>58</v>
      </c>
      <c r="AD23" s="228">
        <v>51</v>
      </c>
      <c r="AE23" s="228">
        <v>7</v>
      </c>
      <c r="AF23" s="229">
        <v>5.1999999999999998E-3</v>
      </c>
      <c r="AG23" s="228">
        <v>120</v>
      </c>
      <c r="AH23" s="228">
        <v>102</v>
      </c>
      <c r="AI23" s="228">
        <v>18</v>
      </c>
      <c r="AJ23" s="229">
        <v>1.0699999999999999E-2</v>
      </c>
      <c r="AK23" s="228">
        <v>290</v>
      </c>
      <c r="AL23" s="228">
        <v>286</v>
      </c>
      <c r="AM23" s="228">
        <v>4</v>
      </c>
      <c r="AN23" s="229">
        <v>2.5899999999999999E-2</v>
      </c>
      <c r="AO23" s="231">
        <v>11187.65</v>
      </c>
      <c r="AP23" s="231">
        <v>11229.57</v>
      </c>
      <c r="AQ23" s="228">
        <v>0</v>
      </c>
      <c r="AR23" s="230">
        <v>21800</v>
      </c>
      <c r="AS23" s="230">
        <v>33300</v>
      </c>
      <c r="AT23" s="230">
        <v>-11500</v>
      </c>
      <c r="AU23" s="229">
        <v>-0.3453</v>
      </c>
      <c r="AV23" s="230">
        <v>20650</v>
      </c>
      <c r="AW23" s="230">
        <v>30600</v>
      </c>
      <c r="AX23" s="230">
        <v>-9950</v>
      </c>
      <c r="AY23" s="229">
        <v>-0.32519999999999999</v>
      </c>
      <c r="AZ23" s="230">
        <v>1150</v>
      </c>
      <c r="BA23" s="230">
        <v>2600</v>
      </c>
      <c r="BB23" s="230">
        <v>-1450</v>
      </c>
      <c r="BC23" s="229">
        <v>-0.55769999999999997</v>
      </c>
      <c r="BD23" s="228">
        <v>0</v>
      </c>
      <c r="BE23" s="228">
        <v>100</v>
      </c>
      <c r="BF23" s="228">
        <v>-100</v>
      </c>
      <c r="BG23" s="229">
        <v>-1</v>
      </c>
      <c r="BH23" s="230">
        <v>97150</v>
      </c>
      <c r="BI23" s="230">
        <v>97400</v>
      </c>
      <c r="BJ23" s="228">
        <v>-250</v>
      </c>
      <c r="BK23" s="229">
        <v>-2.5999999999999999E-3</v>
      </c>
      <c r="BL23" s="230">
        <v>12250</v>
      </c>
      <c r="BM23" s="230">
        <v>28350</v>
      </c>
      <c r="BN23" s="230">
        <v>-16100</v>
      </c>
      <c r="BO23" s="229">
        <v>-0.56789999999999996</v>
      </c>
      <c r="BP23" s="230">
        <v>131200</v>
      </c>
      <c r="BQ23" s="230">
        <v>159050</v>
      </c>
      <c r="BR23" s="230">
        <v>-27850</v>
      </c>
      <c r="BS23" s="229">
        <v>-0.17510000000000001</v>
      </c>
      <c r="BT23" s="230">
        <v>49010</v>
      </c>
      <c r="BU23" s="230">
        <v>56078</v>
      </c>
      <c r="BV23" s="230">
        <v>-7068</v>
      </c>
      <c r="BW23" s="229">
        <v>-0.126</v>
      </c>
      <c r="BX23" s="230">
        <v>99200</v>
      </c>
      <c r="BY23" s="230">
        <v>96650</v>
      </c>
      <c r="BZ23" s="230">
        <v>2550</v>
      </c>
      <c r="CA23" s="229">
        <v>2.64E-2</v>
      </c>
      <c r="CB23" s="230">
        <v>94450</v>
      </c>
      <c r="CC23" s="230">
        <v>92200</v>
      </c>
      <c r="CD23" s="230">
        <v>2250</v>
      </c>
      <c r="CE23" s="229">
        <v>2.4400000000000002E-2</v>
      </c>
      <c r="CF23" s="230">
        <v>4550</v>
      </c>
      <c r="CG23" s="230">
        <v>4250</v>
      </c>
      <c r="CH23" s="228">
        <v>300</v>
      </c>
      <c r="CI23" s="229">
        <v>7.0599999999999996E-2</v>
      </c>
      <c r="CJ23" s="228">
        <v>200</v>
      </c>
      <c r="CK23" s="228">
        <v>200</v>
      </c>
      <c r="CL23" s="228">
        <v>0</v>
      </c>
      <c r="CM23" s="229">
        <v>0</v>
      </c>
      <c r="CN23" s="230">
        <v>62700</v>
      </c>
      <c r="CO23" s="230">
        <v>62450</v>
      </c>
      <c r="CP23" s="228">
        <v>250</v>
      </c>
      <c r="CQ23" s="229">
        <v>4.0000000000000001E-3</v>
      </c>
      <c r="CR23" s="230">
        <v>27900</v>
      </c>
      <c r="CS23" s="230">
        <v>30500</v>
      </c>
      <c r="CT23" s="230">
        <v>-2600</v>
      </c>
      <c r="CU23" s="229">
        <v>-8.5199999999999998E-2</v>
      </c>
      <c r="CV23" s="230">
        <v>189800</v>
      </c>
      <c r="CW23" s="230">
        <v>189600</v>
      </c>
      <c r="CX23" s="228">
        <v>200</v>
      </c>
      <c r="CY23" s="229">
        <v>1.1000000000000001E-3</v>
      </c>
      <c r="CZ23" s="228">
        <v>31.14</v>
      </c>
      <c r="DA23" s="228">
        <v>31.62</v>
      </c>
      <c r="DB23" s="228">
        <v>-0.48</v>
      </c>
      <c r="DC23" s="228">
        <v>-0.48</v>
      </c>
      <c r="DD23" s="228">
        <v>39.130000000000003</v>
      </c>
      <c r="DE23" s="228">
        <v>39.229999999999997</v>
      </c>
      <c r="DF23" s="228">
        <v>-7.99</v>
      </c>
      <c r="DG23" s="228">
        <v>-0.1</v>
      </c>
      <c r="DH23" s="228">
        <v>31.01</v>
      </c>
      <c r="DI23" s="228">
        <v>31.13</v>
      </c>
      <c r="DJ23" s="228">
        <v>-0.12</v>
      </c>
      <c r="DK23" s="228">
        <v>-0.12</v>
      </c>
      <c r="DL23" s="228">
        <v>32.18</v>
      </c>
      <c r="DM23" s="228">
        <v>33.299999999999997</v>
      </c>
      <c r="DN23" s="228">
        <v>-1.1200000000000001</v>
      </c>
      <c r="DO23" s="228">
        <v>-1.1200000000000001</v>
      </c>
      <c r="DP23" s="228">
        <v>0.44</v>
      </c>
      <c r="DQ23" s="228">
        <v>0.49</v>
      </c>
      <c r="DR23" s="228">
        <v>-0.05</v>
      </c>
      <c r="DS23" s="229">
        <v>-0.10199999999999999</v>
      </c>
      <c r="DT23" s="231">
        <v>11500</v>
      </c>
      <c r="DU23" s="231">
        <v>10500</v>
      </c>
      <c r="DV23" s="228">
        <v>0.13</v>
      </c>
      <c r="DW23" s="228">
        <v>0.28999999999999998</v>
      </c>
      <c r="DX23" s="228">
        <v>-0.16</v>
      </c>
      <c r="DY23" s="229">
        <v>-0.55169999999999997</v>
      </c>
      <c r="DZ23" s="229">
        <v>4.7899999999999998E-2</v>
      </c>
      <c r="EA23" s="230">
        <v>4450</v>
      </c>
      <c r="EB23" s="229">
        <v>5.4999999999999997E-3</v>
      </c>
      <c r="EC23" s="229">
        <v>4.7899999999999998E-2</v>
      </c>
      <c r="ED23" s="228">
        <v>41.92</v>
      </c>
      <c r="EE23" s="229">
        <v>3.7000000000000002E-3</v>
      </c>
      <c r="EF23" s="230">
        <v>22241</v>
      </c>
      <c r="EG23" s="230">
        <v>25848</v>
      </c>
      <c r="EH23" s="229">
        <v>-0.13950000000000001</v>
      </c>
      <c r="EI23" s="229">
        <v>0.45379999999999998</v>
      </c>
      <c r="EJ23" s="231">
        <v>12097.9</v>
      </c>
      <c r="EK23" s="231">
        <v>1333.25</v>
      </c>
      <c r="EL23" s="231">
        <v>2439.39</v>
      </c>
      <c r="EM23" s="228">
        <v>884</v>
      </c>
      <c r="EN23" s="231">
        <v>15870.54</v>
      </c>
      <c r="EO23" s="231">
        <v>18786.46</v>
      </c>
      <c r="EP23" s="231">
        <v>-2915.92</v>
      </c>
      <c r="EQ23" s="229">
        <v>-0.1552</v>
      </c>
      <c r="ER23" s="231">
        <v>7295</v>
      </c>
      <c r="ES23" s="231">
        <v>3017</v>
      </c>
      <c r="ET23" s="231">
        <v>11169</v>
      </c>
      <c r="EU23" s="231">
        <v>5401993</v>
      </c>
      <c r="EV23" s="231">
        <v>21481</v>
      </c>
      <c r="EW23" s="231">
        <v>21448</v>
      </c>
      <c r="EX23" s="228">
        <v>33</v>
      </c>
      <c r="EY23" s="229">
        <v>1.5E-3</v>
      </c>
      <c r="EZ23" s="229">
        <v>3.5099999999999999E-2</v>
      </c>
      <c r="FA23" s="227" t="s">
        <v>555</v>
      </c>
      <c r="FB23" s="161">
        <f t="shared" si="0"/>
        <v>4750</v>
      </c>
    </row>
    <row r="24" spans="1:158" ht="17.25" hidden="1" thickBot="1" x14ac:dyDescent="0.3">
      <c r="A24" s="226">
        <v>46029</v>
      </c>
      <c r="B24" s="227" t="s">
        <v>175</v>
      </c>
      <c r="C24" s="227" t="s">
        <v>177</v>
      </c>
      <c r="D24" s="228">
        <v>750</v>
      </c>
      <c r="E24" s="228">
        <v>973.4</v>
      </c>
      <c r="F24" s="228">
        <v>981.65</v>
      </c>
      <c r="G24" s="228">
        <v>-8.25</v>
      </c>
      <c r="H24" s="229">
        <v>-8.3999999999999995E-3</v>
      </c>
      <c r="I24" s="228">
        <v>968.8</v>
      </c>
      <c r="J24" s="228">
        <v>977.35</v>
      </c>
      <c r="K24" s="228">
        <v>-8.5500000000000007</v>
      </c>
      <c r="L24" s="229">
        <v>-8.6999999999999994E-3</v>
      </c>
      <c r="M24" s="228">
        <v>973.4</v>
      </c>
      <c r="N24" s="228">
        <v>981.65</v>
      </c>
      <c r="O24" s="228">
        <v>-8.25</v>
      </c>
      <c r="P24" s="229">
        <v>-8.3999999999999995E-3</v>
      </c>
      <c r="Q24" s="228">
        <v>979</v>
      </c>
      <c r="R24" s="228">
        <v>987.1</v>
      </c>
      <c r="S24" s="228">
        <v>-8.1</v>
      </c>
      <c r="T24" s="229">
        <v>-8.2000000000000007E-3</v>
      </c>
      <c r="U24" s="228">
        <v>985.25</v>
      </c>
      <c r="V24" s="228">
        <v>994.45</v>
      </c>
      <c r="W24" s="228">
        <v>-9.1999999999999993</v>
      </c>
      <c r="X24" s="229">
        <v>-9.2999999999999992E-3</v>
      </c>
      <c r="Y24" s="228">
        <v>4.5999999999999996</v>
      </c>
      <c r="Z24" s="228">
        <v>4.3</v>
      </c>
      <c r="AA24" s="228">
        <v>0.3</v>
      </c>
      <c r="AB24" s="229">
        <v>4.7000000000000002E-3</v>
      </c>
      <c r="AC24" s="228">
        <v>4.5999999999999996</v>
      </c>
      <c r="AD24" s="228">
        <v>4.3</v>
      </c>
      <c r="AE24" s="228">
        <v>0.3</v>
      </c>
      <c r="AF24" s="229">
        <v>4.7000000000000002E-3</v>
      </c>
      <c r="AG24" s="228">
        <v>10.199999999999999</v>
      </c>
      <c r="AH24" s="228">
        <v>9.75</v>
      </c>
      <c r="AI24" s="228">
        <v>0.45</v>
      </c>
      <c r="AJ24" s="229">
        <v>1.0500000000000001E-2</v>
      </c>
      <c r="AK24" s="228">
        <v>16.45</v>
      </c>
      <c r="AL24" s="228">
        <v>17.100000000000001</v>
      </c>
      <c r="AM24" s="228">
        <v>-0.65</v>
      </c>
      <c r="AN24" s="229">
        <v>1.7000000000000001E-2</v>
      </c>
      <c r="AO24" s="228">
        <v>973.01</v>
      </c>
      <c r="AP24" s="228">
        <v>978.71</v>
      </c>
      <c r="AQ24" s="228">
        <v>0</v>
      </c>
      <c r="AR24" s="230">
        <v>5771250</v>
      </c>
      <c r="AS24" s="230">
        <v>5961750</v>
      </c>
      <c r="AT24" s="230">
        <v>-190500</v>
      </c>
      <c r="AU24" s="229">
        <v>-3.2000000000000001E-2</v>
      </c>
      <c r="AV24" s="230">
        <v>5031000</v>
      </c>
      <c r="AW24" s="230">
        <v>5517000</v>
      </c>
      <c r="AX24" s="230">
        <v>-486000</v>
      </c>
      <c r="AY24" s="229">
        <v>-8.8099999999999998E-2</v>
      </c>
      <c r="AZ24" s="230">
        <v>563250</v>
      </c>
      <c r="BA24" s="230">
        <v>379500</v>
      </c>
      <c r="BB24" s="230">
        <v>183750</v>
      </c>
      <c r="BC24" s="229">
        <v>0.48420000000000002</v>
      </c>
      <c r="BD24" s="230">
        <v>177000</v>
      </c>
      <c r="BE24" s="230">
        <v>65250</v>
      </c>
      <c r="BF24" s="230">
        <v>111750</v>
      </c>
      <c r="BG24" s="229">
        <v>1.7125999999999999</v>
      </c>
      <c r="BH24" s="230">
        <v>19867500</v>
      </c>
      <c r="BI24" s="230">
        <v>20725500</v>
      </c>
      <c r="BJ24" s="230">
        <v>-858000</v>
      </c>
      <c r="BK24" s="229">
        <v>-4.1399999999999999E-2</v>
      </c>
      <c r="BL24" s="230">
        <v>8445750</v>
      </c>
      <c r="BM24" s="230">
        <v>7086750</v>
      </c>
      <c r="BN24" s="230">
        <v>1359000</v>
      </c>
      <c r="BO24" s="229">
        <v>0.1918</v>
      </c>
      <c r="BP24" s="230">
        <v>34084500</v>
      </c>
      <c r="BQ24" s="230">
        <v>33774000</v>
      </c>
      <c r="BR24" s="230">
        <v>310500</v>
      </c>
      <c r="BS24" s="229">
        <v>9.1999999999999998E-3</v>
      </c>
      <c r="BT24" s="230">
        <v>7251779</v>
      </c>
      <c r="BU24" s="230">
        <v>8816663</v>
      </c>
      <c r="BV24" s="230">
        <v>-1564884</v>
      </c>
      <c r="BW24" s="229">
        <v>-0.17749999999999999</v>
      </c>
      <c r="BX24" s="230">
        <v>98421000</v>
      </c>
      <c r="BY24" s="230">
        <v>97218750</v>
      </c>
      <c r="BZ24" s="230">
        <v>1202250</v>
      </c>
      <c r="CA24" s="229">
        <v>1.24E-2</v>
      </c>
      <c r="CB24" s="230">
        <v>96140250</v>
      </c>
      <c r="CC24" s="230">
        <v>95322750</v>
      </c>
      <c r="CD24" s="230">
        <v>817500</v>
      </c>
      <c r="CE24" s="229">
        <v>8.6E-3</v>
      </c>
      <c r="CF24" s="230">
        <v>1976250</v>
      </c>
      <c r="CG24" s="230">
        <v>1701750</v>
      </c>
      <c r="CH24" s="230">
        <v>274500</v>
      </c>
      <c r="CI24" s="229">
        <v>0.1613</v>
      </c>
      <c r="CJ24" s="230">
        <v>304500</v>
      </c>
      <c r="CK24" s="230">
        <v>194250</v>
      </c>
      <c r="CL24" s="230">
        <v>110250</v>
      </c>
      <c r="CM24" s="229">
        <v>0.56759999999999999</v>
      </c>
      <c r="CN24" s="230">
        <v>29601750</v>
      </c>
      <c r="CO24" s="230">
        <v>27871500</v>
      </c>
      <c r="CP24" s="230">
        <v>1730250</v>
      </c>
      <c r="CQ24" s="229">
        <v>6.2100000000000002E-2</v>
      </c>
      <c r="CR24" s="230">
        <v>19955250</v>
      </c>
      <c r="CS24" s="230">
        <v>19077750</v>
      </c>
      <c r="CT24" s="230">
        <v>877500</v>
      </c>
      <c r="CU24" s="229">
        <v>4.5999999999999999E-2</v>
      </c>
      <c r="CV24" s="230">
        <v>147978000</v>
      </c>
      <c r="CW24" s="230">
        <v>144168000</v>
      </c>
      <c r="CX24" s="230">
        <v>3810000</v>
      </c>
      <c r="CY24" s="229">
        <v>2.64E-2</v>
      </c>
      <c r="CZ24" s="228">
        <v>25.86</v>
      </c>
      <c r="DA24" s="228">
        <v>24.89</v>
      </c>
      <c r="DB24" s="228">
        <v>0.97</v>
      </c>
      <c r="DC24" s="228">
        <v>0.97</v>
      </c>
      <c r="DD24" s="228">
        <v>30.81</v>
      </c>
      <c r="DE24" s="228">
        <v>30.87</v>
      </c>
      <c r="DF24" s="228">
        <v>-4.95</v>
      </c>
      <c r="DG24" s="228">
        <v>-0.06</v>
      </c>
      <c r="DH24" s="228">
        <v>26.18</v>
      </c>
      <c r="DI24" s="228">
        <v>24.93</v>
      </c>
      <c r="DJ24" s="228">
        <v>1.25</v>
      </c>
      <c r="DK24" s="228">
        <v>1.25</v>
      </c>
      <c r="DL24" s="228">
        <v>25.09</v>
      </c>
      <c r="DM24" s="228">
        <v>24.76</v>
      </c>
      <c r="DN24" s="228">
        <v>0.33</v>
      </c>
      <c r="DO24" s="228">
        <v>0.33</v>
      </c>
      <c r="DP24" s="228">
        <v>0.67</v>
      </c>
      <c r="DQ24" s="228">
        <v>0.68</v>
      </c>
      <c r="DR24" s="228">
        <v>-0.01</v>
      </c>
      <c r="DS24" s="229">
        <v>-1.47E-2</v>
      </c>
      <c r="DT24" s="231">
        <v>1000</v>
      </c>
      <c r="DU24" s="231">
        <v>1000</v>
      </c>
      <c r="DV24" s="228">
        <v>0.43</v>
      </c>
      <c r="DW24" s="228">
        <v>0.34</v>
      </c>
      <c r="DX24" s="228">
        <v>0.09</v>
      </c>
      <c r="DY24" s="229">
        <v>0.26469999999999999</v>
      </c>
      <c r="DZ24" s="229">
        <v>2.3199999999999998E-2</v>
      </c>
      <c r="EA24" s="230">
        <v>1896000</v>
      </c>
      <c r="EB24" s="229">
        <v>5.7999999999999996E-3</v>
      </c>
      <c r="EC24" s="229">
        <v>2.3199999999999998E-2</v>
      </c>
      <c r="ED24" s="228">
        <v>5.7</v>
      </c>
      <c r="EE24" s="229">
        <v>5.8999999999999999E-3</v>
      </c>
      <c r="EF24" s="230">
        <v>5235774</v>
      </c>
      <c r="EG24" s="230">
        <v>6096024</v>
      </c>
      <c r="EH24" s="229">
        <v>-0.1411</v>
      </c>
      <c r="EI24" s="229">
        <v>0.72199999999999998</v>
      </c>
      <c r="EJ24" s="231">
        <v>204228.48000000001</v>
      </c>
      <c r="EK24" s="231">
        <v>81433.36</v>
      </c>
      <c r="EL24" s="231">
        <v>56207.68</v>
      </c>
      <c r="EM24" s="231">
        <v>12988</v>
      </c>
      <c r="EN24" s="231">
        <v>341869.52</v>
      </c>
      <c r="EO24" s="231">
        <v>340516.97</v>
      </c>
      <c r="EP24" s="231">
        <v>1352.55</v>
      </c>
      <c r="EQ24" s="229">
        <v>4.0000000000000001E-3</v>
      </c>
      <c r="ER24" s="231">
        <v>304660</v>
      </c>
      <c r="ES24" s="231">
        <v>195056</v>
      </c>
      <c r="ET24" s="231">
        <v>958177</v>
      </c>
      <c r="EU24" s="231">
        <v>317526833</v>
      </c>
      <c r="EV24" s="231">
        <v>1457893</v>
      </c>
      <c r="EW24" s="231">
        <v>1429112</v>
      </c>
      <c r="EX24" s="231">
        <v>28781</v>
      </c>
      <c r="EY24" s="229">
        <v>2.01E-2</v>
      </c>
      <c r="EZ24" s="229">
        <v>0.46600000000000003</v>
      </c>
      <c r="FA24" s="227" t="s">
        <v>567</v>
      </c>
      <c r="FB24" s="161">
        <f t="shared" si="0"/>
        <v>2280750</v>
      </c>
    </row>
    <row r="25" spans="1:158" ht="17.25" hidden="1" thickBot="1" x14ac:dyDescent="0.3">
      <c r="A25" s="226">
        <v>46029</v>
      </c>
      <c r="B25" s="227" t="s">
        <v>172</v>
      </c>
      <c r="C25" s="227" t="s">
        <v>179</v>
      </c>
      <c r="D25" s="228">
        <v>3600</v>
      </c>
      <c r="E25" s="228">
        <v>148.37</v>
      </c>
      <c r="F25" s="228">
        <v>148.37</v>
      </c>
      <c r="G25" s="228">
        <v>0</v>
      </c>
      <c r="H25" s="229">
        <v>0</v>
      </c>
      <c r="I25" s="228">
        <v>147.63999999999999</v>
      </c>
      <c r="J25" s="228">
        <v>147.66999999999999</v>
      </c>
      <c r="K25" s="228">
        <v>-0.03</v>
      </c>
      <c r="L25" s="229">
        <v>-2.0000000000000001E-4</v>
      </c>
      <c r="M25" s="228">
        <v>148.37</v>
      </c>
      <c r="N25" s="228">
        <v>148.37</v>
      </c>
      <c r="O25" s="228">
        <v>0</v>
      </c>
      <c r="P25" s="229">
        <v>0</v>
      </c>
      <c r="Q25" s="228">
        <v>149.25</v>
      </c>
      <c r="R25" s="228">
        <v>149.22</v>
      </c>
      <c r="S25" s="228">
        <v>0.03</v>
      </c>
      <c r="T25" s="229">
        <v>2.0000000000000001E-4</v>
      </c>
      <c r="U25" s="228">
        <v>150.29</v>
      </c>
      <c r="V25" s="228">
        <v>150.32</v>
      </c>
      <c r="W25" s="228">
        <v>-0.03</v>
      </c>
      <c r="X25" s="229">
        <v>-2.0000000000000001E-4</v>
      </c>
      <c r="Y25" s="228">
        <v>0.73</v>
      </c>
      <c r="Z25" s="228">
        <v>0.7</v>
      </c>
      <c r="AA25" s="228">
        <v>0.03</v>
      </c>
      <c r="AB25" s="229">
        <v>4.8999999999999998E-3</v>
      </c>
      <c r="AC25" s="228">
        <v>0.73</v>
      </c>
      <c r="AD25" s="228">
        <v>0.7</v>
      </c>
      <c r="AE25" s="228">
        <v>0.03</v>
      </c>
      <c r="AF25" s="229">
        <v>4.8999999999999998E-3</v>
      </c>
      <c r="AG25" s="228">
        <v>1.61</v>
      </c>
      <c r="AH25" s="228">
        <v>1.55</v>
      </c>
      <c r="AI25" s="228">
        <v>0.06</v>
      </c>
      <c r="AJ25" s="229">
        <v>1.09E-2</v>
      </c>
      <c r="AK25" s="228">
        <v>2.65</v>
      </c>
      <c r="AL25" s="228">
        <v>2.65</v>
      </c>
      <c r="AM25" s="228">
        <v>0</v>
      </c>
      <c r="AN25" s="229">
        <v>1.7899999999999999E-2</v>
      </c>
      <c r="AO25" s="228">
        <v>148.01</v>
      </c>
      <c r="AP25" s="228">
        <v>148.81</v>
      </c>
      <c r="AQ25" s="228">
        <v>0</v>
      </c>
      <c r="AR25" s="230">
        <v>9529200</v>
      </c>
      <c r="AS25" s="230">
        <v>12873600</v>
      </c>
      <c r="AT25" s="230">
        <v>-3344400</v>
      </c>
      <c r="AU25" s="229">
        <v>-0.25979999999999998</v>
      </c>
      <c r="AV25" s="230">
        <v>8722800</v>
      </c>
      <c r="AW25" s="230">
        <v>12078000</v>
      </c>
      <c r="AX25" s="230">
        <v>-3355200</v>
      </c>
      <c r="AY25" s="229">
        <v>-0.27779999999999999</v>
      </c>
      <c r="AZ25" s="230">
        <v>691200</v>
      </c>
      <c r="BA25" s="230">
        <v>669600</v>
      </c>
      <c r="BB25" s="230">
        <v>21600</v>
      </c>
      <c r="BC25" s="229">
        <v>3.2300000000000002E-2</v>
      </c>
      <c r="BD25" s="230">
        <v>115200</v>
      </c>
      <c r="BE25" s="230">
        <v>126000</v>
      </c>
      <c r="BF25" s="230">
        <v>-10800</v>
      </c>
      <c r="BG25" s="229">
        <v>-8.5699999999999998E-2</v>
      </c>
      <c r="BH25" s="230">
        <v>16491600</v>
      </c>
      <c r="BI25" s="230">
        <v>26370000</v>
      </c>
      <c r="BJ25" s="230">
        <v>-9878400</v>
      </c>
      <c r="BK25" s="229">
        <v>-0.37459999999999999</v>
      </c>
      <c r="BL25" s="230">
        <v>6588000</v>
      </c>
      <c r="BM25" s="230">
        <v>8330400</v>
      </c>
      <c r="BN25" s="230">
        <v>-1742400</v>
      </c>
      <c r="BO25" s="229">
        <v>-0.2092</v>
      </c>
      <c r="BP25" s="230">
        <v>32608800</v>
      </c>
      <c r="BQ25" s="230">
        <v>47574000</v>
      </c>
      <c r="BR25" s="230">
        <v>-14965200</v>
      </c>
      <c r="BS25" s="229">
        <v>-0.31459999999999999</v>
      </c>
      <c r="BT25" s="230">
        <v>4631666</v>
      </c>
      <c r="BU25" s="230">
        <v>4278712</v>
      </c>
      <c r="BV25" s="230">
        <v>352954</v>
      </c>
      <c r="BW25" s="229">
        <v>8.2500000000000004E-2</v>
      </c>
      <c r="BX25" s="230">
        <v>131626800</v>
      </c>
      <c r="BY25" s="230">
        <v>130125600</v>
      </c>
      <c r="BZ25" s="230">
        <v>1501200</v>
      </c>
      <c r="CA25" s="229">
        <v>1.15E-2</v>
      </c>
      <c r="CB25" s="230">
        <v>124365600</v>
      </c>
      <c r="CC25" s="230">
        <v>123163200</v>
      </c>
      <c r="CD25" s="230">
        <v>1202400</v>
      </c>
      <c r="CE25" s="229">
        <v>9.7999999999999997E-3</v>
      </c>
      <c r="CF25" s="230">
        <v>6814800</v>
      </c>
      <c r="CG25" s="230">
        <v>6548400</v>
      </c>
      <c r="CH25" s="230">
        <v>266400</v>
      </c>
      <c r="CI25" s="229">
        <v>4.07E-2</v>
      </c>
      <c r="CJ25" s="230">
        <v>446400</v>
      </c>
      <c r="CK25" s="230">
        <v>414000</v>
      </c>
      <c r="CL25" s="230">
        <v>32400</v>
      </c>
      <c r="CM25" s="229">
        <v>7.8299999999999995E-2</v>
      </c>
      <c r="CN25" s="230">
        <v>33829200</v>
      </c>
      <c r="CO25" s="230">
        <v>33267600</v>
      </c>
      <c r="CP25" s="230">
        <v>561600</v>
      </c>
      <c r="CQ25" s="229">
        <v>1.6899999999999998E-2</v>
      </c>
      <c r="CR25" s="230">
        <v>31219200</v>
      </c>
      <c r="CS25" s="230">
        <v>29937600</v>
      </c>
      <c r="CT25" s="230">
        <v>1281600</v>
      </c>
      <c r="CU25" s="229">
        <v>4.2799999999999998E-2</v>
      </c>
      <c r="CV25" s="230">
        <v>196675200</v>
      </c>
      <c r="CW25" s="230">
        <v>193330800</v>
      </c>
      <c r="CX25" s="230">
        <v>3344400</v>
      </c>
      <c r="CY25" s="229">
        <v>1.7299999999999999E-2</v>
      </c>
      <c r="CZ25" s="228">
        <v>32.4</v>
      </c>
      <c r="DA25" s="228">
        <v>31.64</v>
      </c>
      <c r="DB25" s="228">
        <v>0.76</v>
      </c>
      <c r="DC25" s="228">
        <v>0.76</v>
      </c>
      <c r="DD25" s="228">
        <v>41.18</v>
      </c>
      <c r="DE25" s="228">
        <v>41.28</v>
      </c>
      <c r="DF25" s="228">
        <v>-8.7799999999999994</v>
      </c>
      <c r="DG25" s="228">
        <v>-0.1</v>
      </c>
      <c r="DH25" s="228">
        <v>32.4</v>
      </c>
      <c r="DI25" s="228">
        <v>31.6</v>
      </c>
      <c r="DJ25" s="228">
        <v>0.8</v>
      </c>
      <c r="DK25" s="228">
        <v>0.8</v>
      </c>
      <c r="DL25" s="228">
        <v>32.39</v>
      </c>
      <c r="DM25" s="228">
        <v>31.75</v>
      </c>
      <c r="DN25" s="228">
        <v>0.64</v>
      </c>
      <c r="DO25" s="228">
        <v>0.64</v>
      </c>
      <c r="DP25" s="228">
        <v>0.92</v>
      </c>
      <c r="DQ25" s="228">
        <v>0.9</v>
      </c>
      <c r="DR25" s="228">
        <v>0.02</v>
      </c>
      <c r="DS25" s="229">
        <v>2.2200000000000001E-2</v>
      </c>
      <c r="DT25" s="228">
        <v>150</v>
      </c>
      <c r="DU25" s="228">
        <v>150</v>
      </c>
      <c r="DV25" s="228">
        <v>0.4</v>
      </c>
      <c r="DW25" s="228">
        <v>0.32</v>
      </c>
      <c r="DX25" s="228">
        <v>0.08</v>
      </c>
      <c r="DY25" s="229">
        <v>0.25</v>
      </c>
      <c r="DZ25" s="229">
        <v>5.5199999999999999E-2</v>
      </c>
      <c r="EA25" s="230">
        <v>6962400</v>
      </c>
      <c r="EB25" s="229">
        <v>5.8999999999999999E-3</v>
      </c>
      <c r="EC25" s="229">
        <v>5.5199999999999999E-2</v>
      </c>
      <c r="ED25" s="228">
        <v>0.8</v>
      </c>
      <c r="EE25" s="229">
        <v>5.4000000000000003E-3</v>
      </c>
      <c r="EF25" s="230">
        <v>1881526</v>
      </c>
      <c r="EG25" s="230">
        <v>1236992</v>
      </c>
      <c r="EH25" s="229">
        <v>0.52100000000000002</v>
      </c>
      <c r="EI25" s="229">
        <v>0.40620000000000001</v>
      </c>
      <c r="EJ25" s="231">
        <v>25727.69</v>
      </c>
      <c r="EK25" s="231">
        <v>9600.35</v>
      </c>
      <c r="EL25" s="231">
        <v>14111.78</v>
      </c>
      <c r="EM25" s="231">
        <v>4545</v>
      </c>
      <c r="EN25" s="231">
        <v>49439.82</v>
      </c>
      <c r="EO25" s="231">
        <v>72547.31</v>
      </c>
      <c r="EP25" s="231">
        <v>-23107.49</v>
      </c>
      <c r="EQ25" s="229">
        <v>-0.31850000000000001</v>
      </c>
      <c r="ER25" s="231">
        <v>52130</v>
      </c>
      <c r="ES25" s="231">
        <v>45983</v>
      </c>
      <c r="ET25" s="231">
        <v>195363</v>
      </c>
      <c r="EU25" s="231">
        <v>144289555</v>
      </c>
      <c r="EV25" s="231">
        <v>293476</v>
      </c>
      <c r="EW25" s="231">
        <v>288553</v>
      </c>
      <c r="EX25" s="231">
        <v>4923</v>
      </c>
      <c r="EY25" s="229">
        <v>1.7100000000000001E-2</v>
      </c>
      <c r="EZ25" s="229">
        <v>1.3631</v>
      </c>
      <c r="FA25" s="227" t="s">
        <v>237</v>
      </c>
      <c r="FB25" s="161">
        <f t="shared" si="0"/>
        <v>7261200</v>
      </c>
    </row>
    <row r="26" spans="1:158" ht="17.25" hidden="1" thickBot="1" x14ac:dyDescent="0.3">
      <c r="A26" s="226">
        <v>46029</v>
      </c>
      <c r="B26" s="227" t="s">
        <v>172</v>
      </c>
      <c r="C26" s="227" t="s">
        <v>180</v>
      </c>
      <c r="D26" s="228">
        <v>2925</v>
      </c>
      <c r="E26" s="228">
        <v>308.85000000000002</v>
      </c>
      <c r="F26" s="228">
        <v>306.2</v>
      </c>
      <c r="G26" s="228">
        <v>2.65</v>
      </c>
      <c r="H26" s="229">
        <v>8.6999999999999994E-3</v>
      </c>
      <c r="I26" s="228">
        <v>308.25</v>
      </c>
      <c r="J26" s="228">
        <v>305.05</v>
      </c>
      <c r="K26" s="228">
        <v>3.2</v>
      </c>
      <c r="L26" s="229">
        <v>1.0500000000000001E-2</v>
      </c>
      <c r="M26" s="228">
        <v>308.85000000000002</v>
      </c>
      <c r="N26" s="228">
        <v>306.2</v>
      </c>
      <c r="O26" s="228">
        <v>2.65</v>
      </c>
      <c r="P26" s="229">
        <v>8.6999999999999994E-3</v>
      </c>
      <c r="Q26" s="228">
        <v>310.60000000000002</v>
      </c>
      <c r="R26" s="228">
        <v>308</v>
      </c>
      <c r="S26" s="228">
        <v>2.6</v>
      </c>
      <c r="T26" s="229">
        <v>8.3999999999999995E-3</v>
      </c>
      <c r="U26" s="228">
        <v>312.60000000000002</v>
      </c>
      <c r="V26" s="228">
        <v>309.75</v>
      </c>
      <c r="W26" s="228">
        <v>2.85</v>
      </c>
      <c r="X26" s="229">
        <v>9.1999999999999998E-3</v>
      </c>
      <c r="Y26" s="228">
        <v>0.6</v>
      </c>
      <c r="Z26" s="228">
        <v>1.1499999999999999</v>
      </c>
      <c r="AA26" s="228">
        <v>-0.55000000000000004</v>
      </c>
      <c r="AB26" s="229">
        <v>1.9E-3</v>
      </c>
      <c r="AC26" s="228">
        <v>0.6</v>
      </c>
      <c r="AD26" s="228">
        <v>1.1499999999999999</v>
      </c>
      <c r="AE26" s="228">
        <v>-0.55000000000000004</v>
      </c>
      <c r="AF26" s="229">
        <v>1.9E-3</v>
      </c>
      <c r="AG26" s="228">
        <v>2.35</v>
      </c>
      <c r="AH26" s="228">
        <v>2.95</v>
      </c>
      <c r="AI26" s="228">
        <v>-0.6</v>
      </c>
      <c r="AJ26" s="229">
        <v>7.6E-3</v>
      </c>
      <c r="AK26" s="228">
        <v>4.3499999999999996</v>
      </c>
      <c r="AL26" s="228">
        <v>4.7</v>
      </c>
      <c r="AM26" s="228">
        <v>-0.35</v>
      </c>
      <c r="AN26" s="229">
        <v>1.41E-2</v>
      </c>
      <c r="AO26" s="228">
        <v>308.43</v>
      </c>
      <c r="AP26" s="228">
        <v>310.12</v>
      </c>
      <c r="AQ26" s="228">
        <v>0</v>
      </c>
      <c r="AR26" s="230">
        <v>15882750</v>
      </c>
      <c r="AS26" s="230">
        <v>22469850</v>
      </c>
      <c r="AT26" s="230">
        <v>-6587100</v>
      </c>
      <c r="AU26" s="229">
        <v>-0.29320000000000002</v>
      </c>
      <c r="AV26" s="230">
        <v>14891175</v>
      </c>
      <c r="AW26" s="230">
        <v>21402225</v>
      </c>
      <c r="AX26" s="230">
        <v>-6511050</v>
      </c>
      <c r="AY26" s="229">
        <v>-0.30420000000000003</v>
      </c>
      <c r="AZ26" s="230">
        <v>836550</v>
      </c>
      <c r="BA26" s="230">
        <v>892125</v>
      </c>
      <c r="BB26" s="230">
        <v>-55575</v>
      </c>
      <c r="BC26" s="229">
        <v>-6.2300000000000001E-2</v>
      </c>
      <c r="BD26" s="230">
        <v>155025</v>
      </c>
      <c r="BE26" s="230">
        <v>175500</v>
      </c>
      <c r="BF26" s="230">
        <v>-20475</v>
      </c>
      <c r="BG26" s="229">
        <v>-0.1167</v>
      </c>
      <c r="BH26" s="230">
        <v>101711025</v>
      </c>
      <c r="BI26" s="230">
        <v>63370125</v>
      </c>
      <c r="BJ26" s="230">
        <v>38340900</v>
      </c>
      <c r="BK26" s="229">
        <v>0.60499999999999998</v>
      </c>
      <c r="BL26" s="230">
        <v>27688050</v>
      </c>
      <c r="BM26" s="230">
        <v>33339150</v>
      </c>
      <c r="BN26" s="230">
        <v>-5651100</v>
      </c>
      <c r="BO26" s="229">
        <v>-0.16950000000000001</v>
      </c>
      <c r="BP26" s="230">
        <v>145281825</v>
      </c>
      <c r="BQ26" s="230">
        <v>119179125</v>
      </c>
      <c r="BR26" s="230">
        <v>26102700</v>
      </c>
      <c r="BS26" s="229">
        <v>0.219</v>
      </c>
      <c r="BT26" s="230">
        <v>7773983</v>
      </c>
      <c r="BU26" s="230">
        <v>9515404</v>
      </c>
      <c r="BV26" s="230">
        <v>-1741421</v>
      </c>
      <c r="BW26" s="229">
        <v>-0.183</v>
      </c>
      <c r="BX26" s="230">
        <v>81265275</v>
      </c>
      <c r="BY26" s="230">
        <v>83333250</v>
      </c>
      <c r="BZ26" s="230">
        <v>-2067975</v>
      </c>
      <c r="CA26" s="229">
        <v>-2.4799999999999999E-2</v>
      </c>
      <c r="CB26" s="230">
        <v>79048125</v>
      </c>
      <c r="CC26" s="230">
        <v>81168750</v>
      </c>
      <c r="CD26" s="230">
        <v>-2120625</v>
      </c>
      <c r="CE26" s="229">
        <v>-2.6100000000000002E-2</v>
      </c>
      <c r="CF26" s="230">
        <v>1854450</v>
      </c>
      <c r="CG26" s="230">
        <v>1781325</v>
      </c>
      <c r="CH26" s="230">
        <v>73125</v>
      </c>
      <c r="CI26" s="229">
        <v>4.1099999999999998E-2</v>
      </c>
      <c r="CJ26" s="230">
        <v>362700</v>
      </c>
      <c r="CK26" s="230">
        <v>383175</v>
      </c>
      <c r="CL26" s="230">
        <v>-20475</v>
      </c>
      <c r="CM26" s="229">
        <v>-5.3400000000000003E-2</v>
      </c>
      <c r="CN26" s="230">
        <v>50862825</v>
      </c>
      <c r="CO26" s="230">
        <v>37498500</v>
      </c>
      <c r="CP26" s="230">
        <v>13364325</v>
      </c>
      <c r="CQ26" s="229">
        <v>0.35639999999999999</v>
      </c>
      <c r="CR26" s="230">
        <v>31990725</v>
      </c>
      <c r="CS26" s="230">
        <v>30066075</v>
      </c>
      <c r="CT26" s="230">
        <v>1924650</v>
      </c>
      <c r="CU26" s="229">
        <v>6.4000000000000001E-2</v>
      </c>
      <c r="CV26" s="230">
        <v>164118825</v>
      </c>
      <c r="CW26" s="230">
        <v>150897825</v>
      </c>
      <c r="CX26" s="230">
        <v>13221000</v>
      </c>
      <c r="CY26" s="229">
        <v>8.7599999999999997E-2</v>
      </c>
      <c r="CZ26" s="228">
        <v>25.79</v>
      </c>
      <c r="DA26" s="228">
        <v>23.97</v>
      </c>
      <c r="DB26" s="228">
        <v>1.82</v>
      </c>
      <c r="DC26" s="228">
        <v>1.82</v>
      </c>
      <c r="DD26" s="228">
        <v>33.22</v>
      </c>
      <c r="DE26" s="228">
        <v>33.28</v>
      </c>
      <c r="DF26" s="228">
        <v>-7.43</v>
      </c>
      <c r="DG26" s="228">
        <v>-0.06</v>
      </c>
      <c r="DH26" s="228">
        <v>26.05</v>
      </c>
      <c r="DI26" s="228">
        <v>24.09</v>
      </c>
      <c r="DJ26" s="228">
        <v>1.96</v>
      </c>
      <c r="DK26" s="228">
        <v>1.96</v>
      </c>
      <c r="DL26" s="228">
        <v>24.84</v>
      </c>
      <c r="DM26" s="228">
        <v>23.76</v>
      </c>
      <c r="DN26" s="228">
        <v>1.08</v>
      </c>
      <c r="DO26" s="228">
        <v>1.08</v>
      </c>
      <c r="DP26" s="228">
        <v>0.63</v>
      </c>
      <c r="DQ26" s="228">
        <v>0.8</v>
      </c>
      <c r="DR26" s="228">
        <v>-0.17</v>
      </c>
      <c r="DS26" s="229">
        <v>-0.21249999999999999</v>
      </c>
      <c r="DT26" s="228">
        <v>320</v>
      </c>
      <c r="DU26" s="228">
        <v>300</v>
      </c>
      <c r="DV26" s="228">
        <v>0.27</v>
      </c>
      <c r="DW26" s="228">
        <v>0.53</v>
      </c>
      <c r="DX26" s="228">
        <v>-0.26</v>
      </c>
      <c r="DY26" s="229">
        <v>-0.49059999999999998</v>
      </c>
      <c r="DZ26" s="229">
        <v>2.7300000000000001E-2</v>
      </c>
      <c r="EA26" s="230">
        <v>2164500</v>
      </c>
      <c r="EB26" s="229">
        <v>5.7000000000000002E-3</v>
      </c>
      <c r="EC26" s="229">
        <v>2.7300000000000001E-2</v>
      </c>
      <c r="ED26" s="228">
        <v>1.69</v>
      </c>
      <c r="EE26" s="229">
        <v>5.4999999999999997E-3</v>
      </c>
      <c r="EF26" s="230">
        <v>4281851</v>
      </c>
      <c r="EG26" s="230">
        <v>4961483</v>
      </c>
      <c r="EH26" s="229">
        <v>-0.13700000000000001</v>
      </c>
      <c r="EI26" s="229">
        <v>0.55079999999999996</v>
      </c>
      <c r="EJ26" s="231">
        <v>327111.31</v>
      </c>
      <c r="EK26" s="231">
        <v>84505.63</v>
      </c>
      <c r="EL26" s="231">
        <v>49008.14</v>
      </c>
      <c r="EM26" s="231">
        <v>7953</v>
      </c>
      <c r="EN26" s="231">
        <v>460625.08</v>
      </c>
      <c r="EO26" s="231">
        <v>371840.24</v>
      </c>
      <c r="EP26" s="231">
        <v>88784.84</v>
      </c>
      <c r="EQ26" s="229">
        <v>0.23880000000000001</v>
      </c>
      <c r="ER26" s="231">
        <v>159072</v>
      </c>
      <c r="ES26" s="231">
        <v>93937</v>
      </c>
      <c r="ET26" s="231">
        <v>251034</v>
      </c>
      <c r="EU26" s="231">
        <v>279476623</v>
      </c>
      <c r="EV26" s="231">
        <v>504042</v>
      </c>
      <c r="EW26" s="231">
        <v>458923</v>
      </c>
      <c r="EX26" s="231">
        <v>45119</v>
      </c>
      <c r="EY26" s="229">
        <v>9.8299999999999998E-2</v>
      </c>
      <c r="EZ26" s="229">
        <v>0.58720000000000006</v>
      </c>
      <c r="FA26" s="227" t="s">
        <v>556</v>
      </c>
      <c r="FB26" s="161">
        <f t="shared" si="0"/>
        <v>2217150</v>
      </c>
    </row>
    <row r="27" spans="1:158" ht="17.25" hidden="1" thickBot="1" x14ac:dyDescent="0.3">
      <c r="A27" s="226">
        <v>46029</v>
      </c>
      <c r="B27" s="227" t="s">
        <v>172</v>
      </c>
      <c r="C27" s="227" t="s">
        <v>602</v>
      </c>
      <c r="D27" s="228">
        <v>5200</v>
      </c>
      <c r="E27" s="228">
        <v>152.04</v>
      </c>
      <c r="F27" s="228">
        <v>151.41999999999999</v>
      </c>
      <c r="G27" s="228">
        <v>0.62</v>
      </c>
      <c r="H27" s="229">
        <v>4.1000000000000003E-3</v>
      </c>
      <c r="I27" s="228">
        <v>151.49</v>
      </c>
      <c r="J27" s="228">
        <v>150.66</v>
      </c>
      <c r="K27" s="228">
        <v>0.83</v>
      </c>
      <c r="L27" s="229">
        <v>5.4999999999999997E-3</v>
      </c>
      <c r="M27" s="228">
        <v>152.04</v>
      </c>
      <c r="N27" s="228">
        <v>151.41999999999999</v>
      </c>
      <c r="O27" s="228">
        <v>0.62</v>
      </c>
      <c r="P27" s="229">
        <v>4.1000000000000003E-3</v>
      </c>
      <c r="Q27" s="228">
        <v>152.85</v>
      </c>
      <c r="R27" s="228">
        <v>152.36000000000001</v>
      </c>
      <c r="S27" s="228">
        <v>0.49</v>
      </c>
      <c r="T27" s="229">
        <v>3.2000000000000002E-3</v>
      </c>
      <c r="U27" s="228">
        <v>154.08000000000001</v>
      </c>
      <c r="V27" s="228">
        <v>153.12</v>
      </c>
      <c r="W27" s="228">
        <v>0.96</v>
      </c>
      <c r="X27" s="229">
        <v>6.3E-3</v>
      </c>
      <c r="Y27" s="228">
        <v>0.55000000000000004</v>
      </c>
      <c r="Z27" s="228">
        <v>0.76</v>
      </c>
      <c r="AA27" s="228">
        <v>-0.21</v>
      </c>
      <c r="AB27" s="229">
        <v>3.5999999999999999E-3</v>
      </c>
      <c r="AC27" s="228">
        <v>0.55000000000000004</v>
      </c>
      <c r="AD27" s="228">
        <v>0.76</v>
      </c>
      <c r="AE27" s="228">
        <v>-0.21</v>
      </c>
      <c r="AF27" s="229">
        <v>3.5999999999999999E-3</v>
      </c>
      <c r="AG27" s="228">
        <v>1.36</v>
      </c>
      <c r="AH27" s="228">
        <v>1.7</v>
      </c>
      <c r="AI27" s="228">
        <v>-0.34</v>
      </c>
      <c r="AJ27" s="229">
        <v>8.9999999999999993E-3</v>
      </c>
      <c r="AK27" s="228">
        <v>2.59</v>
      </c>
      <c r="AL27" s="228">
        <v>2.46</v>
      </c>
      <c r="AM27" s="228">
        <v>0.13</v>
      </c>
      <c r="AN27" s="229">
        <v>1.7100000000000001E-2</v>
      </c>
      <c r="AO27" s="228">
        <v>151.65</v>
      </c>
      <c r="AP27" s="228">
        <v>152.38999999999999</v>
      </c>
      <c r="AQ27" s="228">
        <v>0</v>
      </c>
      <c r="AR27" s="230">
        <v>11611600</v>
      </c>
      <c r="AS27" s="230">
        <v>15173600</v>
      </c>
      <c r="AT27" s="230">
        <v>-3562000</v>
      </c>
      <c r="AU27" s="229">
        <v>-0.23469999999999999</v>
      </c>
      <c r="AV27" s="230">
        <v>10649600</v>
      </c>
      <c r="AW27" s="230">
        <v>13816400</v>
      </c>
      <c r="AX27" s="230">
        <v>-3166800</v>
      </c>
      <c r="AY27" s="229">
        <v>-0.22919999999999999</v>
      </c>
      <c r="AZ27" s="230">
        <v>868400</v>
      </c>
      <c r="BA27" s="230">
        <v>1222000</v>
      </c>
      <c r="BB27" s="230">
        <v>-353600</v>
      </c>
      <c r="BC27" s="229">
        <v>-0.28939999999999999</v>
      </c>
      <c r="BD27" s="230">
        <v>93600</v>
      </c>
      <c r="BE27" s="230">
        <v>135200</v>
      </c>
      <c r="BF27" s="230">
        <v>-41600</v>
      </c>
      <c r="BG27" s="229">
        <v>-0.30769999999999997</v>
      </c>
      <c r="BH27" s="230">
        <v>10426000</v>
      </c>
      <c r="BI27" s="230">
        <v>29702400</v>
      </c>
      <c r="BJ27" s="230">
        <v>-19276400</v>
      </c>
      <c r="BK27" s="229">
        <v>-0.64900000000000002</v>
      </c>
      <c r="BL27" s="230">
        <v>4680000</v>
      </c>
      <c r="BM27" s="230">
        <v>9651200</v>
      </c>
      <c r="BN27" s="230">
        <v>-4971200</v>
      </c>
      <c r="BO27" s="229">
        <v>-0.5151</v>
      </c>
      <c r="BP27" s="230">
        <v>26717600</v>
      </c>
      <c r="BQ27" s="230">
        <v>54527200</v>
      </c>
      <c r="BR27" s="230">
        <v>-27809600</v>
      </c>
      <c r="BS27" s="229">
        <v>-0.51</v>
      </c>
      <c r="BT27" s="230">
        <v>5240575</v>
      </c>
      <c r="BU27" s="230">
        <v>12587021</v>
      </c>
      <c r="BV27" s="230">
        <v>-7346446</v>
      </c>
      <c r="BW27" s="229">
        <v>-0.5837</v>
      </c>
      <c r="BX27" s="230">
        <v>52369200</v>
      </c>
      <c r="BY27" s="230">
        <v>51662000</v>
      </c>
      <c r="BZ27" s="230">
        <v>707200</v>
      </c>
      <c r="CA27" s="229">
        <v>1.37E-2</v>
      </c>
      <c r="CB27" s="230">
        <v>50809200</v>
      </c>
      <c r="CC27" s="230">
        <v>50226800</v>
      </c>
      <c r="CD27" s="230">
        <v>582400</v>
      </c>
      <c r="CE27" s="229">
        <v>1.1599999999999999E-2</v>
      </c>
      <c r="CF27" s="230">
        <v>1336400</v>
      </c>
      <c r="CG27" s="230">
        <v>1258400</v>
      </c>
      <c r="CH27" s="230">
        <v>78000</v>
      </c>
      <c r="CI27" s="229">
        <v>6.2E-2</v>
      </c>
      <c r="CJ27" s="230">
        <v>223600</v>
      </c>
      <c r="CK27" s="230">
        <v>176800</v>
      </c>
      <c r="CL27" s="230">
        <v>46800</v>
      </c>
      <c r="CM27" s="229">
        <v>0.26469999999999999</v>
      </c>
      <c r="CN27" s="230">
        <v>18366400</v>
      </c>
      <c r="CO27" s="230">
        <v>17248400</v>
      </c>
      <c r="CP27" s="230">
        <v>1118000</v>
      </c>
      <c r="CQ27" s="229">
        <v>6.4799999999999996E-2</v>
      </c>
      <c r="CR27" s="230">
        <v>15537600</v>
      </c>
      <c r="CS27" s="230">
        <v>15111200</v>
      </c>
      <c r="CT27" s="230">
        <v>426400</v>
      </c>
      <c r="CU27" s="229">
        <v>2.8199999999999999E-2</v>
      </c>
      <c r="CV27" s="230">
        <v>86273200</v>
      </c>
      <c r="CW27" s="230">
        <v>84021600</v>
      </c>
      <c r="CX27" s="230">
        <v>2251600</v>
      </c>
      <c r="CY27" s="229">
        <v>2.6800000000000001E-2</v>
      </c>
      <c r="CZ27" s="228">
        <v>30.1</v>
      </c>
      <c r="DA27" s="228">
        <v>29.74</v>
      </c>
      <c r="DB27" s="228">
        <v>0.36</v>
      </c>
      <c r="DC27" s="228">
        <v>0.36</v>
      </c>
      <c r="DD27" s="228">
        <v>37.659999999999997</v>
      </c>
      <c r="DE27" s="228">
        <v>37.75</v>
      </c>
      <c r="DF27" s="228">
        <v>-7.56</v>
      </c>
      <c r="DG27" s="228">
        <v>-0.09</v>
      </c>
      <c r="DH27" s="228">
        <v>30.12</v>
      </c>
      <c r="DI27" s="228">
        <v>29.66</v>
      </c>
      <c r="DJ27" s="228">
        <v>0.46</v>
      </c>
      <c r="DK27" s="228">
        <v>0.46</v>
      </c>
      <c r="DL27" s="228">
        <v>30.06</v>
      </c>
      <c r="DM27" s="228">
        <v>29.99</v>
      </c>
      <c r="DN27" s="228">
        <v>7.0000000000000007E-2</v>
      </c>
      <c r="DO27" s="228">
        <v>7.0000000000000007E-2</v>
      </c>
      <c r="DP27" s="228">
        <v>0.85</v>
      </c>
      <c r="DQ27" s="228">
        <v>0.88</v>
      </c>
      <c r="DR27" s="228">
        <v>-0.03</v>
      </c>
      <c r="DS27" s="229">
        <v>-3.4099999999999998E-2</v>
      </c>
      <c r="DT27" s="228">
        <v>155</v>
      </c>
      <c r="DU27" s="228">
        <v>140</v>
      </c>
      <c r="DV27" s="228">
        <v>0.45</v>
      </c>
      <c r="DW27" s="228">
        <v>0.32</v>
      </c>
      <c r="DX27" s="228">
        <v>0.13</v>
      </c>
      <c r="DY27" s="229">
        <v>0.40629999999999999</v>
      </c>
      <c r="DZ27" s="229">
        <v>2.98E-2</v>
      </c>
      <c r="EA27" s="230">
        <v>1435200</v>
      </c>
      <c r="EB27" s="229">
        <v>5.3E-3</v>
      </c>
      <c r="EC27" s="229">
        <v>2.98E-2</v>
      </c>
      <c r="ED27" s="228">
        <v>0.74</v>
      </c>
      <c r="EE27" s="229">
        <v>4.8999999999999998E-3</v>
      </c>
      <c r="EF27" s="230">
        <v>2387266</v>
      </c>
      <c r="EG27" s="230">
        <v>4878720</v>
      </c>
      <c r="EH27" s="229">
        <v>-0.51070000000000004</v>
      </c>
      <c r="EI27" s="229">
        <v>0.45550000000000002</v>
      </c>
      <c r="EJ27" s="231">
        <v>16533.84</v>
      </c>
      <c r="EK27" s="231">
        <v>6949.81</v>
      </c>
      <c r="EL27" s="231">
        <v>17617.14</v>
      </c>
      <c r="EM27" s="231">
        <v>2969</v>
      </c>
      <c r="EN27" s="231">
        <v>41100.79</v>
      </c>
      <c r="EO27" s="231">
        <v>84369.02</v>
      </c>
      <c r="EP27" s="231">
        <v>-43268.23</v>
      </c>
      <c r="EQ27" s="229">
        <v>-0.51280000000000003</v>
      </c>
      <c r="ER27" s="231">
        <v>28158</v>
      </c>
      <c r="ES27" s="231">
        <v>21947</v>
      </c>
      <c r="ET27" s="231">
        <v>79638</v>
      </c>
      <c r="EU27" s="231">
        <v>181770921</v>
      </c>
      <c r="EV27" s="231">
        <v>129743</v>
      </c>
      <c r="EW27" s="231">
        <v>125928</v>
      </c>
      <c r="EX27" s="231">
        <v>3815</v>
      </c>
      <c r="EY27" s="229">
        <v>3.0300000000000001E-2</v>
      </c>
      <c r="EZ27" s="229">
        <v>0.47460000000000002</v>
      </c>
      <c r="FA27" s="227" t="s">
        <v>555</v>
      </c>
      <c r="FB27" s="161">
        <f t="shared" si="0"/>
        <v>1560000</v>
      </c>
    </row>
    <row r="28" spans="1:158" ht="17.25" hidden="1" thickBot="1" x14ac:dyDescent="0.3">
      <c r="A28" s="226">
        <v>46029</v>
      </c>
      <c r="B28" s="227" t="s">
        <v>181</v>
      </c>
      <c r="C28" s="227" t="s">
        <v>182</v>
      </c>
      <c r="D28" s="228">
        <v>30</v>
      </c>
      <c r="E28" s="231">
        <v>60171.199999999997</v>
      </c>
      <c r="F28" s="231">
        <v>60312.800000000003</v>
      </c>
      <c r="G28" s="228">
        <v>-141.6</v>
      </c>
      <c r="H28" s="229">
        <v>-2.3E-3</v>
      </c>
      <c r="I28" s="231">
        <v>59990.85</v>
      </c>
      <c r="J28" s="231">
        <v>60118.400000000001</v>
      </c>
      <c r="K28" s="228">
        <v>-127.55</v>
      </c>
      <c r="L28" s="229">
        <v>-2.0999999999999999E-3</v>
      </c>
      <c r="M28" s="231">
        <v>60171.199999999997</v>
      </c>
      <c r="N28" s="231">
        <v>60312.800000000003</v>
      </c>
      <c r="O28" s="228">
        <v>-141.6</v>
      </c>
      <c r="P28" s="229">
        <v>-2.3E-3</v>
      </c>
      <c r="Q28" s="231">
        <v>60514.6</v>
      </c>
      <c r="R28" s="231">
        <v>60636.6</v>
      </c>
      <c r="S28" s="228">
        <v>-122</v>
      </c>
      <c r="T28" s="229">
        <v>-2E-3</v>
      </c>
      <c r="U28" s="231">
        <v>60901</v>
      </c>
      <c r="V28" s="231">
        <v>61024.800000000003</v>
      </c>
      <c r="W28" s="228">
        <v>-123.8</v>
      </c>
      <c r="X28" s="229">
        <v>-2E-3</v>
      </c>
      <c r="Y28" s="228">
        <v>180.35</v>
      </c>
      <c r="Z28" s="228">
        <v>194.4</v>
      </c>
      <c r="AA28" s="228">
        <v>-14.05</v>
      </c>
      <c r="AB28" s="229">
        <v>3.0000000000000001E-3</v>
      </c>
      <c r="AC28" s="228">
        <v>180.35</v>
      </c>
      <c r="AD28" s="228">
        <v>194.4</v>
      </c>
      <c r="AE28" s="228">
        <v>-14.05</v>
      </c>
      <c r="AF28" s="229">
        <v>3.0000000000000001E-3</v>
      </c>
      <c r="AG28" s="228">
        <v>523.75</v>
      </c>
      <c r="AH28" s="228">
        <v>518.20000000000005</v>
      </c>
      <c r="AI28" s="228">
        <v>5.55</v>
      </c>
      <c r="AJ28" s="229">
        <v>8.6999999999999994E-3</v>
      </c>
      <c r="AK28" s="228">
        <v>910.15</v>
      </c>
      <c r="AL28" s="228">
        <v>906.4</v>
      </c>
      <c r="AM28" s="228">
        <v>3.75</v>
      </c>
      <c r="AN28" s="229">
        <v>1.52E-2</v>
      </c>
      <c r="AO28" s="231">
        <v>60120.94</v>
      </c>
      <c r="AP28" s="231">
        <v>60465.58</v>
      </c>
      <c r="AQ28" s="228">
        <v>0</v>
      </c>
      <c r="AR28" s="230">
        <v>759000</v>
      </c>
      <c r="AS28" s="230">
        <v>570600</v>
      </c>
      <c r="AT28" s="230">
        <v>188400</v>
      </c>
      <c r="AU28" s="229">
        <v>0.33019999999999999</v>
      </c>
      <c r="AV28" s="230">
        <v>705090</v>
      </c>
      <c r="AW28" s="230">
        <v>527790</v>
      </c>
      <c r="AX28" s="230">
        <v>177300</v>
      </c>
      <c r="AY28" s="229">
        <v>0.33589999999999998</v>
      </c>
      <c r="AZ28" s="230">
        <v>41520</v>
      </c>
      <c r="BA28" s="230">
        <v>34950</v>
      </c>
      <c r="BB28" s="230">
        <v>6570</v>
      </c>
      <c r="BC28" s="229">
        <v>0.188</v>
      </c>
      <c r="BD28" s="230">
        <v>12390</v>
      </c>
      <c r="BE28" s="230">
        <v>7860</v>
      </c>
      <c r="BF28" s="230">
        <v>4530</v>
      </c>
      <c r="BG28" s="229">
        <v>0.57630000000000003</v>
      </c>
      <c r="BH28" s="230">
        <v>29265960</v>
      </c>
      <c r="BI28" s="230">
        <v>28656180</v>
      </c>
      <c r="BJ28" s="230">
        <v>609780</v>
      </c>
      <c r="BK28" s="229">
        <v>2.1299999999999999E-2</v>
      </c>
      <c r="BL28" s="230">
        <v>29983830</v>
      </c>
      <c r="BM28" s="230">
        <v>28110810</v>
      </c>
      <c r="BN28" s="230">
        <v>1873020</v>
      </c>
      <c r="BO28" s="229">
        <v>6.6600000000000006E-2</v>
      </c>
      <c r="BP28" s="230">
        <v>60008790</v>
      </c>
      <c r="BQ28" s="230">
        <v>57337590</v>
      </c>
      <c r="BR28" s="230">
        <v>2671200</v>
      </c>
      <c r="BS28" s="229">
        <v>4.6600000000000003E-2</v>
      </c>
      <c r="BT28" s="228">
        <v>0</v>
      </c>
      <c r="BU28" s="228">
        <v>0</v>
      </c>
      <c r="BV28" s="228">
        <v>0</v>
      </c>
      <c r="BW28" s="229">
        <v>0</v>
      </c>
      <c r="BX28" s="230">
        <v>1406130</v>
      </c>
      <c r="BY28" s="230">
        <v>1567200</v>
      </c>
      <c r="BZ28" s="230">
        <v>-161070</v>
      </c>
      <c r="CA28" s="229">
        <v>-0.1028</v>
      </c>
      <c r="CB28" s="230">
        <v>1278960</v>
      </c>
      <c r="CC28" s="230">
        <v>1436940</v>
      </c>
      <c r="CD28" s="230">
        <v>-157980</v>
      </c>
      <c r="CE28" s="229">
        <v>-0.1099</v>
      </c>
      <c r="CF28" s="230">
        <v>103950</v>
      </c>
      <c r="CG28" s="230">
        <v>108210</v>
      </c>
      <c r="CH28" s="230">
        <v>-4260</v>
      </c>
      <c r="CI28" s="229">
        <v>-3.9399999999999998E-2</v>
      </c>
      <c r="CJ28" s="230">
        <v>23220</v>
      </c>
      <c r="CK28" s="230">
        <v>22050</v>
      </c>
      <c r="CL28" s="230">
        <v>1170</v>
      </c>
      <c r="CM28" s="229">
        <v>5.3100000000000001E-2</v>
      </c>
      <c r="CN28" s="230">
        <v>12968860</v>
      </c>
      <c r="CO28" s="230">
        <v>12428905</v>
      </c>
      <c r="CP28" s="230">
        <v>539955</v>
      </c>
      <c r="CQ28" s="229">
        <v>4.3400000000000001E-2</v>
      </c>
      <c r="CR28" s="230">
        <v>14193310</v>
      </c>
      <c r="CS28" s="230">
        <v>14297275</v>
      </c>
      <c r="CT28" s="230">
        <v>-103965</v>
      </c>
      <c r="CU28" s="229">
        <v>-7.3000000000000001E-3</v>
      </c>
      <c r="CV28" s="230">
        <v>28568300</v>
      </c>
      <c r="CW28" s="230">
        <v>28293380</v>
      </c>
      <c r="CX28" s="230">
        <v>274920</v>
      </c>
      <c r="CY28" s="229">
        <v>9.7000000000000003E-3</v>
      </c>
      <c r="CZ28" s="228">
        <v>10.18</v>
      </c>
      <c r="DA28" s="228">
        <v>10.55</v>
      </c>
      <c r="DB28" s="228">
        <v>-0.37</v>
      </c>
      <c r="DC28" s="228">
        <v>-0.37</v>
      </c>
      <c r="DD28" s="228">
        <v>15.56</v>
      </c>
      <c r="DE28" s="228">
        <v>15.6</v>
      </c>
      <c r="DF28" s="228">
        <v>-5.38</v>
      </c>
      <c r="DG28" s="228">
        <v>-0.04</v>
      </c>
      <c r="DH28" s="228">
        <v>9.8699999999999992</v>
      </c>
      <c r="DI28" s="228">
        <v>10.16</v>
      </c>
      <c r="DJ28" s="228">
        <v>-0.28999999999999998</v>
      </c>
      <c r="DK28" s="228">
        <v>-0.28999999999999998</v>
      </c>
      <c r="DL28" s="228">
        <v>10.48</v>
      </c>
      <c r="DM28" s="228">
        <v>10.96</v>
      </c>
      <c r="DN28" s="228">
        <v>-0.48</v>
      </c>
      <c r="DO28" s="228">
        <v>-0.48</v>
      </c>
      <c r="DP28" s="228">
        <v>1.0900000000000001</v>
      </c>
      <c r="DQ28" s="228">
        <v>1.1499999999999999</v>
      </c>
      <c r="DR28" s="228">
        <v>-0.06</v>
      </c>
      <c r="DS28" s="229">
        <v>-5.2200000000000003E-2</v>
      </c>
      <c r="DT28" s="231">
        <v>59500</v>
      </c>
      <c r="DU28" s="231">
        <v>59500</v>
      </c>
      <c r="DV28" s="228">
        <v>1.02</v>
      </c>
      <c r="DW28" s="228">
        <v>0.98</v>
      </c>
      <c r="DX28" s="228">
        <v>0.04</v>
      </c>
      <c r="DY28" s="229">
        <v>4.0800000000000003E-2</v>
      </c>
      <c r="DZ28" s="229">
        <v>9.0399999999999994E-2</v>
      </c>
      <c r="EA28" s="230">
        <v>130260</v>
      </c>
      <c r="EB28" s="229">
        <v>5.7000000000000002E-3</v>
      </c>
      <c r="EC28" s="229">
        <v>9.0399999999999994E-2</v>
      </c>
      <c r="ED28" s="228">
        <v>344.64</v>
      </c>
      <c r="EE28" s="229">
        <v>5.7000000000000002E-3</v>
      </c>
      <c r="EF28" s="228">
        <v>0</v>
      </c>
      <c r="EG28" s="228">
        <v>0</v>
      </c>
      <c r="EH28" s="229">
        <v>0</v>
      </c>
      <c r="EI28" s="229">
        <v>0</v>
      </c>
      <c r="EJ28" s="231">
        <v>17929986.460000001</v>
      </c>
      <c r="EK28" s="231">
        <v>17876311.890000001</v>
      </c>
      <c r="EL28" s="231">
        <v>456550.08</v>
      </c>
      <c r="EM28" s="228">
        <v>0</v>
      </c>
      <c r="EN28" s="231">
        <v>36262848.43</v>
      </c>
      <c r="EO28" s="231">
        <v>34764431.659999996</v>
      </c>
      <c r="EP28" s="231">
        <v>1498416.77</v>
      </c>
      <c r="EQ28" s="229">
        <v>4.3099999999999999E-2</v>
      </c>
      <c r="ER28" s="231">
        <v>7904719</v>
      </c>
      <c r="ES28" s="231">
        <v>8297455</v>
      </c>
      <c r="ET28" s="231">
        <v>846612</v>
      </c>
      <c r="EU28" s="228">
        <v>0</v>
      </c>
      <c r="EV28" s="231">
        <v>17048785</v>
      </c>
      <c r="EW28" s="231">
        <v>16887616</v>
      </c>
      <c r="EX28" s="231">
        <v>161169</v>
      </c>
      <c r="EY28" s="229">
        <v>9.4999999999999998E-3</v>
      </c>
      <c r="EZ28" s="229">
        <v>0</v>
      </c>
      <c r="FA28" s="227" t="s">
        <v>568</v>
      </c>
      <c r="FB28" s="161">
        <f t="shared" si="0"/>
        <v>127170</v>
      </c>
    </row>
    <row r="29" spans="1:158" ht="17.25" thickBot="1" x14ac:dyDescent="0.3">
      <c r="A29" s="226">
        <v>46029</v>
      </c>
      <c r="B29" s="227" t="s">
        <v>184</v>
      </c>
      <c r="C29" s="227" t="s">
        <v>671</v>
      </c>
      <c r="D29" s="228">
        <v>350</v>
      </c>
      <c r="E29" s="231">
        <v>1542.6</v>
      </c>
      <c r="F29" s="231">
        <v>1549.8</v>
      </c>
      <c r="G29" s="228">
        <v>-7.2</v>
      </c>
      <c r="H29" s="229">
        <v>-4.5999999999999999E-3</v>
      </c>
      <c r="I29" s="231">
        <v>1539.5</v>
      </c>
      <c r="J29" s="231">
        <v>1542.5</v>
      </c>
      <c r="K29" s="228">
        <v>-3</v>
      </c>
      <c r="L29" s="229">
        <v>-1.9E-3</v>
      </c>
      <c r="M29" s="231">
        <v>1542.6</v>
      </c>
      <c r="N29" s="231">
        <v>1549.8</v>
      </c>
      <c r="O29" s="228">
        <v>-7.2</v>
      </c>
      <c r="P29" s="229">
        <v>-4.5999999999999999E-3</v>
      </c>
      <c r="Q29" s="231">
        <v>1547.2</v>
      </c>
      <c r="R29" s="231">
        <v>1553.7</v>
      </c>
      <c r="S29" s="228">
        <v>-6.5</v>
      </c>
      <c r="T29" s="229">
        <v>-4.1999999999999997E-3</v>
      </c>
      <c r="U29" s="231">
        <v>1554.6</v>
      </c>
      <c r="V29" s="231">
        <v>1562.6</v>
      </c>
      <c r="W29" s="228">
        <v>-8</v>
      </c>
      <c r="X29" s="229">
        <v>-5.1000000000000004E-3</v>
      </c>
      <c r="Y29" s="228">
        <v>3.1</v>
      </c>
      <c r="Z29" s="228">
        <v>7.3</v>
      </c>
      <c r="AA29" s="228">
        <v>-4.2</v>
      </c>
      <c r="AB29" s="229">
        <v>2E-3</v>
      </c>
      <c r="AC29" s="228">
        <v>3.1</v>
      </c>
      <c r="AD29" s="228">
        <v>7.3</v>
      </c>
      <c r="AE29" s="228">
        <v>-4.2</v>
      </c>
      <c r="AF29" s="229">
        <v>2E-3</v>
      </c>
      <c r="AG29" s="228">
        <v>7.7</v>
      </c>
      <c r="AH29" s="228">
        <v>11.2</v>
      </c>
      <c r="AI29" s="228">
        <v>-3.5</v>
      </c>
      <c r="AJ29" s="229">
        <v>5.0000000000000001E-3</v>
      </c>
      <c r="AK29" s="228">
        <v>15.1</v>
      </c>
      <c r="AL29" s="228">
        <v>20.100000000000001</v>
      </c>
      <c r="AM29" s="228">
        <v>-5</v>
      </c>
      <c r="AN29" s="229">
        <v>9.7999999999999997E-3</v>
      </c>
      <c r="AO29" s="231">
        <v>1546.04</v>
      </c>
      <c r="AP29" s="231">
        <v>1552.36</v>
      </c>
      <c r="AQ29" s="228">
        <v>0</v>
      </c>
      <c r="AR29" s="230">
        <v>3289300</v>
      </c>
      <c r="AS29" s="230">
        <v>10268650</v>
      </c>
      <c r="AT29" s="230">
        <v>-6979350</v>
      </c>
      <c r="AU29" s="229">
        <v>-0.67969999999999997</v>
      </c>
      <c r="AV29" s="230">
        <v>2562350</v>
      </c>
      <c r="AW29" s="230">
        <v>8056650</v>
      </c>
      <c r="AX29" s="230">
        <v>-5494300</v>
      </c>
      <c r="AY29" s="229">
        <v>-0.68200000000000005</v>
      </c>
      <c r="AZ29" s="230">
        <v>709450</v>
      </c>
      <c r="BA29" s="230">
        <v>2161600</v>
      </c>
      <c r="BB29" s="230">
        <v>-1452150</v>
      </c>
      <c r="BC29" s="229">
        <v>-0.67179999999999995</v>
      </c>
      <c r="BD29" s="230">
        <v>17500</v>
      </c>
      <c r="BE29" s="230">
        <v>50400</v>
      </c>
      <c r="BF29" s="230">
        <v>-32900</v>
      </c>
      <c r="BG29" s="229">
        <v>-0.65280000000000005</v>
      </c>
      <c r="BH29" s="230">
        <v>9622550</v>
      </c>
      <c r="BI29" s="230">
        <v>29521100</v>
      </c>
      <c r="BJ29" s="230">
        <v>-19898550</v>
      </c>
      <c r="BK29" s="229">
        <v>-0.67400000000000004</v>
      </c>
      <c r="BL29" s="230">
        <v>4675300</v>
      </c>
      <c r="BM29" s="230">
        <v>15946000</v>
      </c>
      <c r="BN29" s="230">
        <v>-11270700</v>
      </c>
      <c r="BO29" s="229">
        <v>-0.70679999999999998</v>
      </c>
      <c r="BP29" s="230">
        <v>17587150</v>
      </c>
      <c r="BQ29" s="230">
        <v>55735750</v>
      </c>
      <c r="BR29" s="230">
        <v>-38148600</v>
      </c>
      <c r="BS29" s="229">
        <v>-0.6845</v>
      </c>
      <c r="BT29" s="230">
        <v>2108731</v>
      </c>
      <c r="BU29" s="230">
        <v>4919208</v>
      </c>
      <c r="BV29" s="230">
        <v>-2810477</v>
      </c>
      <c r="BW29" s="229">
        <v>-0.57130000000000003</v>
      </c>
      <c r="BX29" s="230">
        <v>5087950</v>
      </c>
      <c r="BY29" s="230">
        <v>5258400</v>
      </c>
      <c r="BZ29" s="230">
        <v>-170450</v>
      </c>
      <c r="CA29" s="229">
        <v>-3.2399999999999998E-2</v>
      </c>
      <c r="CB29" s="230">
        <v>4539850</v>
      </c>
      <c r="CC29" s="230">
        <v>4724650</v>
      </c>
      <c r="CD29" s="230">
        <v>-184800</v>
      </c>
      <c r="CE29" s="229">
        <v>-3.9100000000000003E-2</v>
      </c>
      <c r="CF29" s="230">
        <v>491400</v>
      </c>
      <c r="CG29" s="230">
        <v>483700</v>
      </c>
      <c r="CH29" s="230">
        <v>7700</v>
      </c>
      <c r="CI29" s="229">
        <v>1.5900000000000001E-2</v>
      </c>
      <c r="CJ29" s="230">
        <v>56700</v>
      </c>
      <c r="CK29" s="230">
        <v>50050</v>
      </c>
      <c r="CL29" s="230">
        <v>6650</v>
      </c>
      <c r="CM29" s="229">
        <v>0.13289999999999999</v>
      </c>
      <c r="CN29" s="230">
        <v>3663800</v>
      </c>
      <c r="CO29" s="230">
        <v>3420200</v>
      </c>
      <c r="CP29" s="230">
        <v>243600</v>
      </c>
      <c r="CQ29" s="229">
        <v>7.1199999999999999E-2</v>
      </c>
      <c r="CR29" s="230">
        <v>2769550</v>
      </c>
      <c r="CS29" s="230">
        <v>2833600</v>
      </c>
      <c r="CT29" s="230">
        <v>-64050</v>
      </c>
      <c r="CU29" s="229">
        <v>-2.2599999999999999E-2</v>
      </c>
      <c r="CV29" s="230">
        <v>11521300</v>
      </c>
      <c r="CW29" s="230">
        <v>11512200</v>
      </c>
      <c r="CX29" s="230">
        <v>9100</v>
      </c>
      <c r="CY29" s="229">
        <v>8.0000000000000004E-4</v>
      </c>
      <c r="CZ29" s="228">
        <v>33.9</v>
      </c>
      <c r="DA29" s="228">
        <v>33.01</v>
      </c>
      <c r="DB29" s="228">
        <v>0.89</v>
      </c>
      <c r="DC29" s="228">
        <v>0.89</v>
      </c>
      <c r="DD29" s="228">
        <v>50.43</v>
      </c>
      <c r="DE29" s="228">
        <v>50.55</v>
      </c>
      <c r="DF29" s="228">
        <v>-16.53</v>
      </c>
      <c r="DG29" s="228">
        <v>-0.12</v>
      </c>
      <c r="DH29" s="228">
        <v>34.04</v>
      </c>
      <c r="DI29" s="228">
        <v>33.19</v>
      </c>
      <c r="DJ29" s="228">
        <v>0.85</v>
      </c>
      <c r="DK29" s="228">
        <v>0.85</v>
      </c>
      <c r="DL29" s="228">
        <v>33.6</v>
      </c>
      <c r="DM29" s="228">
        <v>32.68</v>
      </c>
      <c r="DN29" s="228">
        <v>0.92</v>
      </c>
      <c r="DO29" s="228">
        <v>0.92</v>
      </c>
      <c r="DP29" s="228">
        <v>0.76</v>
      </c>
      <c r="DQ29" s="228">
        <v>0.83</v>
      </c>
      <c r="DR29" s="228">
        <v>-7.0000000000000007E-2</v>
      </c>
      <c r="DS29" s="229">
        <v>-8.43E-2</v>
      </c>
      <c r="DT29" s="231">
        <v>1600</v>
      </c>
      <c r="DU29" s="231">
        <v>1400</v>
      </c>
      <c r="DV29" s="228">
        <v>0.49</v>
      </c>
      <c r="DW29" s="228">
        <v>0.54</v>
      </c>
      <c r="DX29" s="228">
        <v>-0.05</v>
      </c>
      <c r="DY29" s="229">
        <v>-9.2600000000000002E-2</v>
      </c>
      <c r="DZ29" s="229">
        <v>0.1077</v>
      </c>
      <c r="EA29" s="230">
        <v>533750</v>
      </c>
      <c r="EB29" s="229">
        <v>3.0000000000000001E-3</v>
      </c>
      <c r="EC29" s="229">
        <v>0.1077</v>
      </c>
      <c r="ED29" s="228">
        <v>6.32</v>
      </c>
      <c r="EE29" s="229">
        <v>4.1000000000000003E-3</v>
      </c>
      <c r="EF29" s="230">
        <v>338259</v>
      </c>
      <c r="EG29" s="230">
        <v>488443</v>
      </c>
      <c r="EH29" s="229">
        <v>-0.3075</v>
      </c>
      <c r="EI29" s="229">
        <v>0.16039999999999999</v>
      </c>
      <c r="EJ29" s="231">
        <v>155158.20000000001</v>
      </c>
      <c r="EK29" s="231">
        <v>72352.759999999995</v>
      </c>
      <c r="EL29" s="231">
        <v>50900.03</v>
      </c>
      <c r="EM29" s="231">
        <v>9670</v>
      </c>
      <c r="EN29" s="231">
        <v>278410.99</v>
      </c>
      <c r="EO29" s="231">
        <v>888767.94</v>
      </c>
      <c r="EP29" s="231">
        <v>-610356.94999999995</v>
      </c>
      <c r="EQ29" s="229">
        <v>-0.68669999999999998</v>
      </c>
      <c r="ER29" s="231">
        <v>57953</v>
      </c>
      <c r="ES29" s="231">
        <v>39945</v>
      </c>
      <c r="ET29" s="231">
        <v>78516</v>
      </c>
      <c r="EU29" s="231">
        <v>13786716</v>
      </c>
      <c r="EV29" s="231">
        <v>176414</v>
      </c>
      <c r="EW29" s="231">
        <v>176369</v>
      </c>
      <c r="EX29" s="228">
        <v>45</v>
      </c>
      <c r="EY29" s="229">
        <v>2.9999999999999997E-4</v>
      </c>
      <c r="EZ29" s="229">
        <v>0.8357</v>
      </c>
      <c r="FA29" s="227" t="s">
        <v>568</v>
      </c>
      <c r="FB29" s="161">
        <f t="shared" si="0"/>
        <v>548100</v>
      </c>
    </row>
    <row r="30" spans="1:158" ht="17.25" hidden="1" thickBot="1" x14ac:dyDescent="0.3">
      <c r="A30" s="226">
        <v>46029</v>
      </c>
      <c r="B30" s="227" t="s">
        <v>184</v>
      </c>
      <c r="C30" s="227" t="s">
        <v>185</v>
      </c>
      <c r="D30" s="228">
        <v>1425</v>
      </c>
      <c r="E30" s="228">
        <v>417.7</v>
      </c>
      <c r="F30" s="228">
        <v>414.45</v>
      </c>
      <c r="G30" s="228">
        <v>3.25</v>
      </c>
      <c r="H30" s="229">
        <v>7.7999999999999996E-3</v>
      </c>
      <c r="I30" s="228">
        <v>415.65</v>
      </c>
      <c r="J30" s="228">
        <v>413.1</v>
      </c>
      <c r="K30" s="228">
        <v>2.5499999999999998</v>
      </c>
      <c r="L30" s="229">
        <v>6.1999999999999998E-3</v>
      </c>
      <c r="M30" s="228">
        <v>417.7</v>
      </c>
      <c r="N30" s="228">
        <v>414.45</v>
      </c>
      <c r="O30" s="228">
        <v>3.25</v>
      </c>
      <c r="P30" s="229">
        <v>7.7999999999999996E-3</v>
      </c>
      <c r="Q30" s="228">
        <v>419.6</v>
      </c>
      <c r="R30" s="228">
        <v>416.4</v>
      </c>
      <c r="S30" s="228">
        <v>3.2</v>
      </c>
      <c r="T30" s="229">
        <v>7.7000000000000002E-3</v>
      </c>
      <c r="U30" s="228">
        <v>421.2</v>
      </c>
      <c r="V30" s="228">
        <v>418.05</v>
      </c>
      <c r="W30" s="228">
        <v>3.15</v>
      </c>
      <c r="X30" s="229">
        <v>7.4999999999999997E-3</v>
      </c>
      <c r="Y30" s="228">
        <v>2.0499999999999998</v>
      </c>
      <c r="Z30" s="228">
        <v>1.35</v>
      </c>
      <c r="AA30" s="228">
        <v>0.7</v>
      </c>
      <c r="AB30" s="229">
        <v>4.8999999999999998E-3</v>
      </c>
      <c r="AC30" s="228">
        <v>2.0499999999999998</v>
      </c>
      <c r="AD30" s="228">
        <v>1.35</v>
      </c>
      <c r="AE30" s="228">
        <v>0.7</v>
      </c>
      <c r="AF30" s="229">
        <v>4.8999999999999998E-3</v>
      </c>
      <c r="AG30" s="228">
        <v>3.95</v>
      </c>
      <c r="AH30" s="228">
        <v>3.3</v>
      </c>
      <c r="AI30" s="228">
        <v>0.65</v>
      </c>
      <c r="AJ30" s="229">
        <v>9.4999999999999998E-3</v>
      </c>
      <c r="AK30" s="228">
        <v>5.55</v>
      </c>
      <c r="AL30" s="228">
        <v>4.95</v>
      </c>
      <c r="AM30" s="228">
        <v>0.6</v>
      </c>
      <c r="AN30" s="229">
        <v>1.34E-2</v>
      </c>
      <c r="AO30" s="228">
        <v>415.52</v>
      </c>
      <c r="AP30" s="228">
        <v>417.48</v>
      </c>
      <c r="AQ30" s="228">
        <v>0</v>
      </c>
      <c r="AR30" s="230">
        <v>10631925</v>
      </c>
      <c r="AS30" s="230">
        <v>10889850</v>
      </c>
      <c r="AT30" s="230">
        <v>-257925</v>
      </c>
      <c r="AU30" s="229">
        <v>-2.3699999999999999E-2</v>
      </c>
      <c r="AV30" s="230">
        <v>9350850</v>
      </c>
      <c r="AW30" s="230">
        <v>9214050</v>
      </c>
      <c r="AX30" s="230">
        <v>136800</v>
      </c>
      <c r="AY30" s="229">
        <v>1.4800000000000001E-2</v>
      </c>
      <c r="AZ30" s="230">
        <v>1060200</v>
      </c>
      <c r="BA30" s="230">
        <v>1434975</v>
      </c>
      <c r="BB30" s="230">
        <v>-374775</v>
      </c>
      <c r="BC30" s="229">
        <v>-0.26119999999999999</v>
      </c>
      <c r="BD30" s="230">
        <v>220875</v>
      </c>
      <c r="BE30" s="230">
        <v>240825</v>
      </c>
      <c r="BF30" s="230">
        <v>-19950</v>
      </c>
      <c r="BG30" s="229">
        <v>-8.2799999999999999E-2</v>
      </c>
      <c r="BH30" s="230">
        <v>54362325</v>
      </c>
      <c r="BI30" s="230">
        <v>49889250</v>
      </c>
      <c r="BJ30" s="230">
        <v>4473075</v>
      </c>
      <c r="BK30" s="229">
        <v>8.9700000000000002E-2</v>
      </c>
      <c r="BL30" s="230">
        <v>27955650</v>
      </c>
      <c r="BM30" s="230">
        <v>30054675</v>
      </c>
      <c r="BN30" s="230">
        <v>-2099025</v>
      </c>
      <c r="BO30" s="229">
        <v>-6.9800000000000001E-2</v>
      </c>
      <c r="BP30" s="230">
        <v>92949900</v>
      </c>
      <c r="BQ30" s="230">
        <v>90833775</v>
      </c>
      <c r="BR30" s="230">
        <v>2116125</v>
      </c>
      <c r="BS30" s="229">
        <v>2.3300000000000001E-2</v>
      </c>
      <c r="BT30" s="230">
        <v>8614939</v>
      </c>
      <c r="BU30" s="230">
        <v>10675471</v>
      </c>
      <c r="BV30" s="230">
        <v>-2060532</v>
      </c>
      <c r="BW30" s="229">
        <v>-0.193</v>
      </c>
      <c r="BX30" s="230">
        <v>120405375</v>
      </c>
      <c r="BY30" s="230">
        <v>120221550</v>
      </c>
      <c r="BZ30" s="230">
        <v>183825</v>
      </c>
      <c r="CA30" s="229">
        <v>1.5E-3</v>
      </c>
      <c r="CB30" s="230">
        <v>114477375</v>
      </c>
      <c r="CC30" s="230">
        <v>114373350</v>
      </c>
      <c r="CD30" s="230">
        <v>104025</v>
      </c>
      <c r="CE30" s="229">
        <v>8.9999999999999998E-4</v>
      </c>
      <c r="CF30" s="230">
        <v>5187000</v>
      </c>
      <c r="CG30" s="230">
        <v>5122875</v>
      </c>
      <c r="CH30" s="230">
        <v>64125</v>
      </c>
      <c r="CI30" s="229">
        <v>1.2500000000000001E-2</v>
      </c>
      <c r="CJ30" s="230">
        <v>741000</v>
      </c>
      <c r="CK30" s="230">
        <v>725325</v>
      </c>
      <c r="CL30" s="230">
        <v>15675</v>
      </c>
      <c r="CM30" s="229">
        <v>2.1600000000000001E-2</v>
      </c>
      <c r="CN30" s="230">
        <v>49035675</v>
      </c>
      <c r="CO30" s="230">
        <v>47969775</v>
      </c>
      <c r="CP30" s="230">
        <v>1065900</v>
      </c>
      <c r="CQ30" s="229">
        <v>2.2200000000000001E-2</v>
      </c>
      <c r="CR30" s="230">
        <v>32700900</v>
      </c>
      <c r="CS30" s="230">
        <v>32354625</v>
      </c>
      <c r="CT30" s="230">
        <v>346275</v>
      </c>
      <c r="CU30" s="229">
        <v>1.0699999999999999E-2</v>
      </c>
      <c r="CV30" s="230">
        <v>202141950</v>
      </c>
      <c r="CW30" s="230">
        <v>200545950</v>
      </c>
      <c r="CX30" s="230">
        <v>1596000</v>
      </c>
      <c r="CY30" s="229">
        <v>8.0000000000000002E-3</v>
      </c>
      <c r="CZ30" s="228">
        <v>23.23</v>
      </c>
      <c r="DA30" s="228">
        <v>23.88</v>
      </c>
      <c r="DB30" s="228">
        <v>-0.65</v>
      </c>
      <c r="DC30" s="228">
        <v>-0.65</v>
      </c>
      <c r="DD30" s="228">
        <v>35.479999999999997</v>
      </c>
      <c r="DE30" s="228">
        <v>35.56</v>
      </c>
      <c r="DF30" s="228">
        <v>-12.25</v>
      </c>
      <c r="DG30" s="228">
        <v>-0.08</v>
      </c>
      <c r="DH30" s="228">
        <v>23.13</v>
      </c>
      <c r="DI30" s="228">
        <v>23.79</v>
      </c>
      <c r="DJ30" s="228">
        <v>-0.66</v>
      </c>
      <c r="DK30" s="228">
        <v>-0.66</v>
      </c>
      <c r="DL30" s="228">
        <v>23.42</v>
      </c>
      <c r="DM30" s="228">
        <v>24.04</v>
      </c>
      <c r="DN30" s="228">
        <v>-0.62</v>
      </c>
      <c r="DO30" s="228">
        <v>-0.62</v>
      </c>
      <c r="DP30" s="228">
        <v>0.67</v>
      </c>
      <c r="DQ30" s="228">
        <v>0.67</v>
      </c>
      <c r="DR30" s="228">
        <v>0</v>
      </c>
      <c r="DS30" s="229">
        <v>0</v>
      </c>
      <c r="DT30" s="228">
        <v>420</v>
      </c>
      <c r="DU30" s="228">
        <v>400</v>
      </c>
      <c r="DV30" s="228">
        <v>0.51</v>
      </c>
      <c r="DW30" s="228">
        <v>0.6</v>
      </c>
      <c r="DX30" s="228">
        <v>-0.09</v>
      </c>
      <c r="DY30" s="229">
        <v>-0.15</v>
      </c>
      <c r="DZ30" s="229">
        <v>4.9200000000000001E-2</v>
      </c>
      <c r="EA30" s="230">
        <v>5848200</v>
      </c>
      <c r="EB30" s="229">
        <v>4.4999999999999997E-3</v>
      </c>
      <c r="EC30" s="229">
        <v>4.9200000000000001E-2</v>
      </c>
      <c r="ED30" s="228">
        <v>1.96</v>
      </c>
      <c r="EE30" s="229">
        <v>4.7000000000000002E-3</v>
      </c>
      <c r="EF30" s="230">
        <v>4378588</v>
      </c>
      <c r="EG30" s="230">
        <v>5551189</v>
      </c>
      <c r="EH30" s="229">
        <v>-0.2112</v>
      </c>
      <c r="EI30" s="229">
        <v>0.50829999999999997</v>
      </c>
      <c r="EJ30" s="231">
        <v>234233.31</v>
      </c>
      <c r="EK30" s="231">
        <v>114237.38</v>
      </c>
      <c r="EL30" s="231">
        <v>44205.36</v>
      </c>
      <c r="EM30" s="231">
        <v>11808</v>
      </c>
      <c r="EN30" s="231">
        <v>392676.05</v>
      </c>
      <c r="EO30" s="231">
        <v>383288.07</v>
      </c>
      <c r="EP30" s="231">
        <v>9387.98</v>
      </c>
      <c r="EQ30" s="229">
        <v>2.4500000000000001E-2</v>
      </c>
      <c r="ER30" s="231">
        <v>206367</v>
      </c>
      <c r="ES30" s="231">
        <v>129649</v>
      </c>
      <c r="ET30" s="231">
        <v>503058</v>
      </c>
      <c r="EU30" s="231">
        <v>535778534</v>
      </c>
      <c r="EV30" s="231">
        <v>839074</v>
      </c>
      <c r="EW30" s="231">
        <v>828283</v>
      </c>
      <c r="EX30" s="231">
        <v>10791</v>
      </c>
      <c r="EY30" s="229">
        <v>1.2999999999999999E-2</v>
      </c>
      <c r="EZ30" s="229">
        <v>0.37730000000000002</v>
      </c>
      <c r="FA30" s="227" t="s">
        <v>555</v>
      </c>
      <c r="FB30" s="161">
        <f t="shared" si="0"/>
        <v>5928000</v>
      </c>
    </row>
    <row r="31" spans="1:158" ht="17.25" hidden="1" thickBot="1" x14ac:dyDescent="0.3">
      <c r="A31" s="226">
        <v>46029</v>
      </c>
      <c r="B31" s="227" t="s">
        <v>162</v>
      </c>
      <c r="C31" s="227" t="s">
        <v>187</v>
      </c>
      <c r="D31" s="228">
        <v>500</v>
      </c>
      <c r="E31" s="231">
        <v>1488.5</v>
      </c>
      <c r="F31" s="231">
        <v>1479.4</v>
      </c>
      <c r="G31" s="228">
        <v>9.1</v>
      </c>
      <c r="H31" s="229">
        <v>6.1999999999999998E-3</v>
      </c>
      <c r="I31" s="231">
        <v>1483.4</v>
      </c>
      <c r="J31" s="231">
        <v>1474.7</v>
      </c>
      <c r="K31" s="228">
        <v>8.6999999999999993</v>
      </c>
      <c r="L31" s="229">
        <v>5.8999999999999999E-3</v>
      </c>
      <c r="M31" s="231">
        <v>1488.5</v>
      </c>
      <c r="N31" s="231">
        <v>1479.4</v>
      </c>
      <c r="O31" s="228">
        <v>9.1</v>
      </c>
      <c r="P31" s="229">
        <v>6.1999999999999998E-3</v>
      </c>
      <c r="Q31" s="231">
        <v>1492.4</v>
      </c>
      <c r="R31" s="231">
        <v>1484.3</v>
      </c>
      <c r="S31" s="228">
        <v>8.1</v>
      </c>
      <c r="T31" s="229">
        <v>5.4999999999999997E-3</v>
      </c>
      <c r="U31" s="231">
        <v>1503.4</v>
      </c>
      <c r="V31" s="231">
        <v>1489.5</v>
      </c>
      <c r="W31" s="228">
        <v>13.9</v>
      </c>
      <c r="X31" s="229">
        <v>9.2999999999999992E-3</v>
      </c>
      <c r="Y31" s="228">
        <v>5.0999999999999996</v>
      </c>
      <c r="Z31" s="228">
        <v>4.7</v>
      </c>
      <c r="AA31" s="228">
        <v>0.4</v>
      </c>
      <c r="AB31" s="229">
        <v>3.3999999999999998E-3</v>
      </c>
      <c r="AC31" s="228">
        <v>5.0999999999999996</v>
      </c>
      <c r="AD31" s="228">
        <v>4.7</v>
      </c>
      <c r="AE31" s="228">
        <v>0.4</v>
      </c>
      <c r="AF31" s="229">
        <v>3.3999999999999998E-3</v>
      </c>
      <c r="AG31" s="228">
        <v>9</v>
      </c>
      <c r="AH31" s="228">
        <v>9.6</v>
      </c>
      <c r="AI31" s="228">
        <v>-0.6</v>
      </c>
      <c r="AJ31" s="229">
        <v>6.1000000000000004E-3</v>
      </c>
      <c r="AK31" s="228">
        <v>20</v>
      </c>
      <c r="AL31" s="228">
        <v>14.8</v>
      </c>
      <c r="AM31" s="228">
        <v>5.2</v>
      </c>
      <c r="AN31" s="229">
        <v>1.35E-2</v>
      </c>
      <c r="AO31" s="231">
        <v>1485.82</v>
      </c>
      <c r="AP31" s="231">
        <v>1491.4</v>
      </c>
      <c r="AQ31" s="228">
        <v>0</v>
      </c>
      <c r="AR31" s="230">
        <v>1651500</v>
      </c>
      <c r="AS31" s="230">
        <v>2350000</v>
      </c>
      <c r="AT31" s="230">
        <v>-698500</v>
      </c>
      <c r="AU31" s="229">
        <v>-0.29720000000000002</v>
      </c>
      <c r="AV31" s="230">
        <v>1614000</v>
      </c>
      <c r="AW31" s="230">
        <v>2281500</v>
      </c>
      <c r="AX31" s="230">
        <v>-667500</v>
      </c>
      <c r="AY31" s="229">
        <v>-0.29260000000000003</v>
      </c>
      <c r="AZ31" s="230">
        <v>35000</v>
      </c>
      <c r="BA31" s="230">
        <v>61000</v>
      </c>
      <c r="BB31" s="230">
        <v>-26000</v>
      </c>
      <c r="BC31" s="229">
        <v>-0.42620000000000002</v>
      </c>
      <c r="BD31" s="230">
        <v>2500</v>
      </c>
      <c r="BE31" s="230">
        <v>7500</v>
      </c>
      <c r="BF31" s="230">
        <v>-5000</v>
      </c>
      <c r="BG31" s="229">
        <v>-0.66669999999999996</v>
      </c>
      <c r="BH31" s="230">
        <v>3709500</v>
      </c>
      <c r="BI31" s="230">
        <v>7947500</v>
      </c>
      <c r="BJ31" s="230">
        <v>-4238000</v>
      </c>
      <c r="BK31" s="229">
        <v>-0.53320000000000001</v>
      </c>
      <c r="BL31" s="230">
        <v>1565000</v>
      </c>
      <c r="BM31" s="230">
        <v>2827000</v>
      </c>
      <c r="BN31" s="230">
        <v>-1262000</v>
      </c>
      <c r="BO31" s="229">
        <v>-0.44640000000000002</v>
      </c>
      <c r="BP31" s="230">
        <v>6926000</v>
      </c>
      <c r="BQ31" s="230">
        <v>13124500</v>
      </c>
      <c r="BR31" s="230">
        <v>-6198500</v>
      </c>
      <c r="BS31" s="229">
        <v>-0.4723</v>
      </c>
      <c r="BT31" s="230">
        <v>492433</v>
      </c>
      <c r="BU31" s="230">
        <v>858482</v>
      </c>
      <c r="BV31" s="230">
        <v>-366049</v>
      </c>
      <c r="BW31" s="229">
        <v>-0.4264</v>
      </c>
      <c r="BX31" s="230">
        <v>7597500</v>
      </c>
      <c r="BY31" s="230">
        <v>7999000</v>
      </c>
      <c r="BZ31" s="230">
        <v>-401500</v>
      </c>
      <c r="CA31" s="229">
        <v>-5.0200000000000002E-2</v>
      </c>
      <c r="CB31" s="230">
        <v>7442500</v>
      </c>
      <c r="CC31" s="230">
        <v>7849500</v>
      </c>
      <c r="CD31" s="230">
        <v>-407000</v>
      </c>
      <c r="CE31" s="229">
        <v>-5.1900000000000002E-2</v>
      </c>
      <c r="CF31" s="230">
        <v>131000</v>
      </c>
      <c r="CG31" s="230">
        <v>126000</v>
      </c>
      <c r="CH31" s="230">
        <v>5000</v>
      </c>
      <c r="CI31" s="229">
        <v>3.9699999999999999E-2</v>
      </c>
      <c r="CJ31" s="230">
        <v>24000</v>
      </c>
      <c r="CK31" s="230">
        <v>23500</v>
      </c>
      <c r="CL31" s="228">
        <v>500</v>
      </c>
      <c r="CM31" s="229">
        <v>2.1299999999999999E-2</v>
      </c>
      <c r="CN31" s="230">
        <v>2975500</v>
      </c>
      <c r="CO31" s="230">
        <v>2940500</v>
      </c>
      <c r="CP31" s="230">
        <v>35000</v>
      </c>
      <c r="CQ31" s="229">
        <v>1.1900000000000001E-2</v>
      </c>
      <c r="CR31" s="230">
        <v>1922500</v>
      </c>
      <c r="CS31" s="230">
        <v>1995000</v>
      </c>
      <c r="CT31" s="230">
        <v>-72500</v>
      </c>
      <c r="CU31" s="229">
        <v>-3.6299999999999999E-2</v>
      </c>
      <c r="CV31" s="230">
        <v>12495500</v>
      </c>
      <c r="CW31" s="230">
        <v>12934500</v>
      </c>
      <c r="CX31" s="230">
        <v>-439000</v>
      </c>
      <c r="CY31" s="229">
        <v>-3.39E-2</v>
      </c>
      <c r="CZ31" s="228">
        <v>25.36</v>
      </c>
      <c r="DA31" s="228">
        <v>25.86</v>
      </c>
      <c r="DB31" s="228">
        <v>-0.5</v>
      </c>
      <c r="DC31" s="228">
        <v>-0.5</v>
      </c>
      <c r="DD31" s="228">
        <v>36.1</v>
      </c>
      <c r="DE31" s="228">
        <v>36.18</v>
      </c>
      <c r="DF31" s="228">
        <v>-10.74</v>
      </c>
      <c r="DG31" s="228">
        <v>-0.08</v>
      </c>
      <c r="DH31" s="228">
        <v>25.64</v>
      </c>
      <c r="DI31" s="228">
        <v>25.88</v>
      </c>
      <c r="DJ31" s="228">
        <v>-0.24</v>
      </c>
      <c r="DK31" s="228">
        <v>-0.24</v>
      </c>
      <c r="DL31" s="228">
        <v>24.7</v>
      </c>
      <c r="DM31" s="228">
        <v>25.82</v>
      </c>
      <c r="DN31" s="228">
        <v>-1.1200000000000001</v>
      </c>
      <c r="DO31" s="228">
        <v>-1.1200000000000001</v>
      </c>
      <c r="DP31" s="228">
        <v>0.65</v>
      </c>
      <c r="DQ31" s="228">
        <v>0.68</v>
      </c>
      <c r="DR31" s="228">
        <v>-0.03</v>
      </c>
      <c r="DS31" s="229">
        <v>-4.41E-2</v>
      </c>
      <c r="DT31" s="231">
        <v>1500</v>
      </c>
      <c r="DU31" s="231">
        <v>1460</v>
      </c>
      <c r="DV31" s="228">
        <v>0.42</v>
      </c>
      <c r="DW31" s="228">
        <v>0.36</v>
      </c>
      <c r="DX31" s="228">
        <v>0.06</v>
      </c>
      <c r="DY31" s="229">
        <v>0.16669999999999999</v>
      </c>
      <c r="DZ31" s="229">
        <v>2.0400000000000001E-2</v>
      </c>
      <c r="EA31" s="230">
        <v>149500</v>
      </c>
      <c r="EB31" s="229">
        <v>2.5999999999999999E-3</v>
      </c>
      <c r="EC31" s="229">
        <v>2.0400000000000001E-2</v>
      </c>
      <c r="ED31" s="228">
        <v>5.58</v>
      </c>
      <c r="EE31" s="229">
        <v>3.8E-3</v>
      </c>
      <c r="EF31" s="230">
        <v>176818</v>
      </c>
      <c r="EG31" s="230">
        <v>328302</v>
      </c>
      <c r="EH31" s="229">
        <v>-0.46139999999999998</v>
      </c>
      <c r="EI31" s="229">
        <v>0.35909999999999997</v>
      </c>
      <c r="EJ31" s="231">
        <v>57356.58</v>
      </c>
      <c r="EK31" s="231">
        <v>23202.81</v>
      </c>
      <c r="EL31" s="231">
        <v>24540.44</v>
      </c>
      <c r="EM31" s="231">
        <v>4153</v>
      </c>
      <c r="EN31" s="231">
        <v>105099.83</v>
      </c>
      <c r="EO31" s="231">
        <v>200599.06</v>
      </c>
      <c r="EP31" s="231">
        <v>-95499.23</v>
      </c>
      <c r="EQ31" s="229">
        <v>-0.47610000000000002</v>
      </c>
      <c r="ER31" s="231">
        <v>45300</v>
      </c>
      <c r="ES31" s="231">
        <v>27521</v>
      </c>
      <c r="ET31" s="231">
        <v>113097</v>
      </c>
      <c r="EU31" s="231">
        <v>40107751</v>
      </c>
      <c r="EV31" s="231">
        <v>185918</v>
      </c>
      <c r="EW31" s="231">
        <v>191659</v>
      </c>
      <c r="EX31" s="231">
        <v>-5741</v>
      </c>
      <c r="EY31" s="229">
        <v>-0.03</v>
      </c>
      <c r="EZ31" s="229">
        <v>0.3115</v>
      </c>
      <c r="FA31" s="227" t="s">
        <v>556</v>
      </c>
      <c r="FB31" s="161">
        <f t="shared" si="0"/>
        <v>155000</v>
      </c>
    </row>
    <row r="32" spans="1:158" ht="17.25" hidden="1" thickBot="1" x14ac:dyDescent="0.3">
      <c r="A32" s="226">
        <v>46029</v>
      </c>
      <c r="B32" s="227" t="s">
        <v>188</v>
      </c>
      <c r="C32" s="227" t="s">
        <v>189</v>
      </c>
      <c r="D32" s="228">
        <v>475</v>
      </c>
      <c r="E32" s="231">
        <v>2091.5</v>
      </c>
      <c r="F32" s="231">
        <v>2113.6999999999998</v>
      </c>
      <c r="G32" s="228">
        <v>-22.2</v>
      </c>
      <c r="H32" s="229">
        <v>-1.0500000000000001E-2</v>
      </c>
      <c r="I32" s="231">
        <v>2084.1999999999998</v>
      </c>
      <c r="J32" s="231">
        <v>2105.3000000000002</v>
      </c>
      <c r="K32" s="228">
        <v>-21.1</v>
      </c>
      <c r="L32" s="229">
        <v>-0.01</v>
      </c>
      <c r="M32" s="231">
        <v>2091.5</v>
      </c>
      <c r="N32" s="231">
        <v>2113.6999999999998</v>
      </c>
      <c r="O32" s="228">
        <v>-22.2</v>
      </c>
      <c r="P32" s="229">
        <v>-1.0500000000000001E-2</v>
      </c>
      <c r="Q32" s="231">
        <v>2100.9</v>
      </c>
      <c r="R32" s="231">
        <v>2121.5</v>
      </c>
      <c r="S32" s="228">
        <v>-20.6</v>
      </c>
      <c r="T32" s="229">
        <v>-9.7000000000000003E-3</v>
      </c>
      <c r="U32" s="231">
        <v>2110.1</v>
      </c>
      <c r="V32" s="231">
        <v>2131.5</v>
      </c>
      <c r="W32" s="228">
        <v>-21.4</v>
      </c>
      <c r="X32" s="229">
        <v>-0.01</v>
      </c>
      <c r="Y32" s="228">
        <v>7.3</v>
      </c>
      <c r="Z32" s="228">
        <v>8.4</v>
      </c>
      <c r="AA32" s="228">
        <v>-1.1000000000000001</v>
      </c>
      <c r="AB32" s="229">
        <v>3.5000000000000001E-3</v>
      </c>
      <c r="AC32" s="228">
        <v>7.3</v>
      </c>
      <c r="AD32" s="228">
        <v>8.4</v>
      </c>
      <c r="AE32" s="228">
        <v>-1.1000000000000001</v>
      </c>
      <c r="AF32" s="229">
        <v>3.5000000000000001E-3</v>
      </c>
      <c r="AG32" s="228">
        <v>16.7</v>
      </c>
      <c r="AH32" s="228">
        <v>16.2</v>
      </c>
      <c r="AI32" s="228">
        <v>0.5</v>
      </c>
      <c r="AJ32" s="229">
        <v>8.0000000000000002E-3</v>
      </c>
      <c r="AK32" s="228">
        <v>25.9</v>
      </c>
      <c r="AL32" s="228">
        <v>26.2</v>
      </c>
      <c r="AM32" s="228">
        <v>-0.3</v>
      </c>
      <c r="AN32" s="229">
        <v>1.24E-2</v>
      </c>
      <c r="AO32" s="231">
        <v>2092.17</v>
      </c>
      <c r="AP32" s="231">
        <v>2101.9899999999998</v>
      </c>
      <c r="AQ32" s="228">
        <v>0</v>
      </c>
      <c r="AR32" s="230">
        <v>3399100</v>
      </c>
      <c r="AS32" s="230">
        <v>4370475</v>
      </c>
      <c r="AT32" s="230">
        <v>-971375</v>
      </c>
      <c r="AU32" s="229">
        <v>-0.2223</v>
      </c>
      <c r="AV32" s="230">
        <v>3172050</v>
      </c>
      <c r="AW32" s="230">
        <v>3962450</v>
      </c>
      <c r="AX32" s="230">
        <v>-790400</v>
      </c>
      <c r="AY32" s="229">
        <v>-0.19950000000000001</v>
      </c>
      <c r="AZ32" s="230">
        <v>204725</v>
      </c>
      <c r="BA32" s="230">
        <v>391400</v>
      </c>
      <c r="BB32" s="230">
        <v>-186675</v>
      </c>
      <c r="BC32" s="229">
        <v>-0.47689999999999999</v>
      </c>
      <c r="BD32" s="230">
        <v>22325</v>
      </c>
      <c r="BE32" s="230">
        <v>16625</v>
      </c>
      <c r="BF32" s="230">
        <v>5700</v>
      </c>
      <c r="BG32" s="229">
        <v>0.34289999999999998</v>
      </c>
      <c r="BH32" s="230">
        <v>13118075</v>
      </c>
      <c r="BI32" s="230">
        <v>16220775</v>
      </c>
      <c r="BJ32" s="230">
        <v>-3102700</v>
      </c>
      <c r="BK32" s="229">
        <v>-0.1913</v>
      </c>
      <c r="BL32" s="230">
        <v>7702600</v>
      </c>
      <c r="BM32" s="230">
        <v>9857200</v>
      </c>
      <c r="BN32" s="230">
        <v>-2154600</v>
      </c>
      <c r="BO32" s="229">
        <v>-0.21859999999999999</v>
      </c>
      <c r="BP32" s="230">
        <v>24219775</v>
      </c>
      <c r="BQ32" s="230">
        <v>30448450</v>
      </c>
      <c r="BR32" s="230">
        <v>-6228675</v>
      </c>
      <c r="BS32" s="229">
        <v>-0.2046</v>
      </c>
      <c r="BT32" s="230">
        <v>4240423</v>
      </c>
      <c r="BU32" s="230">
        <v>9140003</v>
      </c>
      <c r="BV32" s="230">
        <v>-4899580</v>
      </c>
      <c r="BW32" s="229">
        <v>-0.53610000000000002</v>
      </c>
      <c r="BX32" s="230">
        <v>49459850</v>
      </c>
      <c r="BY32" s="230">
        <v>49276500</v>
      </c>
      <c r="BZ32" s="230">
        <v>183350</v>
      </c>
      <c r="CA32" s="229">
        <v>3.7000000000000002E-3</v>
      </c>
      <c r="CB32" s="230">
        <v>47088175</v>
      </c>
      <c r="CC32" s="230">
        <v>46979875</v>
      </c>
      <c r="CD32" s="230">
        <v>108300</v>
      </c>
      <c r="CE32" s="229">
        <v>2.3E-3</v>
      </c>
      <c r="CF32" s="230">
        <v>2313725</v>
      </c>
      <c r="CG32" s="230">
        <v>2247700</v>
      </c>
      <c r="CH32" s="230">
        <v>66025</v>
      </c>
      <c r="CI32" s="229">
        <v>2.9399999999999999E-2</v>
      </c>
      <c r="CJ32" s="230">
        <v>57950</v>
      </c>
      <c r="CK32" s="230">
        <v>48925</v>
      </c>
      <c r="CL32" s="230">
        <v>9025</v>
      </c>
      <c r="CM32" s="229">
        <v>0.1845</v>
      </c>
      <c r="CN32" s="230">
        <v>9284350</v>
      </c>
      <c r="CO32" s="230">
        <v>8188525</v>
      </c>
      <c r="CP32" s="230">
        <v>1095825</v>
      </c>
      <c r="CQ32" s="229">
        <v>0.1338</v>
      </c>
      <c r="CR32" s="230">
        <v>5429725</v>
      </c>
      <c r="CS32" s="230">
        <v>5208375</v>
      </c>
      <c r="CT32" s="230">
        <v>221350</v>
      </c>
      <c r="CU32" s="229">
        <v>4.2500000000000003E-2</v>
      </c>
      <c r="CV32" s="230">
        <v>64173925</v>
      </c>
      <c r="CW32" s="230">
        <v>62673400</v>
      </c>
      <c r="CX32" s="230">
        <v>1500525</v>
      </c>
      <c r="CY32" s="229">
        <v>2.3900000000000001E-2</v>
      </c>
      <c r="CZ32" s="228">
        <v>16.53</v>
      </c>
      <c r="DA32" s="228">
        <v>15.48</v>
      </c>
      <c r="DB32" s="228">
        <v>1.05</v>
      </c>
      <c r="DC32" s="228">
        <v>1.05</v>
      </c>
      <c r="DD32" s="228">
        <v>24.16</v>
      </c>
      <c r="DE32" s="228">
        <v>24.18</v>
      </c>
      <c r="DF32" s="228">
        <v>-7.63</v>
      </c>
      <c r="DG32" s="228">
        <v>-0.02</v>
      </c>
      <c r="DH32" s="228">
        <v>16.77</v>
      </c>
      <c r="DI32" s="228">
        <v>15.35</v>
      </c>
      <c r="DJ32" s="228">
        <v>1.42</v>
      </c>
      <c r="DK32" s="228">
        <v>1.42</v>
      </c>
      <c r="DL32" s="228">
        <v>16.13</v>
      </c>
      <c r="DM32" s="228">
        <v>15.71</v>
      </c>
      <c r="DN32" s="228">
        <v>0.42</v>
      </c>
      <c r="DO32" s="228">
        <v>0.42</v>
      </c>
      <c r="DP32" s="228">
        <v>0.57999999999999996</v>
      </c>
      <c r="DQ32" s="228">
        <v>0.64</v>
      </c>
      <c r="DR32" s="228">
        <v>-0.06</v>
      </c>
      <c r="DS32" s="229">
        <v>-9.3799999999999994E-2</v>
      </c>
      <c r="DT32" s="231">
        <v>2200</v>
      </c>
      <c r="DU32" s="231">
        <v>2100</v>
      </c>
      <c r="DV32" s="228">
        <v>0.59</v>
      </c>
      <c r="DW32" s="228">
        <v>0.61</v>
      </c>
      <c r="DX32" s="228">
        <v>-0.02</v>
      </c>
      <c r="DY32" s="229">
        <v>-3.2800000000000003E-2</v>
      </c>
      <c r="DZ32" s="229">
        <v>4.8000000000000001E-2</v>
      </c>
      <c r="EA32" s="230">
        <v>2296625</v>
      </c>
      <c r="EB32" s="229">
        <v>4.4999999999999997E-3</v>
      </c>
      <c r="EC32" s="229">
        <v>4.8000000000000001E-2</v>
      </c>
      <c r="ED32" s="228">
        <v>9.82</v>
      </c>
      <c r="EE32" s="229">
        <v>4.7000000000000002E-3</v>
      </c>
      <c r="EF32" s="230">
        <v>3307687</v>
      </c>
      <c r="EG32" s="230">
        <v>7317943</v>
      </c>
      <c r="EH32" s="229">
        <v>-0.54800000000000004</v>
      </c>
      <c r="EI32" s="229">
        <v>0.78</v>
      </c>
      <c r="EJ32" s="231">
        <v>284468.7</v>
      </c>
      <c r="EK32" s="231">
        <v>159759.42000000001</v>
      </c>
      <c r="EL32" s="231">
        <v>71138.880000000005</v>
      </c>
      <c r="EM32" s="231">
        <v>6824</v>
      </c>
      <c r="EN32" s="231">
        <v>515367</v>
      </c>
      <c r="EO32" s="231">
        <v>651301.22</v>
      </c>
      <c r="EP32" s="231">
        <v>-135934.22</v>
      </c>
      <c r="EQ32" s="229">
        <v>-0.2087</v>
      </c>
      <c r="ER32" s="231">
        <v>200506</v>
      </c>
      <c r="ES32" s="231">
        <v>111777</v>
      </c>
      <c r="ET32" s="231">
        <v>1034681</v>
      </c>
      <c r="EU32" s="231">
        <v>367085962</v>
      </c>
      <c r="EV32" s="231">
        <v>1346964</v>
      </c>
      <c r="EW32" s="231">
        <v>1326291</v>
      </c>
      <c r="EX32" s="231">
        <v>20673</v>
      </c>
      <c r="EY32" s="229">
        <v>1.5599999999999999E-2</v>
      </c>
      <c r="EZ32" s="229">
        <v>0.17480000000000001</v>
      </c>
      <c r="FA32" s="227" t="s">
        <v>567</v>
      </c>
      <c r="FB32" s="161">
        <f t="shared" si="0"/>
        <v>2371675</v>
      </c>
    </row>
    <row r="33" spans="1:158" ht="17.25" hidden="1" thickBot="1" x14ac:dyDescent="0.3">
      <c r="A33" s="226">
        <v>46029</v>
      </c>
      <c r="B33" s="227" t="s">
        <v>184</v>
      </c>
      <c r="C33" s="227" t="s">
        <v>190</v>
      </c>
      <c r="D33" s="228">
        <v>2625</v>
      </c>
      <c r="E33" s="228">
        <v>304.75</v>
      </c>
      <c r="F33" s="228">
        <v>298.5</v>
      </c>
      <c r="G33" s="228">
        <v>6.25</v>
      </c>
      <c r="H33" s="229">
        <v>2.0899999999999998E-2</v>
      </c>
      <c r="I33" s="228">
        <v>303.55</v>
      </c>
      <c r="J33" s="228">
        <v>296.95</v>
      </c>
      <c r="K33" s="228">
        <v>6.6</v>
      </c>
      <c r="L33" s="229">
        <v>2.2200000000000001E-2</v>
      </c>
      <c r="M33" s="228">
        <v>304.75</v>
      </c>
      <c r="N33" s="228">
        <v>298.5</v>
      </c>
      <c r="O33" s="228">
        <v>6.25</v>
      </c>
      <c r="P33" s="229">
        <v>2.0899999999999998E-2</v>
      </c>
      <c r="Q33" s="228">
        <v>306.64999999999998</v>
      </c>
      <c r="R33" s="228">
        <v>300.3</v>
      </c>
      <c r="S33" s="228">
        <v>6.35</v>
      </c>
      <c r="T33" s="229">
        <v>2.1100000000000001E-2</v>
      </c>
      <c r="U33" s="228">
        <v>308.5</v>
      </c>
      <c r="V33" s="228">
        <v>302</v>
      </c>
      <c r="W33" s="228">
        <v>6.5</v>
      </c>
      <c r="X33" s="229">
        <v>2.1499999999999998E-2</v>
      </c>
      <c r="Y33" s="228">
        <v>1.2</v>
      </c>
      <c r="Z33" s="228">
        <v>1.55</v>
      </c>
      <c r="AA33" s="228">
        <v>-0.35</v>
      </c>
      <c r="AB33" s="229">
        <v>4.0000000000000001E-3</v>
      </c>
      <c r="AC33" s="228">
        <v>1.2</v>
      </c>
      <c r="AD33" s="228">
        <v>1.55</v>
      </c>
      <c r="AE33" s="228">
        <v>-0.35</v>
      </c>
      <c r="AF33" s="229">
        <v>4.0000000000000001E-3</v>
      </c>
      <c r="AG33" s="228">
        <v>3.1</v>
      </c>
      <c r="AH33" s="228">
        <v>3.35</v>
      </c>
      <c r="AI33" s="228">
        <v>-0.25</v>
      </c>
      <c r="AJ33" s="229">
        <v>1.0200000000000001E-2</v>
      </c>
      <c r="AK33" s="228">
        <v>4.95</v>
      </c>
      <c r="AL33" s="228">
        <v>5.05</v>
      </c>
      <c r="AM33" s="228">
        <v>-0.1</v>
      </c>
      <c r="AN33" s="229">
        <v>1.6299999999999999E-2</v>
      </c>
      <c r="AO33" s="228">
        <v>303.81</v>
      </c>
      <c r="AP33" s="228">
        <v>305.38</v>
      </c>
      <c r="AQ33" s="228">
        <v>0</v>
      </c>
      <c r="AR33" s="230">
        <v>28444500</v>
      </c>
      <c r="AS33" s="230">
        <v>22073625</v>
      </c>
      <c r="AT33" s="230">
        <v>6370875</v>
      </c>
      <c r="AU33" s="229">
        <v>0.28860000000000002</v>
      </c>
      <c r="AV33" s="230">
        <v>26173875</v>
      </c>
      <c r="AW33" s="230">
        <v>20475000</v>
      </c>
      <c r="AX33" s="230">
        <v>5698875</v>
      </c>
      <c r="AY33" s="229">
        <v>0.27829999999999999</v>
      </c>
      <c r="AZ33" s="230">
        <v>1942500</v>
      </c>
      <c r="BA33" s="230">
        <v>1370250</v>
      </c>
      <c r="BB33" s="230">
        <v>572250</v>
      </c>
      <c r="BC33" s="229">
        <v>0.41760000000000003</v>
      </c>
      <c r="BD33" s="230">
        <v>328125</v>
      </c>
      <c r="BE33" s="230">
        <v>228375</v>
      </c>
      <c r="BF33" s="230">
        <v>99750</v>
      </c>
      <c r="BG33" s="229">
        <v>0.43680000000000002</v>
      </c>
      <c r="BH33" s="230">
        <v>134077125</v>
      </c>
      <c r="BI33" s="230">
        <v>65509500</v>
      </c>
      <c r="BJ33" s="230">
        <v>68567625</v>
      </c>
      <c r="BK33" s="229">
        <v>1.0467</v>
      </c>
      <c r="BL33" s="230">
        <v>36865500</v>
      </c>
      <c r="BM33" s="230">
        <v>31801875</v>
      </c>
      <c r="BN33" s="230">
        <v>5063625</v>
      </c>
      <c r="BO33" s="229">
        <v>0.15920000000000001</v>
      </c>
      <c r="BP33" s="230">
        <v>199387125</v>
      </c>
      <c r="BQ33" s="230">
        <v>119385000</v>
      </c>
      <c r="BR33" s="230">
        <v>80002125</v>
      </c>
      <c r="BS33" s="229">
        <v>0.67010000000000003</v>
      </c>
      <c r="BT33" s="230">
        <v>13778263</v>
      </c>
      <c r="BU33" s="230">
        <v>7652087</v>
      </c>
      <c r="BV33" s="230">
        <v>6126176</v>
      </c>
      <c r="BW33" s="229">
        <v>0.80059999999999998</v>
      </c>
      <c r="BX33" s="230">
        <v>75736500</v>
      </c>
      <c r="BY33" s="230">
        <v>75707625</v>
      </c>
      <c r="BZ33" s="230">
        <v>28875</v>
      </c>
      <c r="CA33" s="229">
        <v>4.0000000000000002E-4</v>
      </c>
      <c r="CB33" s="230">
        <v>73381875</v>
      </c>
      <c r="CC33" s="230">
        <v>73458000</v>
      </c>
      <c r="CD33" s="230">
        <v>-76125</v>
      </c>
      <c r="CE33" s="229">
        <v>-1E-3</v>
      </c>
      <c r="CF33" s="230">
        <v>1929375</v>
      </c>
      <c r="CG33" s="230">
        <v>1845375</v>
      </c>
      <c r="CH33" s="230">
        <v>84000</v>
      </c>
      <c r="CI33" s="229">
        <v>4.5499999999999999E-2</v>
      </c>
      <c r="CJ33" s="230">
        <v>425250</v>
      </c>
      <c r="CK33" s="230">
        <v>404250</v>
      </c>
      <c r="CL33" s="230">
        <v>21000</v>
      </c>
      <c r="CM33" s="229">
        <v>5.1900000000000002E-2</v>
      </c>
      <c r="CN33" s="230">
        <v>37432500</v>
      </c>
      <c r="CO33" s="230">
        <v>35805000</v>
      </c>
      <c r="CP33" s="230">
        <v>1627500</v>
      </c>
      <c r="CQ33" s="229">
        <v>4.5499999999999999E-2</v>
      </c>
      <c r="CR33" s="230">
        <v>26005875</v>
      </c>
      <c r="CS33" s="230">
        <v>24299625</v>
      </c>
      <c r="CT33" s="230">
        <v>1706250</v>
      </c>
      <c r="CU33" s="229">
        <v>7.0199999999999999E-2</v>
      </c>
      <c r="CV33" s="230">
        <v>139174875</v>
      </c>
      <c r="CW33" s="230">
        <v>135812250</v>
      </c>
      <c r="CX33" s="230">
        <v>3362625</v>
      </c>
      <c r="CY33" s="229">
        <v>2.4799999999999999E-2</v>
      </c>
      <c r="CZ33" s="228">
        <v>34.57</v>
      </c>
      <c r="DA33" s="228">
        <v>32.46</v>
      </c>
      <c r="DB33" s="228">
        <v>2.11</v>
      </c>
      <c r="DC33" s="228">
        <v>2.11</v>
      </c>
      <c r="DD33" s="228">
        <v>43.39</v>
      </c>
      <c r="DE33" s="228">
        <v>43.41</v>
      </c>
      <c r="DF33" s="228">
        <v>-8.82</v>
      </c>
      <c r="DG33" s="228">
        <v>-0.02</v>
      </c>
      <c r="DH33" s="228">
        <v>34.53</v>
      </c>
      <c r="DI33" s="228">
        <v>32.28</v>
      </c>
      <c r="DJ33" s="228">
        <v>2.25</v>
      </c>
      <c r="DK33" s="228">
        <v>2.25</v>
      </c>
      <c r="DL33" s="228">
        <v>34.72</v>
      </c>
      <c r="DM33" s="228">
        <v>32.840000000000003</v>
      </c>
      <c r="DN33" s="228">
        <v>1.88</v>
      </c>
      <c r="DO33" s="228">
        <v>1.88</v>
      </c>
      <c r="DP33" s="228">
        <v>0.69</v>
      </c>
      <c r="DQ33" s="228">
        <v>0.68</v>
      </c>
      <c r="DR33" s="228">
        <v>0.01</v>
      </c>
      <c r="DS33" s="229">
        <v>1.47E-2</v>
      </c>
      <c r="DT33" s="228">
        <v>300</v>
      </c>
      <c r="DU33" s="228">
        <v>280</v>
      </c>
      <c r="DV33" s="228">
        <v>0.27</v>
      </c>
      <c r="DW33" s="228">
        <v>0.49</v>
      </c>
      <c r="DX33" s="228">
        <v>-0.22</v>
      </c>
      <c r="DY33" s="229">
        <v>-0.44900000000000001</v>
      </c>
      <c r="DZ33" s="229">
        <v>3.1099999999999999E-2</v>
      </c>
      <c r="EA33" s="230">
        <v>2249625</v>
      </c>
      <c r="EB33" s="229">
        <v>6.1999999999999998E-3</v>
      </c>
      <c r="EC33" s="229">
        <v>3.1099999999999999E-2</v>
      </c>
      <c r="ED33" s="228">
        <v>1.57</v>
      </c>
      <c r="EE33" s="229">
        <v>5.1999999999999998E-3</v>
      </c>
      <c r="EF33" s="230">
        <v>4975021</v>
      </c>
      <c r="EG33" s="230">
        <v>2992221</v>
      </c>
      <c r="EH33" s="229">
        <v>0.66269999999999996</v>
      </c>
      <c r="EI33" s="229">
        <v>0.36109999999999998</v>
      </c>
      <c r="EJ33" s="231">
        <v>426707.88</v>
      </c>
      <c r="EK33" s="231">
        <v>109395.55</v>
      </c>
      <c r="EL33" s="231">
        <v>86458.5</v>
      </c>
      <c r="EM33" s="231">
        <v>9461</v>
      </c>
      <c r="EN33" s="231">
        <v>622561.93000000005</v>
      </c>
      <c r="EO33" s="231">
        <v>366326.49</v>
      </c>
      <c r="EP33" s="231">
        <v>256235.44</v>
      </c>
      <c r="EQ33" s="229">
        <v>0.69950000000000001</v>
      </c>
      <c r="ER33" s="231">
        <v>114648</v>
      </c>
      <c r="ES33" s="231">
        <v>73432</v>
      </c>
      <c r="ET33" s="231">
        <v>230860</v>
      </c>
      <c r="EU33" s="231">
        <v>192361942</v>
      </c>
      <c r="EV33" s="231">
        <v>418939</v>
      </c>
      <c r="EW33" s="231">
        <v>403162</v>
      </c>
      <c r="EX33" s="231">
        <v>15777</v>
      </c>
      <c r="EY33" s="229">
        <v>3.9100000000000003E-2</v>
      </c>
      <c r="EZ33" s="229">
        <v>0.72350000000000003</v>
      </c>
      <c r="FA33" s="227" t="s">
        <v>555</v>
      </c>
      <c r="FB33" s="161">
        <f t="shared" si="0"/>
        <v>2354625</v>
      </c>
    </row>
    <row r="34" spans="1:158" ht="17.25" hidden="1" thickBot="1" x14ac:dyDescent="0.3">
      <c r="A34" s="226">
        <v>46029</v>
      </c>
      <c r="B34" s="227" t="s">
        <v>170</v>
      </c>
      <c r="C34" s="227" t="s">
        <v>191</v>
      </c>
      <c r="D34" s="228">
        <v>2500</v>
      </c>
      <c r="E34" s="228">
        <v>388.95</v>
      </c>
      <c r="F34" s="228">
        <v>387.1</v>
      </c>
      <c r="G34" s="228">
        <v>1.85</v>
      </c>
      <c r="H34" s="229">
        <v>4.7999999999999996E-3</v>
      </c>
      <c r="I34" s="228">
        <v>387.05</v>
      </c>
      <c r="J34" s="228">
        <v>385.15</v>
      </c>
      <c r="K34" s="228">
        <v>1.9</v>
      </c>
      <c r="L34" s="229">
        <v>4.8999999999999998E-3</v>
      </c>
      <c r="M34" s="228">
        <v>388.95</v>
      </c>
      <c r="N34" s="228">
        <v>387.1</v>
      </c>
      <c r="O34" s="228">
        <v>1.85</v>
      </c>
      <c r="P34" s="229">
        <v>4.7999999999999996E-3</v>
      </c>
      <c r="Q34" s="228">
        <v>391.1</v>
      </c>
      <c r="R34" s="228">
        <v>389.45</v>
      </c>
      <c r="S34" s="228">
        <v>1.65</v>
      </c>
      <c r="T34" s="229">
        <v>4.1999999999999997E-3</v>
      </c>
      <c r="U34" s="228">
        <v>393.65</v>
      </c>
      <c r="V34" s="228">
        <v>391.7</v>
      </c>
      <c r="W34" s="228">
        <v>1.95</v>
      </c>
      <c r="X34" s="229">
        <v>5.0000000000000001E-3</v>
      </c>
      <c r="Y34" s="228">
        <v>1.9</v>
      </c>
      <c r="Z34" s="228">
        <v>1.95</v>
      </c>
      <c r="AA34" s="228">
        <v>-0.05</v>
      </c>
      <c r="AB34" s="229">
        <v>4.8999999999999998E-3</v>
      </c>
      <c r="AC34" s="228">
        <v>1.9</v>
      </c>
      <c r="AD34" s="228">
        <v>1.95</v>
      </c>
      <c r="AE34" s="228">
        <v>-0.05</v>
      </c>
      <c r="AF34" s="229">
        <v>4.8999999999999998E-3</v>
      </c>
      <c r="AG34" s="228">
        <v>4.05</v>
      </c>
      <c r="AH34" s="228">
        <v>4.3</v>
      </c>
      <c r="AI34" s="228">
        <v>-0.25</v>
      </c>
      <c r="AJ34" s="229">
        <v>1.0500000000000001E-2</v>
      </c>
      <c r="AK34" s="228">
        <v>6.6</v>
      </c>
      <c r="AL34" s="228">
        <v>6.55</v>
      </c>
      <c r="AM34" s="228">
        <v>0.05</v>
      </c>
      <c r="AN34" s="229">
        <v>1.7100000000000001E-2</v>
      </c>
      <c r="AO34" s="228">
        <v>391.47</v>
      </c>
      <c r="AP34" s="228">
        <v>392.96</v>
      </c>
      <c r="AQ34" s="228">
        <v>0</v>
      </c>
      <c r="AR34" s="230">
        <v>10620000</v>
      </c>
      <c r="AS34" s="230">
        <v>8122500</v>
      </c>
      <c r="AT34" s="230">
        <v>2497500</v>
      </c>
      <c r="AU34" s="229">
        <v>0.3075</v>
      </c>
      <c r="AV34" s="230">
        <v>9685000</v>
      </c>
      <c r="AW34" s="230">
        <v>7400000</v>
      </c>
      <c r="AX34" s="230">
        <v>2285000</v>
      </c>
      <c r="AY34" s="229">
        <v>0.30880000000000002</v>
      </c>
      <c r="AZ34" s="230">
        <v>882500</v>
      </c>
      <c r="BA34" s="230">
        <v>670000</v>
      </c>
      <c r="BB34" s="230">
        <v>212500</v>
      </c>
      <c r="BC34" s="229">
        <v>0.31719999999999998</v>
      </c>
      <c r="BD34" s="230">
        <v>52500</v>
      </c>
      <c r="BE34" s="230">
        <v>52500</v>
      </c>
      <c r="BF34" s="228">
        <v>0</v>
      </c>
      <c r="BG34" s="229">
        <v>0</v>
      </c>
      <c r="BH34" s="230">
        <v>39320000</v>
      </c>
      <c r="BI34" s="230">
        <v>21407500</v>
      </c>
      <c r="BJ34" s="230">
        <v>17912500</v>
      </c>
      <c r="BK34" s="229">
        <v>0.8367</v>
      </c>
      <c r="BL34" s="230">
        <v>10637500</v>
      </c>
      <c r="BM34" s="230">
        <v>10532500</v>
      </c>
      <c r="BN34" s="230">
        <v>105000</v>
      </c>
      <c r="BO34" s="229">
        <v>0.01</v>
      </c>
      <c r="BP34" s="230">
        <v>60577500</v>
      </c>
      <c r="BQ34" s="230">
        <v>40062500</v>
      </c>
      <c r="BR34" s="230">
        <v>20515000</v>
      </c>
      <c r="BS34" s="229">
        <v>0.5121</v>
      </c>
      <c r="BT34" s="230">
        <v>4903850</v>
      </c>
      <c r="BU34" s="230">
        <v>1827897</v>
      </c>
      <c r="BV34" s="230">
        <v>3075953</v>
      </c>
      <c r="BW34" s="229">
        <v>1.6828000000000001</v>
      </c>
      <c r="BX34" s="230">
        <v>47197500</v>
      </c>
      <c r="BY34" s="230">
        <v>45180000</v>
      </c>
      <c r="BZ34" s="230">
        <v>2017500</v>
      </c>
      <c r="CA34" s="229">
        <v>4.4699999999999997E-2</v>
      </c>
      <c r="CB34" s="230">
        <v>45630000</v>
      </c>
      <c r="CC34" s="230">
        <v>44027500</v>
      </c>
      <c r="CD34" s="230">
        <v>1602500</v>
      </c>
      <c r="CE34" s="229">
        <v>3.6400000000000002E-2</v>
      </c>
      <c r="CF34" s="230">
        <v>1467500</v>
      </c>
      <c r="CG34" s="230">
        <v>1065000</v>
      </c>
      <c r="CH34" s="230">
        <v>402500</v>
      </c>
      <c r="CI34" s="229">
        <v>0.37790000000000001</v>
      </c>
      <c r="CJ34" s="230">
        <v>100000</v>
      </c>
      <c r="CK34" s="230">
        <v>87500</v>
      </c>
      <c r="CL34" s="230">
        <v>12500</v>
      </c>
      <c r="CM34" s="229">
        <v>0.1429</v>
      </c>
      <c r="CN34" s="230">
        <v>19415000</v>
      </c>
      <c r="CO34" s="230">
        <v>16767500</v>
      </c>
      <c r="CP34" s="230">
        <v>2647500</v>
      </c>
      <c r="CQ34" s="229">
        <v>0.15790000000000001</v>
      </c>
      <c r="CR34" s="230">
        <v>10542500</v>
      </c>
      <c r="CS34" s="230">
        <v>9427500</v>
      </c>
      <c r="CT34" s="230">
        <v>1115000</v>
      </c>
      <c r="CU34" s="229">
        <v>0.1183</v>
      </c>
      <c r="CV34" s="230">
        <v>77155000</v>
      </c>
      <c r="CW34" s="230">
        <v>71375000</v>
      </c>
      <c r="CX34" s="230">
        <v>5780000</v>
      </c>
      <c r="CY34" s="229">
        <v>8.1000000000000003E-2</v>
      </c>
      <c r="CZ34" s="228">
        <v>28.62</v>
      </c>
      <c r="DA34" s="228">
        <v>26.65</v>
      </c>
      <c r="DB34" s="228">
        <v>1.97</v>
      </c>
      <c r="DC34" s="228">
        <v>1.97</v>
      </c>
      <c r="DD34" s="228">
        <v>37.6</v>
      </c>
      <c r="DE34" s="228">
        <v>37.69</v>
      </c>
      <c r="DF34" s="228">
        <v>-8.98</v>
      </c>
      <c r="DG34" s="228">
        <v>-0.09</v>
      </c>
      <c r="DH34" s="228">
        <v>28.88</v>
      </c>
      <c r="DI34" s="228">
        <v>26.88</v>
      </c>
      <c r="DJ34" s="228">
        <v>2</v>
      </c>
      <c r="DK34" s="228">
        <v>2</v>
      </c>
      <c r="DL34" s="228">
        <v>27.64</v>
      </c>
      <c r="DM34" s="228">
        <v>26.2</v>
      </c>
      <c r="DN34" s="228">
        <v>1.44</v>
      </c>
      <c r="DO34" s="228">
        <v>1.44</v>
      </c>
      <c r="DP34" s="228">
        <v>0.54</v>
      </c>
      <c r="DQ34" s="228">
        <v>0.56000000000000005</v>
      </c>
      <c r="DR34" s="228">
        <v>-0.02</v>
      </c>
      <c r="DS34" s="229">
        <v>-3.5700000000000003E-2</v>
      </c>
      <c r="DT34" s="228">
        <v>400</v>
      </c>
      <c r="DU34" s="228">
        <v>390</v>
      </c>
      <c r="DV34" s="228">
        <v>0.27</v>
      </c>
      <c r="DW34" s="228">
        <v>0.49</v>
      </c>
      <c r="DX34" s="228">
        <v>-0.22</v>
      </c>
      <c r="DY34" s="229">
        <v>-0.44900000000000001</v>
      </c>
      <c r="DZ34" s="229">
        <v>3.32E-2</v>
      </c>
      <c r="EA34" s="230">
        <v>1152500</v>
      </c>
      <c r="EB34" s="229">
        <v>5.4999999999999997E-3</v>
      </c>
      <c r="EC34" s="229">
        <v>3.32E-2</v>
      </c>
      <c r="ED34" s="228">
        <v>1.49</v>
      </c>
      <c r="EE34" s="229">
        <v>3.8E-3</v>
      </c>
      <c r="EF34" s="230">
        <v>2515806</v>
      </c>
      <c r="EG34" s="230">
        <v>758208</v>
      </c>
      <c r="EH34" s="229">
        <v>2.3180999999999998</v>
      </c>
      <c r="EI34" s="229">
        <v>0.51300000000000001</v>
      </c>
      <c r="EJ34" s="231">
        <v>160900.98000000001</v>
      </c>
      <c r="EK34" s="231">
        <v>41236.03</v>
      </c>
      <c r="EL34" s="231">
        <v>41590.120000000003</v>
      </c>
      <c r="EM34" s="231">
        <v>2104</v>
      </c>
      <c r="EN34" s="231">
        <v>243727.13</v>
      </c>
      <c r="EO34" s="231">
        <v>160531.82999999999</v>
      </c>
      <c r="EP34" s="231">
        <v>83195.3</v>
      </c>
      <c r="EQ34" s="229">
        <v>0.51819999999999999</v>
      </c>
      <c r="ER34" s="231">
        <v>79738</v>
      </c>
      <c r="ES34" s="231">
        <v>40384</v>
      </c>
      <c r="ET34" s="231">
        <v>183611</v>
      </c>
      <c r="EU34" s="231">
        <v>91057772</v>
      </c>
      <c r="EV34" s="231">
        <v>303733</v>
      </c>
      <c r="EW34" s="231">
        <v>279926</v>
      </c>
      <c r="EX34" s="231">
        <v>23807</v>
      </c>
      <c r="EY34" s="229">
        <v>8.5000000000000006E-2</v>
      </c>
      <c r="EZ34" s="229">
        <v>0.84730000000000005</v>
      </c>
      <c r="FA34" s="227" t="s">
        <v>555</v>
      </c>
      <c r="FB34" s="161">
        <f t="shared" si="0"/>
        <v>1567500</v>
      </c>
    </row>
    <row r="35" spans="1:158" ht="17.25" hidden="1" thickBot="1" x14ac:dyDescent="0.3">
      <c r="A35" s="226">
        <v>46029</v>
      </c>
      <c r="B35" s="227" t="s">
        <v>184</v>
      </c>
      <c r="C35" s="227" t="s">
        <v>679</v>
      </c>
      <c r="D35" s="228">
        <v>325</v>
      </c>
      <c r="E35" s="231">
        <v>1845.8</v>
      </c>
      <c r="F35" s="231">
        <v>1826.3</v>
      </c>
      <c r="G35" s="228">
        <v>19.5</v>
      </c>
      <c r="H35" s="229">
        <v>1.0699999999999999E-2</v>
      </c>
      <c r="I35" s="231">
        <v>1842.7</v>
      </c>
      <c r="J35" s="231">
        <v>1823.6</v>
      </c>
      <c r="K35" s="228">
        <v>19.100000000000001</v>
      </c>
      <c r="L35" s="229">
        <v>1.0500000000000001E-2</v>
      </c>
      <c r="M35" s="231">
        <v>1845.8</v>
      </c>
      <c r="N35" s="231">
        <v>1826.3</v>
      </c>
      <c r="O35" s="228">
        <v>19.5</v>
      </c>
      <c r="P35" s="229">
        <v>1.0699999999999999E-2</v>
      </c>
      <c r="Q35" s="231">
        <v>1849.7</v>
      </c>
      <c r="R35" s="231">
        <v>1829.8</v>
      </c>
      <c r="S35" s="228">
        <v>19.899999999999999</v>
      </c>
      <c r="T35" s="229">
        <v>1.09E-2</v>
      </c>
      <c r="U35" s="228">
        <v>0</v>
      </c>
      <c r="V35" s="228">
        <v>0</v>
      </c>
      <c r="W35" s="228">
        <v>0</v>
      </c>
      <c r="X35" s="229">
        <v>0</v>
      </c>
      <c r="Y35" s="228">
        <v>3.1</v>
      </c>
      <c r="Z35" s="228">
        <v>2.7</v>
      </c>
      <c r="AA35" s="228">
        <v>0.4</v>
      </c>
      <c r="AB35" s="229">
        <v>1.6999999999999999E-3</v>
      </c>
      <c r="AC35" s="228">
        <v>3.1</v>
      </c>
      <c r="AD35" s="228">
        <v>2.7</v>
      </c>
      <c r="AE35" s="228">
        <v>0.4</v>
      </c>
      <c r="AF35" s="229">
        <v>1.6999999999999999E-3</v>
      </c>
      <c r="AG35" s="228">
        <v>7</v>
      </c>
      <c r="AH35" s="228">
        <v>6.2</v>
      </c>
      <c r="AI35" s="228">
        <v>0.8</v>
      </c>
      <c r="AJ35" s="229">
        <v>3.8E-3</v>
      </c>
      <c r="AK35" s="228">
        <v>0</v>
      </c>
      <c r="AL35" s="228">
        <v>0</v>
      </c>
      <c r="AM35" s="228">
        <v>0</v>
      </c>
      <c r="AN35" s="229">
        <v>0</v>
      </c>
      <c r="AO35" s="231">
        <v>1824.29</v>
      </c>
      <c r="AP35" s="231">
        <v>1823.86</v>
      </c>
      <c r="AQ35" s="228">
        <v>0</v>
      </c>
      <c r="AR35" s="230">
        <v>1087450</v>
      </c>
      <c r="AS35" s="230">
        <v>546975</v>
      </c>
      <c r="AT35" s="230">
        <v>540475</v>
      </c>
      <c r="AU35" s="229">
        <v>0.98809999999999998</v>
      </c>
      <c r="AV35" s="230">
        <v>822900</v>
      </c>
      <c r="AW35" s="230">
        <v>532675</v>
      </c>
      <c r="AX35" s="230">
        <v>290225</v>
      </c>
      <c r="AY35" s="229">
        <v>0.54479999999999995</v>
      </c>
      <c r="AZ35" s="230">
        <v>264550</v>
      </c>
      <c r="BA35" s="230">
        <v>14300</v>
      </c>
      <c r="BB35" s="230">
        <v>250250</v>
      </c>
      <c r="BC35" s="229">
        <v>17.5</v>
      </c>
      <c r="BD35" s="228">
        <v>0</v>
      </c>
      <c r="BE35" s="228">
        <v>0</v>
      </c>
      <c r="BF35" s="228">
        <v>0</v>
      </c>
      <c r="BG35" s="229">
        <v>0</v>
      </c>
      <c r="BH35" s="230">
        <v>1949350</v>
      </c>
      <c r="BI35" s="230">
        <v>451425</v>
      </c>
      <c r="BJ35" s="230">
        <v>1497925</v>
      </c>
      <c r="BK35" s="229">
        <v>3.3182</v>
      </c>
      <c r="BL35" s="230">
        <v>958425</v>
      </c>
      <c r="BM35" s="230">
        <v>246350</v>
      </c>
      <c r="BN35" s="230">
        <v>712075</v>
      </c>
      <c r="BO35" s="229">
        <v>2.8904999999999998</v>
      </c>
      <c r="BP35" s="230">
        <v>3995225</v>
      </c>
      <c r="BQ35" s="230">
        <v>1244750</v>
      </c>
      <c r="BR35" s="230">
        <v>2750475</v>
      </c>
      <c r="BS35" s="229">
        <v>2.2097000000000002</v>
      </c>
      <c r="BT35" s="230">
        <v>772287</v>
      </c>
      <c r="BU35" s="230">
        <v>402328</v>
      </c>
      <c r="BV35" s="230">
        <v>369959</v>
      </c>
      <c r="BW35" s="229">
        <v>0.91949999999999998</v>
      </c>
      <c r="BX35" s="230">
        <v>2485275</v>
      </c>
      <c r="BY35" s="230">
        <v>2483975</v>
      </c>
      <c r="BZ35" s="230">
        <v>1300</v>
      </c>
      <c r="CA35" s="229">
        <v>5.0000000000000001E-4</v>
      </c>
      <c r="CB35" s="230">
        <v>2373475</v>
      </c>
      <c r="CC35" s="230">
        <v>2457650</v>
      </c>
      <c r="CD35" s="230">
        <v>-84175</v>
      </c>
      <c r="CE35" s="229">
        <v>-3.4299999999999997E-2</v>
      </c>
      <c r="CF35" s="230">
        <v>111800</v>
      </c>
      <c r="CG35" s="230">
        <v>26325</v>
      </c>
      <c r="CH35" s="230">
        <v>85475</v>
      </c>
      <c r="CI35" s="229">
        <v>3.2469000000000001</v>
      </c>
      <c r="CJ35" s="228">
        <v>0</v>
      </c>
      <c r="CK35" s="228">
        <v>0</v>
      </c>
      <c r="CL35" s="228">
        <v>0</v>
      </c>
      <c r="CM35" s="229">
        <v>0</v>
      </c>
      <c r="CN35" s="230">
        <v>607425</v>
      </c>
      <c r="CO35" s="230">
        <v>471250</v>
      </c>
      <c r="CP35" s="230">
        <v>136175</v>
      </c>
      <c r="CQ35" s="229">
        <v>0.28899999999999998</v>
      </c>
      <c r="CR35" s="230">
        <v>460850</v>
      </c>
      <c r="CS35" s="230">
        <v>365300</v>
      </c>
      <c r="CT35" s="230">
        <v>95550</v>
      </c>
      <c r="CU35" s="229">
        <v>0.2616</v>
      </c>
      <c r="CV35" s="230">
        <v>3553550</v>
      </c>
      <c r="CW35" s="230">
        <v>3320525</v>
      </c>
      <c r="CX35" s="230">
        <v>233025</v>
      </c>
      <c r="CY35" s="229">
        <v>7.0199999999999999E-2</v>
      </c>
      <c r="CZ35" s="228">
        <v>24.58</v>
      </c>
      <c r="DA35" s="228">
        <v>25.13</v>
      </c>
      <c r="DB35" s="228">
        <v>-0.55000000000000004</v>
      </c>
      <c r="DC35" s="228">
        <v>-0.55000000000000004</v>
      </c>
      <c r="DD35" s="228">
        <v>39.51</v>
      </c>
      <c r="DE35" s="228">
        <v>39.58</v>
      </c>
      <c r="DF35" s="228">
        <v>-14.93</v>
      </c>
      <c r="DG35" s="228">
        <v>-7.0000000000000007E-2</v>
      </c>
      <c r="DH35" s="228">
        <v>24.52</v>
      </c>
      <c r="DI35" s="228">
        <v>25.16</v>
      </c>
      <c r="DJ35" s="228">
        <v>-0.64</v>
      </c>
      <c r="DK35" s="228">
        <v>-0.64</v>
      </c>
      <c r="DL35" s="228">
        <v>24.71</v>
      </c>
      <c r="DM35" s="228">
        <v>25.09</v>
      </c>
      <c r="DN35" s="228">
        <v>-0.38</v>
      </c>
      <c r="DO35" s="228">
        <v>-0.38</v>
      </c>
      <c r="DP35" s="228">
        <v>0.76</v>
      </c>
      <c r="DQ35" s="228">
        <v>0.78</v>
      </c>
      <c r="DR35" s="228">
        <v>-0.02</v>
      </c>
      <c r="DS35" s="229">
        <v>-2.5600000000000001E-2</v>
      </c>
      <c r="DT35" s="231">
        <v>1900</v>
      </c>
      <c r="DU35" s="231">
        <v>1700</v>
      </c>
      <c r="DV35" s="228">
        <v>0.49</v>
      </c>
      <c r="DW35" s="228">
        <v>0.55000000000000004</v>
      </c>
      <c r="DX35" s="228">
        <v>-0.06</v>
      </c>
      <c r="DY35" s="229">
        <v>-0.1091</v>
      </c>
      <c r="DZ35" s="229">
        <v>4.4999999999999998E-2</v>
      </c>
      <c r="EA35" s="230">
        <v>26325</v>
      </c>
      <c r="EB35" s="229">
        <v>2.0999999999999999E-3</v>
      </c>
      <c r="EC35" s="229">
        <v>4.4999999999999998E-2</v>
      </c>
      <c r="ED35" s="228">
        <v>-0.43</v>
      </c>
      <c r="EE35" s="229">
        <v>-2.0000000000000001E-4</v>
      </c>
      <c r="EF35" s="230">
        <v>379155</v>
      </c>
      <c r="EG35" s="230">
        <v>250978</v>
      </c>
      <c r="EH35" s="229">
        <v>0.51070000000000004</v>
      </c>
      <c r="EI35" s="229">
        <v>0.49099999999999999</v>
      </c>
      <c r="EJ35" s="231">
        <v>36753.51</v>
      </c>
      <c r="EK35" s="231">
        <v>17560.45</v>
      </c>
      <c r="EL35" s="231">
        <v>19837.150000000001</v>
      </c>
      <c r="EM35" s="231">
        <v>1994</v>
      </c>
      <c r="EN35" s="231">
        <v>74151.11</v>
      </c>
      <c r="EO35" s="231">
        <v>23076.27</v>
      </c>
      <c r="EP35" s="231">
        <v>51074.84</v>
      </c>
      <c r="EQ35" s="229">
        <v>2.2132999999999998</v>
      </c>
      <c r="ER35" s="231">
        <v>11402</v>
      </c>
      <c r="ES35" s="231">
        <v>8019</v>
      </c>
      <c r="ET35" s="231">
        <v>45878</v>
      </c>
      <c r="EU35" s="231">
        <v>17213286</v>
      </c>
      <c r="EV35" s="231">
        <v>65299</v>
      </c>
      <c r="EW35" s="231">
        <v>60496</v>
      </c>
      <c r="EX35" s="231">
        <v>4803</v>
      </c>
      <c r="EY35" s="229">
        <v>7.9399999999999998E-2</v>
      </c>
      <c r="EZ35" s="229">
        <v>0.2064</v>
      </c>
      <c r="FA35" s="227" t="s">
        <v>555</v>
      </c>
      <c r="FB35" s="161">
        <f t="shared" si="0"/>
        <v>111800</v>
      </c>
    </row>
    <row r="36" spans="1:158" ht="17.25" hidden="1" thickBot="1" x14ac:dyDescent="0.3">
      <c r="A36" s="226">
        <v>46029</v>
      </c>
      <c r="B36" s="227" t="s">
        <v>162</v>
      </c>
      <c r="C36" s="227" t="s">
        <v>192</v>
      </c>
      <c r="D36" s="228">
        <v>25</v>
      </c>
      <c r="E36" s="231">
        <v>39340</v>
      </c>
      <c r="F36" s="231">
        <v>39060</v>
      </c>
      <c r="G36" s="228">
        <v>280</v>
      </c>
      <c r="H36" s="229">
        <v>7.1999999999999998E-3</v>
      </c>
      <c r="I36" s="231">
        <v>39145</v>
      </c>
      <c r="J36" s="231">
        <v>38960</v>
      </c>
      <c r="K36" s="228">
        <v>185</v>
      </c>
      <c r="L36" s="229">
        <v>4.7000000000000002E-3</v>
      </c>
      <c r="M36" s="231">
        <v>39340</v>
      </c>
      <c r="N36" s="231">
        <v>39060</v>
      </c>
      <c r="O36" s="228">
        <v>280</v>
      </c>
      <c r="P36" s="229">
        <v>7.1999999999999998E-3</v>
      </c>
      <c r="Q36" s="231">
        <v>39410</v>
      </c>
      <c r="R36" s="231">
        <v>39135</v>
      </c>
      <c r="S36" s="228">
        <v>275</v>
      </c>
      <c r="T36" s="229">
        <v>7.0000000000000001E-3</v>
      </c>
      <c r="U36" s="231">
        <v>39530</v>
      </c>
      <c r="V36" s="231">
        <v>39300</v>
      </c>
      <c r="W36" s="228">
        <v>230</v>
      </c>
      <c r="X36" s="229">
        <v>5.8999999999999999E-3</v>
      </c>
      <c r="Y36" s="228">
        <v>195</v>
      </c>
      <c r="Z36" s="228">
        <v>100</v>
      </c>
      <c r="AA36" s="228">
        <v>95</v>
      </c>
      <c r="AB36" s="229">
        <v>5.0000000000000001E-3</v>
      </c>
      <c r="AC36" s="228">
        <v>195</v>
      </c>
      <c r="AD36" s="228">
        <v>100</v>
      </c>
      <c r="AE36" s="228">
        <v>95</v>
      </c>
      <c r="AF36" s="229">
        <v>5.0000000000000001E-3</v>
      </c>
      <c r="AG36" s="228">
        <v>265</v>
      </c>
      <c r="AH36" s="228">
        <v>175</v>
      </c>
      <c r="AI36" s="228">
        <v>90</v>
      </c>
      <c r="AJ36" s="229">
        <v>6.7999999999999996E-3</v>
      </c>
      <c r="AK36" s="228">
        <v>385</v>
      </c>
      <c r="AL36" s="228">
        <v>340</v>
      </c>
      <c r="AM36" s="228">
        <v>45</v>
      </c>
      <c r="AN36" s="229">
        <v>9.7999999999999997E-3</v>
      </c>
      <c r="AO36" s="231">
        <v>38936.54</v>
      </c>
      <c r="AP36" s="231">
        <v>38959.589999999997</v>
      </c>
      <c r="AQ36" s="228">
        <v>0</v>
      </c>
      <c r="AR36" s="230">
        <v>64275</v>
      </c>
      <c r="AS36" s="230">
        <v>46925</v>
      </c>
      <c r="AT36" s="230">
        <v>17350</v>
      </c>
      <c r="AU36" s="229">
        <v>0.36969999999999997</v>
      </c>
      <c r="AV36" s="230">
        <v>61725</v>
      </c>
      <c r="AW36" s="230">
        <v>44400</v>
      </c>
      <c r="AX36" s="230">
        <v>17325</v>
      </c>
      <c r="AY36" s="229">
        <v>0.39019999999999999</v>
      </c>
      <c r="AZ36" s="230">
        <v>2450</v>
      </c>
      <c r="BA36" s="230">
        <v>2000</v>
      </c>
      <c r="BB36" s="228">
        <v>450</v>
      </c>
      <c r="BC36" s="229">
        <v>0.22500000000000001</v>
      </c>
      <c r="BD36" s="228">
        <v>100</v>
      </c>
      <c r="BE36" s="228">
        <v>525</v>
      </c>
      <c r="BF36" s="228">
        <v>-425</v>
      </c>
      <c r="BG36" s="229">
        <v>-0.8095</v>
      </c>
      <c r="BH36" s="230">
        <v>571750</v>
      </c>
      <c r="BI36" s="230">
        <v>375550</v>
      </c>
      <c r="BJ36" s="230">
        <v>196200</v>
      </c>
      <c r="BK36" s="229">
        <v>0.52239999999999998</v>
      </c>
      <c r="BL36" s="230">
        <v>505975</v>
      </c>
      <c r="BM36" s="230">
        <v>199525</v>
      </c>
      <c r="BN36" s="230">
        <v>306450</v>
      </c>
      <c r="BO36" s="229">
        <v>1.5359</v>
      </c>
      <c r="BP36" s="230">
        <v>1142000</v>
      </c>
      <c r="BQ36" s="230">
        <v>622000</v>
      </c>
      <c r="BR36" s="230">
        <v>520000</v>
      </c>
      <c r="BS36" s="229">
        <v>0.83599999999999997</v>
      </c>
      <c r="BT36" s="230">
        <v>40601</v>
      </c>
      <c r="BU36" s="230">
        <v>33569</v>
      </c>
      <c r="BV36" s="230">
        <v>7032</v>
      </c>
      <c r="BW36" s="229">
        <v>0.20949999999999999</v>
      </c>
      <c r="BX36" s="230">
        <v>197500</v>
      </c>
      <c r="BY36" s="230">
        <v>191175</v>
      </c>
      <c r="BZ36" s="230">
        <v>6325</v>
      </c>
      <c r="CA36" s="229">
        <v>3.3099999999999997E-2</v>
      </c>
      <c r="CB36" s="230">
        <v>192925</v>
      </c>
      <c r="CC36" s="230">
        <v>187000</v>
      </c>
      <c r="CD36" s="230">
        <v>5925</v>
      </c>
      <c r="CE36" s="229">
        <v>3.1699999999999999E-2</v>
      </c>
      <c r="CF36" s="230">
        <v>4025</v>
      </c>
      <c r="CG36" s="230">
        <v>3650</v>
      </c>
      <c r="CH36" s="228">
        <v>375</v>
      </c>
      <c r="CI36" s="229">
        <v>0.1027</v>
      </c>
      <c r="CJ36" s="228">
        <v>550</v>
      </c>
      <c r="CK36" s="228">
        <v>525</v>
      </c>
      <c r="CL36" s="228">
        <v>25</v>
      </c>
      <c r="CM36" s="229">
        <v>4.7600000000000003E-2</v>
      </c>
      <c r="CN36" s="230">
        <v>243175</v>
      </c>
      <c r="CO36" s="230">
        <v>245300</v>
      </c>
      <c r="CP36" s="230">
        <v>-2125</v>
      </c>
      <c r="CQ36" s="229">
        <v>-8.6999999999999994E-3</v>
      </c>
      <c r="CR36" s="230">
        <v>175175</v>
      </c>
      <c r="CS36" s="230">
        <v>183850</v>
      </c>
      <c r="CT36" s="230">
        <v>-8675</v>
      </c>
      <c r="CU36" s="229">
        <v>-4.7199999999999999E-2</v>
      </c>
      <c r="CV36" s="230">
        <v>615850</v>
      </c>
      <c r="CW36" s="230">
        <v>620325</v>
      </c>
      <c r="CX36" s="230">
        <v>-4475</v>
      </c>
      <c r="CY36" s="229">
        <v>-7.1999999999999998E-3</v>
      </c>
      <c r="CZ36" s="228">
        <v>26.73</v>
      </c>
      <c r="DA36" s="228">
        <v>26.51</v>
      </c>
      <c r="DB36" s="228">
        <v>0.22</v>
      </c>
      <c r="DC36" s="228">
        <v>0.22</v>
      </c>
      <c r="DD36" s="228">
        <v>29.22</v>
      </c>
      <c r="DE36" s="228">
        <v>29.28</v>
      </c>
      <c r="DF36" s="228">
        <v>-2.4900000000000002</v>
      </c>
      <c r="DG36" s="228">
        <v>-0.06</v>
      </c>
      <c r="DH36" s="228">
        <v>26.36</v>
      </c>
      <c r="DI36" s="228">
        <v>26.73</v>
      </c>
      <c r="DJ36" s="228">
        <v>-0.37</v>
      </c>
      <c r="DK36" s="228">
        <v>-0.37</v>
      </c>
      <c r="DL36" s="228">
        <v>27.15</v>
      </c>
      <c r="DM36" s="228">
        <v>26.11</v>
      </c>
      <c r="DN36" s="228">
        <v>1.04</v>
      </c>
      <c r="DO36" s="228">
        <v>1.04</v>
      </c>
      <c r="DP36" s="228">
        <v>0.72</v>
      </c>
      <c r="DQ36" s="228">
        <v>0.75</v>
      </c>
      <c r="DR36" s="228">
        <v>-0.03</v>
      </c>
      <c r="DS36" s="229">
        <v>-0.04</v>
      </c>
      <c r="DT36" s="231">
        <v>43000</v>
      </c>
      <c r="DU36" s="231">
        <v>35000</v>
      </c>
      <c r="DV36" s="228">
        <v>0.88</v>
      </c>
      <c r="DW36" s="228">
        <v>0.53</v>
      </c>
      <c r="DX36" s="228">
        <v>0.35</v>
      </c>
      <c r="DY36" s="229">
        <v>0.66039999999999999</v>
      </c>
      <c r="DZ36" s="229">
        <v>2.3199999999999998E-2</v>
      </c>
      <c r="EA36" s="230">
        <v>4175</v>
      </c>
      <c r="EB36" s="229">
        <v>1.8E-3</v>
      </c>
      <c r="EC36" s="229">
        <v>2.3199999999999998E-2</v>
      </c>
      <c r="ED36" s="228">
        <v>23.05</v>
      </c>
      <c r="EE36" s="229">
        <v>5.9999999999999995E-4</v>
      </c>
      <c r="EF36" s="230">
        <v>13154</v>
      </c>
      <c r="EG36" s="230">
        <v>14789</v>
      </c>
      <c r="EH36" s="229">
        <v>-0.1106</v>
      </c>
      <c r="EI36" s="229">
        <v>0.32400000000000001</v>
      </c>
      <c r="EJ36" s="231">
        <v>238697.66</v>
      </c>
      <c r="EK36" s="231">
        <v>186440.93</v>
      </c>
      <c r="EL36" s="231">
        <v>25027.52</v>
      </c>
      <c r="EM36" s="231">
        <v>3245</v>
      </c>
      <c r="EN36" s="231">
        <v>450166.11</v>
      </c>
      <c r="EO36" s="231">
        <v>250828.64</v>
      </c>
      <c r="EP36" s="231">
        <v>199337.47</v>
      </c>
      <c r="EQ36" s="229">
        <v>0.79469999999999996</v>
      </c>
      <c r="ER36" s="231">
        <v>100174</v>
      </c>
      <c r="ES36" s="231">
        <v>64043</v>
      </c>
      <c r="ET36" s="231">
        <v>77700</v>
      </c>
      <c r="EU36" s="231">
        <v>882048</v>
      </c>
      <c r="EV36" s="231">
        <v>241917</v>
      </c>
      <c r="EW36" s="231">
        <v>242949</v>
      </c>
      <c r="EX36" s="231">
        <v>-1032</v>
      </c>
      <c r="EY36" s="229">
        <v>-4.1999999999999997E-3</v>
      </c>
      <c r="EZ36" s="229">
        <v>0.69820000000000004</v>
      </c>
      <c r="FA36" s="227" t="s">
        <v>555</v>
      </c>
      <c r="FB36" s="161">
        <f t="shared" si="0"/>
        <v>4575</v>
      </c>
    </row>
    <row r="37" spans="1:158" ht="17.25" hidden="1" thickBot="1" x14ac:dyDescent="0.3">
      <c r="A37" s="226">
        <v>46029</v>
      </c>
      <c r="B37" s="227" t="s">
        <v>193</v>
      </c>
      <c r="C37" s="227" t="s">
        <v>194</v>
      </c>
      <c r="D37" s="228">
        <v>1975</v>
      </c>
      <c r="E37" s="228">
        <v>369</v>
      </c>
      <c r="F37" s="228">
        <v>372.2</v>
      </c>
      <c r="G37" s="228">
        <v>-3.2</v>
      </c>
      <c r="H37" s="229">
        <v>-8.6E-3</v>
      </c>
      <c r="I37" s="228">
        <v>368.2</v>
      </c>
      <c r="J37" s="228">
        <v>370.8</v>
      </c>
      <c r="K37" s="228">
        <v>-2.6</v>
      </c>
      <c r="L37" s="229">
        <v>-7.0000000000000001E-3</v>
      </c>
      <c r="M37" s="228">
        <v>369</v>
      </c>
      <c r="N37" s="228">
        <v>372.2</v>
      </c>
      <c r="O37" s="228">
        <v>-3.2</v>
      </c>
      <c r="P37" s="229">
        <v>-8.6E-3</v>
      </c>
      <c r="Q37" s="228">
        <v>369.6</v>
      </c>
      <c r="R37" s="228">
        <v>372.65</v>
      </c>
      <c r="S37" s="228">
        <v>-3.05</v>
      </c>
      <c r="T37" s="229">
        <v>-8.2000000000000007E-3</v>
      </c>
      <c r="U37" s="228">
        <v>370.4</v>
      </c>
      <c r="V37" s="228">
        <v>373.55</v>
      </c>
      <c r="W37" s="228">
        <v>-3.15</v>
      </c>
      <c r="X37" s="229">
        <v>-8.3999999999999995E-3</v>
      </c>
      <c r="Y37" s="228">
        <v>0.8</v>
      </c>
      <c r="Z37" s="228">
        <v>1.4</v>
      </c>
      <c r="AA37" s="228">
        <v>-0.6</v>
      </c>
      <c r="AB37" s="229">
        <v>2.2000000000000001E-3</v>
      </c>
      <c r="AC37" s="228">
        <v>0.8</v>
      </c>
      <c r="AD37" s="228">
        <v>1.4</v>
      </c>
      <c r="AE37" s="228">
        <v>-0.6</v>
      </c>
      <c r="AF37" s="229">
        <v>2.2000000000000001E-3</v>
      </c>
      <c r="AG37" s="228">
        <v>1.4</v>
      </c>
      <c r="AH37" s="228">
        <v>1.85</v>
      </c>
      <c r="AI37" s="228">
        <v>-0.45</v>
      </c>
      <c r="AJ37" s="229">
        <v>3.8E-3</v>
      </c>
      <c r="AK37" s="228">
        <v>2.2000000000000002</v>
      </c>
      <c r="AL37" s="228">
        <v>2.75</v>
      </c>
      <c r="AM37" s="228">
        <v>-0.55000000000000004</v>
      </c>
      <c r="AN37" s="229">
        <v>6.0000000000000001E-3</v>
      </c>
      <c r="AO37" s="228">
        <v>370.51</v>
      </c>
      <c r="AP37" s="228">
        <v>370.93</v>
      </c>
      <c r="AQ37" s="228">
        <v>0</v>
      </c>
      <c r="AR37" s="230">
        <v>3651775</v>
      </c>
      <c r="AS37" s="230">
        <v>10426025</v>
      </c>
      <c r="AT37" s="230">
        <v>-6774250</v>
      </c>
      <c r="AU37" s="229">
        <v>-0.64970000000000006</v>
      </c>
      <c r="AV37" s="230">
        <v>3375275</v>
      </c>
      <c r="AW37" s="230">
        <v>9426675</v>
      </c>
      <c r="AX37" s="230">
        <v>-6051400</v>
      </c>
      <c r="AY37" s="229">
        <v>-0.64190000000000003</v>
      </c>
      <c r="AZ37" s="230">
        <v>191575</v>
      </c>
      <c r="BA37" s="230">
        <v>874925</v>
      </c>
      <c r="BB37" s="230">
        <v>-683350</v>
      </c>
      <c r="BC37" s="229">
        <v>-0.78100000000000003</v>
      </c>
      <c r="BD37" s="230">
        <v>84925</v>
      </c>
      <c r="BE37" s="230">
        <v>124425</v>
      </c>
      <c r="BF37" s="230">
        <v>-39500</v>
      </c>
      <c r="BG37" s="229">
        <v>-0.3175</v>
      </c>
      <c r="BH37" s="230">
        <v>11297000</v>
      </c>
      <c r="BI37" s="230">
        <v>32372225</v>
      </c>
      <c r="BJ37" s="230">
        <v>-21075225</v>
      </c>
      <c r="BK37" s="229">
        <v>-0.65100000000000002</v>
      </c>
      <c r="BL37" s="230">
        <v>6521450</v>
      </c>
      <c r="BM37" s="230">
        <v>22817175</v>
      </c>
      <c r="BN37" s="230">
        <v>-16295725</v>
      </c>
      <c r="BO37" s="229">
        <v>-0.71419999999999995</v>
      </c>
      <c r="BP37" s="230">
        <v>21470225</v>
      </c>
      <c r="BQ37" s="230">
        <v>65615425</v>
      </c>
      <c r="BR37" s="230">
        <v>-44145200</v>
      </c>
      <c r="BS37" s="229">
        <v>-0.67279999999999995</v>
      </c>
      <c r="BT37" s="230">
        <v>6768964</v>
      </c>
      <c r="BU37" s="230">
        <v>7210284</v>
      </c>
      <c r="BV37" s="230">
        <v>-441320</v>
      </c>
      <c r="BW37" s="229">
        <v>-6.1199999999999997E-2</v>
      </c>
      <c r="BX37" s="230">
        <v>29763250</v>
      </c>
      <c r="BY37" s="230">
        <v>29597350</v>
      </c>
      <c r="BZ37" s="230">
        <v>165900</v>
      </c>
      <c r="CA37" s="229">
        <v>5.5999999999999999E-3</v>
      </c>
      <c r="CB37" s="230">
        <v>28118075</v>
      </c>
      <c r="CC37" s="230">
        <v>28054875</v>
      </c>
      <c r="CD37" s="230">
        <v>63200</v>
      </c>
      <c r="CE37" s="229">
        <v>2.3E-3</v>
      </c>
      <c r="CF37" s="230">
        <v>1451625</v>
      </c>
      <c r="CG37" s="230">
        <v>1402250</v>
      </c>
      <c r="CH37" s="230">
        <v>49375</v>
      </c>
      <c r="CI37" s="229">
        <v>3.5200000000000002E-2</v>
      </c>
      <c r="CJ37" s="230">
        <v>193550</v>
      </c>
      <c r="CK37" s="230">
        <v>140225</v>
      </c>
      <c r="CL37" s="230">
        <v>53325</v>
      </c>
      <c r="CM37" s="229">
        <v>0.38030000000000003</v>
      </c>
      <c r="CN37" s="230">
        <v>15626200</v>
      </c>
      <c r="CO37" s="230">
        <v>14553775</v>
      </c>
      <c r="CP37" s="230">
        <v>1072425</v>
      </c>
      <c r="CQ37" s="229">
        <v>7.3700000000000002E-2</v>
      </c>
      <c r="CR37" s="230">
        <v>9436550</v>
      </c>
      <c r="CS37" s="230">
        <v>8899350</v>
      </c>
      <c r="CT37" s="230">
        <v>537200</v>
      </c>
      <c r="CU37" s="229">
        <v>6.0400000000000002E-2</v>
      </c>
      <c r="CV37" s="230">
        <v>54826000</v>
      </c>
      <c r="CW37" s="230">
        <v>53050475</v>
      </c>
      <c r="CX37" s="230">
        <v>1775525</v>
      </c>
      <c r="CY37" s="229">
        <v>3.3500000000000002E-2</v>
      </c>
      <c r="CZ37" s="228">
        <v>28.18</v>
      </c>
      <c r="DA37" s="228">
        <v>28.11</v>
      </c>
      <c r="DB37" s="228">
        <v>7.0000000000000007E-2</v>
      </c>
      <c r="DC37" s="228">
        <v>7.0000000000000007E-2</v>
      </c>
      <c r="DD37" s="228">
        <v>32.159999999999997</v>
      </c>
      <c r="DE37" s="228">
        <v>32.22</v>
      </c>
      <c r="DF37" s="228">
        <v>-3.98</v>
      </c>
      <c r="DG37" s="228">
        <v>-0.06</v>
      </c>
      <c r="DH37" s="228">
        <v>28.36</v>
      </c>
      <c r="DI37" s="228">
        <v>27.96</v>
      </c>
      <c r="DJ37" s="228">
        <v>0.4</v>
      </c>
      <c r="DK37" s="228">
        <v>0.4</v>
      </c>
      <c r="DL37" s="228">
        <v>27.85</v>
      </c>
      <c r="DM37" s="228">
        <v>28.33</v>
      </c>
      <c r="DN37" s="228">
        <v>-0.48</v>
      </c>
      <c r="DO37" s="228">
        <v>-0.48</v>
      </c>
      <c r="DP37" s="228">
        <v>0.6</v>
      </c>
      <c r="DQ37" s="228">
        <v>0.61</v>
      </c>
      <c r="DR37" s="228">
        <v>-0.01</v>
      </c>
      <c r="DS37" s="229">
        <v>-1.6400000000000001E-2</v>
      </c>
      <c r="DT37" s="228">
        <v>380</v>
      </c>
      <c r="DU37" s="228">
        <v>330</v>
      </c>
      <c r="DV37" s="228">
        <v>0.57999999999999996</v>
      </c>
      <c r="DW37" s="228">
        <v>0.7</v>
      </c>
      <c r="DX37" s="228">
        <v>-0.12</v>
      </c>
      <c r="DY37" s="229">
        <v>-0.1714</v>
      </c>
      <c r="DZ37" s="229">
        <v>5.5300000000000002E-2</v>
      </c>
      <c r="EA37" s="230">
        <v>1542475</v>
      </c>
      <c r="EB37" s="229">
        <v>1.6000000000000001E-3</v>
      </c>
      <c r="EC37" s="229">
        <v>5.5300000000000002E-2</v>
      </c>
      <c r="ED37" s="228">
        <v>0.42</v>
      </c>
      <c r="EE37" s="229">
        <v>1.1000000000000001E-3</v>
      </c>
      <c r="EF37" s="230">
        <v>4198278</v>
      </c>
      <c r="EG37" s="230">
        <v>2773543</v>
      </c>
      <c r="EH37" s="229">
        <v>0.51370000000000005</v>
      </c>
      <c r="EI37" s="229">
        <v>0.62019999999999997</v>
      </c>
      <c r="EJ37" s="231">
        <v>43966.559999999998</v>
      </c>
      <c r="EK37" s="231">
        <v>24054.25</v>
      </c>
      <c r="EL37" s="231">
        <v>13531.46</v>
      </c>
      <c r="EM37" s="231">
        <v>4408</v>
      </c>
      <c r="EN37" s="231">
        <v>81552.27</v>
      </c>
      <c r="EO37" s="231">
        <v>249075.77</v>
      </c>
      <c r="EP37" s="231">
        <v>-167523.5</v>
      </c>
      <c r="EQ37" s="229">
        <v>-0.67259999999999998</v>
      </c>
      <c r="ER37" s="231">
        <v>60777</v>
      </c>
      <c r="ES37" s="231">
        <v>33941</v>
      </c>
      <c r="ET37" s="231">
        <v>109838</v>
      </c>
      <c r="EU37" s="231">
        <v>306020745</v>
      </c>
      <c r="EV37" s="231">
        <v>204555</v>
      </c>
      <c r="EW37" s="231">
        <v>198869</v>
      </c>
      <c r="EX37" s="231">
        <v>5686</v>
      </c>
      <c r="EY37" s="229">
        <v>2.86E-2</v>
      </c>
      <c r="EZ37" s="229">
        <v>0.1792</v>
      </c>
      <c r="FA37" s="227" t="s">
        <v>567</v>
      </c>
      <c r="FB37" s="161">
        <f t="shared" si="0"/>
        <v>1645175</v>
      </c>
    </row>
    <row r="38" spans="1:158" ht="17.25" hidden="1" thickBot="1" x14ac:dyDescent="0.3">
      <c r="A38" s="226">
        <v>46029</v>
      </c>
      <c r="B38" s="227" t="s">
        <v>168</v>
      </c>
      <c r="C38" s="227" t="s">
        <v>195</v>
      </c>
      <c r="D38" s="228">
        <v>125</v>
      </c>
      <c r="E38" s="231">
        <v>6199</v>
      </c>
      <c r="F38" s="231">
        <v>6161.5</v>
      </c>
      <c r="G38" s="228">
        <v>37.5</v>
      </c>
      <c r="H38" s="229">
        <v>6.1000000000000004E-3</v>
      </c>
      <c r="I38" s="231">
        <v>6185</v>
      </c>
      <c r="J38" s="231">
        <v>6129.5</v>
      </c>
      <c r="K38" s="228">
        <v>55.5</v>
      </c>
      <c r="L38" s="229">
        <v>9.1000000000000004E-3</v>
      </c>
      <c r="M38" s="231">
        <v>6199</v>
      </c>
      <c r="N38" s="231">
        <v>6161.5</v>
      </c>
      <c r="O38" s="228">
        <v>37.5</v>
      </c>
      <c r="P38" s="229">
        <v>6.1000000000000004E-3</v>
      </c>
      <c r="Q38" s="231">
        <v>6233</v>
      </c>
      <c r="R38" s="231">
        <v>6195.5</v>
      </c>
      <c r="S38" s="228">
        <v>37.5</v>
      </c>
      <c r="T38" s="229">
        <v>6.1000000000000004E-3</v>
      </c>
      <c r="U38" s="231">
        <v>6269</v>
      </c>
      <c r="V38" s="231">
        <v>6234</v>
      </c>
      <c r="W38" s="228">
        <v>35</v>
      </c>
      <c r="X38" s="229">
        <v>5.5999999999999999E-3</v>
      </c>
      <c r="Y38" s="228">
        <v>14</v>
      </c>
      <c r="Z38" s="228">
        <v>32</v>
      </c>
      <c r="AA38" s="228">
        <v>-18</v>
      </c>
      <c r="AB38" s="229">
        <v>2.3E-3</v>
      </c>
      <c r="AC38" s="228">
        <v>14</v>
      </c>
      <c r="AD38" s="228">
        <v>32</v>
      </c>
      <c r="AE38" s="228">
        <v>-18</v>
      </c>
      <c r="AF38" s="229">
        <v>2.3E-3</v>
      </c>
      <c r="AG38" s="228">
        <v>48</v>
      </c>
      <c r="AH38" s="228">
        <v>66</v>
      </c>
      <c r="AI38" s="228">
        <v>-18</v>
      </c>
      <c r="AJ38" s="229">
        <v>7.7999999999999996E-3</v>
      </c>
      <c r="AK38" s="228">
        <v>84</v>
      </c>
      <c r="AL38" s="228">
        <v>104.5</v>
      </c>
      <c r="AM38" s="228">
        <v>-20.5</v>
      </c>
      <c r="AN38" s="229">
        <v>1.3599999999999999E-2</v>
      </c>
      <c r="AO38" s="231">
        <v>6233.4</v>
      </c>
      <c r="AP38" s="231">
        <v>6271.45</v>
      </c>
      <c r="AQ38" s="228">
        <v>0</v>
      </c>
      <c r="AR38" s="230">
        <v>546875</v>
      </c>
      <c r="AS38" s="230">
        <v>800750</v>
      </c>
      <c r="AT38" s="230">
        <v>-253875</v>
      </c>
      <c r="AU38" s="229">
        <v>-0.317</v>
      </c>
      <c r="AV38" s="230">
        <v>527500</v>
      </c>
      <c r="AW38" s="230">
        <v>778500</v>
      </c>
      <c r="AX38" s="230">
        <v>-251000</v>
      </c>
      <c r="AY38" s="229">
        <v>-0.32240000000000002</v>
      </c>
      <c r="AZ38" s="230">
        <v>18250</v>
      </c>
      <c r="BA38" s="230">
        <v>20750</v>
      </c>
      <c r="BB38" s="230">
        <v>-2500</v>
      </c>
      <c r="BC38" s="229">
        <v>-0.1205</v>
      </c>
      <c r="BD38" s="230">
        <v>1125</v>
      </c>
      <c r="BE38" s="230">
        <v>1500</v>
      </c>
      <c r="BF38" s="228">
        <v>-375</v>
      </c>
      <c r="BG38" s="229">
        <v>-0.25</v>
      </c>
      <c r="BH38" s="230">
        <v>3049000</v>
      </c>
      <c r="BI38" s="230">
        <v>2503500</v>
      </c>
      <c r="BJ38" s="230">
        <v>545500</v>
      </c>
      <c r="BK38" s="229">
        <v>0.21790000000000001</v>
      </c>
      <c r="BL38" s="230">
        <v>1130000</v>
      </c>
      <c r="BM38" s="230">
        <v>911000</v>
      </c>
      <c r="BN38" s="230">
        <v>219000</v>
      </c>
      <c r="BO38" s="229">
        <v>0.2404</v>
      </c>
      <c r="BP38" s="230">
        <v>4725875</v>
      </c>
      <c r="BQ38" s="230">
        <v>4215250</v>
      </c>
      <c r="BR38" s="230">
        <v>510625</v>
      </c>
      <c r="BS38" s="229">
        <v>0.1211</v>
      </c>
      <c r="BT38" s="230">
        <v>444490</v>
      </c>
      <c r="BU38" s="230">
        <v>306371</v>
      </c>
      <c r="BV38" s="230">
        <v>138119</v>
      </c>
      <c r="BW38" s="229">
        <v>0.45079999999999998</v>
      </c>
      <c r="BX38" s="230">
        <v>3007625</v>
      </c>
      <c r="BY38" s="230">
        <v>3040500</v>
      </c>
      <c r="BZ38" s="230">
        <v>-32875</v>
      </c>
      <c r="CA38" s="229">
        <v>-1.0800000000000001E-2</v>
      </c>
      <c r="CB38" s="230">
        <v>2988875</v>
      </c>
      <c r="CC38" s="230">
        <v>3021125</v>
      </c>
      <c r="CD38" s="230">
        <v>-32250</v>
      </c>
      <c r="CE38" s="229">
        <v>-1.0699999999999999E-2</v>
      </c>
      <c r="CF38" s="230">
        <v>15875</v>
      </c>
      <c r="CG38" s="230">
        <v>17375</v>
      </c>
      <c r="CH38" s="230">
        <v>-1500</v>
      </c>
      <c r="CI38" s="229">
        <v>-8.6300000000000002E-2</v>
      </c>
      <c r="CJ38" s="230">
        <v>2875</v>
      </c>
      <c r="CK38" s="230">
        <v>2000</v>
      </c>
      <c r="CL38" s="228">
        <v>875</v>
      </c>
      <c r="CM38" s="229">
        <v>0.4375</v>
      </c>
      <c r="CN38" s="230">
        <v>768250</v>
      </c>
      <c r="CO38" s="230">
        <v>688375</v>
      </c>
      <c r="CP38" s="230">
        <v>79875</v>
      </c>
      <c r="CQ38" s="229">
        <v>0.11600000000000001</v>
      </c>
      <c r="CR38" s="230">
        <v>517875</v>
      </c>
      <c r="CS38" s="230">
        <v>438625</v>
      </c>
      <c r="CT38" s="230">
        <v>79250</v>
      </c>
      <c r="CU38" s="229">
        <v>0.1807</v>
      </c>
      <c r="CV38" s="230">
        <v>4293750</v>
      </c>
      <c r="CW38" s="230">
        <v>4167500</v>
      </c>
      <c r="CX38" s="230">
        <v>126250</v>
      </c>
      <c r="CY38" s="229">
        <v>3.0300000000000001E-2</v>
      </c>
      <c r="CZ38" s="228">
        <v>20.95</v>
      </c>
      <c r="DA38" s="228">
        <v>20.28</v>
      </c>
      <c r="DB38" s="228">
        <v>0.67</v>
      </c>
      <c r="DC38" s="228">
        <v>0.67</v>
      </c>
      <c r="DD38" s="228">
        <v>23.6</v>
      </c>
      <c r="DE38" s="228">
        <v>23.63</v>
      </c>
      <c r="DF38" s="228">
        <v>-2.65</v>
      </c>
      <c r="DG38" s="228">
        <v>-0.03</v>
      </c>
      <c r="DH38" s="228">
        <v>20.84</v>
      </c>
      <c r="DI38" s="228">
        <v>20.010000000000002</v>
      </c>
      <c r="DJ38" s="228">
        <v>0.83</v>
      </c>
      <c r="DK38" s="228">
        <v>0.83</v>
      </c>
      <c r="DL38" s="228">
        <v>21.27</v>
      </c>
      <c r="DM38" s="228">
        <v>21.02</v>
      </c>
      <c r="DN38" s="228">
        <v>0.25</v>
      </c>
      <c r="DO38" s="228">
        <v>0.25</v>
      </c>
      <c r="DP38" s="228">
        <v>0.67</v>
      </c>
      <c r="DQ38" s="228">
        <v>0.64</v>
      </c>
      <c r="DR38" s="228">
        <v>0.03</v>
      </c>
      <c r="DS38" s="229">
        <v>4.6899999999999997E-2</v>
      </c>
      <c r="DT38" s="231">
        <v>6300</v>
      </c>
      <c r="DU38" s="231">
        <v>6000</v>
      </c>
      <c r="DV38" s="228">
        <v>0.37</v>
      </c>
      <c r="DW38" s="228">
        <v>0.36</v>
      </c>
      <c r="DX38" s="228">
        <v>0.01</v>
      </c>
      <c r="DY38" s="229">
        <v>2.7799999999999998E-2</v>
      </c>
      <c r="DZ38" s="229">
        <v>6.1999999999999998E-3</v>
      </c>
      <c r="EA38" s="230">
        <v>19375</v>
      </c>
      <c r="EB38" s="229">
        <v>5.4999999999999997E-3</v>
      </c>
      <c r="EC38" s="229">
        <v>6.1999999999999998E-3</v>
      </c>
      <c r="ED38" s="228">
        <v>38.049999999999997</v>
      </c>
      <c r="EE38" s="229">
        <v>6.1000000000000004E-3</v>
      </c>
      <c r="EF38" s="230">
        <v>221403</v>
      </c>
      <c r="EG38" s="230">
        <v>159458</v>
      </c>
      <c r="EH38" s="229">
        <v>0.38850000000000001</v>
      </c>
      <c r="EI38" s="229">
        <v>0.49809999999999999</v>
      </c>
      <c r="EJ38" s="231">
        <v>196330.9</v>
      </c>
      <c r="EK38" s="231">
        <v>68957.429999999993</v>
      </c>
      <c r="EL38" s="231">
        <v>34096.65</v>
      </c>
      <c r="EM38" s="231">
        <v>3047</v>
      </c>
      <c r="EN38" s="231">
        <v>299384.98</v>
      </c>
      <c r="EO38" s="231">
        <v>260843.36</v>
      </c>
      <c r="EP38" s="231">
        <v>38541.620000000003</v>
      </c>
      <c r="EQ38" s="229">
        <v>0.14779999999999999</v>
      </c>
      <c r="ER38" s="231">
        <v>49042</v>
      </c>
      <c r="ES38" s="231">
        <v>30767</v>
      </c>
      <c r="ET38" s="231">
        <v>186450</v>
      </c>
      <c r="EU38" s="231">
        <v>16370935</v>
      </c>
      <c r="EV38" s="231">
        <v>266259</v>
      </c>
      <c r="EW38" s="231">
        <v>256857</v>
      </c>
      <c r="EX38" s="231">
        <v>9402</v>
      </c>
      <c r="EY38" s="229">
        <v>3.6600000000000001E-2</v>
      </c>
      <c r="EZ38" s="229">
        <v>0.26229999999999998</v>
      </c>
      <c r="FA38" s="227" t="s">
        <v>556</v>
      </c>
      <c r="FB38" s="161">
        <f t="shared" si="0"/>
        <v>18750</v>
      </c>
    </row>
    <row r="39" spans="1:158" ht="17.25" hidden="1" thickBot="1" x14ac:dyDescent="0.3">
      <c r="A39" s="226">
        <v>46029</v>
      </c>
      <c r="B39" s="227" t="s">
        <v>175</v>
      </c>
      <c r="C39" s="227" t="s">
        <v>584</v>
      </c>
      <c r="D39" s="228">
        <v>375</v>
      </c>
      <c r="E39" s="231">
        <v>2757.3</v>
      </c>
      <c r="F39" s="231">
        <v>2716.6</v>
      </c>
      <c r="G39" s="228">
        <v>40.700000000000003</v>
      </c>
      <c r="H39" s="229">
        <v>1.4999999999999999E-2</v>
      </c>
      <c r="I39" s="231">
        <v>2744.9</v>
      </c>
      <c r="J39" s="231">
        <v>2706.3</v>
      </c>
      <c r="K39" s="228">
        <v>38.6</v>
      </c>
      <c r="L39" s="229">
        <v>1.43E-2</v>
      </c>
      <c r="M39" s="231">
        <v>2757.3</v>
      </c>
      <c r="N39" s="231">
        <v>2716.6</v>
      </c>
      <c r="O39" s="228">
        <v>40.700000000000003</v>
      </c>
      <c r="P39" s="229">
        <v>1.4999999999999999E-2</v>
      </c>
      <c r="Q39" s="231">
        <v>2773.2</v>
      </c>
      <c r="R39" s="231">
        <v>2731.7</v>
      </c>
      <c r="S39" s="228">
        <v>41.5</v>
      </c>
      <c r="T39" s="229">
        <v>1.52E-2</v>
      </c>
      <c r="U39" s="231">
        <v>2789.2</v>
      </c>
      <c r="V39" s="231">
        <v>2745.2</v>
      </c>
      <c r="W39" s="228">
        <v>44</v>
      </c>
      <c r="X39" s="229">
        <v>1.6E-2</v>
      </c>
      <c r="Y39" s="228">
        <v>12.4</v>
      </c>
      <c r="Z39" s="228">
        <v>10.3</v>
      </c>
      <c r="AA39" s="228">
        <v>2.1</v>
      </c>
      <c r="AB39" s="229">
        <v>4.4999999999999997E-3</v>
      </c>
      <c r="AC39" s="228">
        <v>12.4</v>
      </c>
      <c r="AD39" s="228">
        <v>10.3</v>
      </c>
      <c r="AE39" s="228">
        <v>2.1</v>
      </c>
      <c r="AF39" s="229">
        <v>4.4999999999999997E-3</v>
      </c>
      <c r="AG39" s="228">
        <v>28.3</v>
      </c>
      <c r="AH39" s="228">
        <v>25.4</v>
      </c>
      <c r="AI39" s="228">
        <v>2.9</v>
      </c>
      <c r="AJ39" s="229">
        <v>1.03E-2</v>
      </c>
      <c r="AK39" s="228">
        <v>44.3</v>
      </c>
      <c r="AL39" s="228">
        <v>38.9</v>
      </c>
      <c r="AM39" s="228">
        <v>5.4</v>
      </c>
      <c r="AN39" s="229">
        <v>1.61E-2</v>
      </c>
      <c r="AO39" s="231">
        <v>2751.52</v>
      </c>
      <c r="AP39" s="231">
        <v>2769.25</v>
      </c>
      <c r="AQ39" s="228">
        <v>0</v>
      </c>
      <c r="AR39" s="230">
        <v>3044625</v>
      </c>
      <c r="AS39" s="230">
        <v>3052875</v>
      </c>
      <c r="AT39" s="230">
        <v>-8250</v>
      </c>
      <c r="AU39" s="229">
        <v>-2.7000000000000001E-3</v>
      </c>
      <c r="AV39" s="230">
        <v>2760000</v>
      </c>
      <c r="AW39" s="230">
        <v>2802375</v>
      </c>
      <c r="AX39" s="230">
        <v>-42375</v>
      </c>
      <c r="AY39" s="229">
        <v>-1.5100000000000001E-2</v>
      </c>
      <c r="AZ39" s="230">
        <v>207375</v>
      </c>
      <c r="BA39" s="230">
        <v>199500</v>
      </c>
      <c r="BB39" s="230">
        <v>7875</v>
      </c>
      <c r="BC39" s="229">
        <v>3.95E-2</v>
      </c>
      <c r="BD39" s="230">
        <v>77250</v>
      </c>
      <c r="BE39" s="230">
        <v>51000</v>
      </c>
      <c r="BF39" s="230">
        <v>26250</v>
      </c>
      <c r="BG39" s="229">
        <v>0.51470000000000005</v>
      </c>
      <c r="BH39" s="230">
        <v>13461000</v>
      </c>
      <c r="BI39" s="230">
        <v>12315750</v>
      </c>
      <c r="BJ39" s="230">
        <v>1145250</v>
      </c>
      <c r="BK39" s="229">
        <v>9.2999999999999999E-2</v>
      </c>
      <c r="BL39" s="230">
        <v>6898875</v>
      </c>
      <c r="BM39" s="230">
        <v>6322500</v>
      </c>
      <c r="BN39" s="230">
        <v>576375</v>
      </c>
      <c r="BO39" s="229">
        <v>9.1200000000000003E-2</v>
      </c>
      <c r="BP39" s="230">
        <v>23404500</v>
      </c>
      <c r="BQ39" s="230">
        <v>21691125</v>
      </c>
      <c r="BR39" s="230">
        <v>1713375</v>
      </c>
      <c r="BS39" s="229">
        <v>7.9000000000000001E-2</v>
      </c>
      <c r="BT39" s="230">
        <v>2801518</v>
      </c>
      <c r="BU39" s="230">
        <v>3112131</v>
      </c>
      <c r="BV39" s="230">
        <v>-310613</v>
      </c>
      <c r="BW39" s="229">
        <v>-9.98E-2</v>
      </c>
      <c r="BX39" s="230">
        <v>12354375</v>
      </c>
      <c r="BY39" s="230">
        <v>12427875</v>
      </c>
      <c r="BZ39" s="230">
        <v>-73500</v>
      </c>
      <c r="CA39" s="229">
        <v>-5.8999999999999999E-3</v>
      </c>
      <c r="CB39" s="230">
        <v>11785125</v>
      </c>
      <c r="CC39" s="230">
        <v>11863875</v>
      </c>
      <c r="CD39" s="230">
        <v>-78750</v>
      </c>
      <c r="CE39" s="229">
        <v>-6.6E-3</v>
      </c>
      <c r="CF39" s="230">
        <v>530625</v>
      </c>
      <c r="CG39" s="230">
        <v>519750</v>
      </c>
      <c r="CH39" s="230">
        <v>10875</v>
      </c>
      <c r="CI39" s="229">
        <v>2.0899999999999998E-2</v>
      </c>
      <c r="CJ39" s="230">
        <v>38625</v>
      </c>
      <c r="CK39" s="230">
        <v>44250</v>
      </c>
      <c r="CL39" s="230">
        <v>-5625</v>
      </c>
      <c r="CM39" s="229">
        <v>-0.12709999999999999</v>
      </c>
      <c r="CN39" s="230">
        <v>6314250</v>
      </c>
      <c r="CO39" s="230">
        <v>6840750</v>
      </c>
      <c r="CP39" s="230">
        <v>-526500</v>
      </c>
      <c r="CQ39" s="229">
        <v>-7.6999999999999999E-2</v>
      </c>
      <c r="CR39" s="230">
        <v>4798125</v>
      </c>
      <c r="CS39" s="230">
        <v>4786125</v>
      </c>
      <c r="CT39" s="230">
        <v>12000</v>
      </c>
      <c r="CU39" s="229">
        <v>2.5000000000000001E-3</v>
      </c>
      <c r="CV39" s="230">
        <v>23466750</v>
      </c>
      <c r="CW39" s="230">
        <v>24054750</v>
      </c>
      <c r="CX39" s="230">
        <v>-588000</v>
      </c>
      <c r="CY39" s="229">
        <v>-2.4400000000000002E-2</v>
      </c>
      <c r="CZ39" s="228">
        <v>36.04</v>
      </c>
      <c r="DA39" s="228">
        <v>37.020000000000003</v>
      </c>
      <c r="DB39" s="228">
        <v>-0.98</v>
      </c>
      <c r="DC39" s="228">
        <v>-0.98</v>
      </c>
      <c r="DD39" s="228">
        <v>59.08</v>
      </c>
      <c r="DE39" s="228">
        <v>59.2</v>
      </c>
      <c r="DF39" s="228">
        <v>-23.04</v>
      </c>
      <c r="DG39" s="228">
        <v>-0.12</v>
      </c>
      <c r="DH39" s="228">
        <v>35.64</v>
      </c>
      <c r="DI39" s="228">
        <v>36.67</v>
      </c>
      <c r="DJ39" s="228">
        <v>-1.03</v>
      </c>
      <c r="DK39" s="228">
        <v>-1.03</v>
      </c>
      <c r="DL39" s="228">
        <v>36.82</v>
      </c>
      <c r="DM39" s="228">
        <v>37.700000000000003</v>
      </c>
      <c r="DN39" s="228">
        <v>-0.88</v>
      </c>
      <c r="DO39" s="228">
        <v>-0.88</v>
      </c>
      <c r="DP39" s="228">
        <v>0.76</v>
      </c>
      <c r="DQ39" s="228">
        <v>0.7</v>
      </c>
      <c r="DR39" s="228">
        <v>0.06</v>
      </c>
      <c r="DS39" s="229">
        <v>8.5699999999999998E-2</v>
      </c>
      <c r="DT39" s="231">
        <v>3000</v>
      </c>
      <c r="DU39" s="231">
        <v>2500</v>
      </c>
      <c r="DV39" s="228">
        <v>0.51</v>
      </c>
      <c r="DW39" s="228">
        <v>0.51</v>
      </c>
      <c r="DX39" s="228">
        <v>0</v>
      </c>
      <c r="DY39" s="229">
        <v>0</v>
      </c>
      <c r="DZ39" s="229">
        <v>4.6100000000000002E-2</v>
      </c>
      <c r="EA39" s="230">
        <v>564000</v>
      </c>
      <c r="EB39" s="229">
        <v>5.7999999999999996E-3</v>
      </c>
      <c r="EC39" s="229">
        <v>4.6100000000000002E-2</v>
      </c>
      <c r="ED39" s="228">
        <v>17.73</v>
      </c>
      <c r="EE39" s="229">
        <v>6.4000000000000003E-3</v>
      </c>
      <c r="EF39" s="230">
        <v>930217</v>
      </c>
      <c r="EG39" s="230">
        <v>897676</v>
      </c>
      <c r="EH39" s="229">
        <v>3.6299999999999999E-2</v>
      </c>
      <c r="EI39" s="229">
        <v>0.33200000000000002</v>
      </c>
      <c r="EJ39" s="231">
        <v>389725.19</v>
      </c>
      <c r="EK39" s="231">
        <v>183232.91</v>
      </c>
      <c r="EL39" s="231">
        <v>83833.22</v>
      </c>
      <c r="EM39" s="231">
        <v>7114</v>
      </c>
      <c r="EN39" s="231">
        <v>656791.31999999995</v>
      </c>
      <c r="EO39" s="231">
        <v>603427.88</v>
      </c>
      <c r="EP39" s="231">
        <v>53363.44</v>
      </c>
      <c r="EQ39" s="229">
        <v>8.8400000000000006E-2</v>
      </c>
      <c r="ER39" s="231">
        <v>178937</v>
      </c>
      <c r="ES39" s="231">
        <v>122624</v>
      </c>
      <c r="ET39" s="231">
        <v>340744</v>
      </c>
      <c r="EU39" s="231">
        <v>61094861</v>
      </c>
      <c r="EV39" s="231">
        <v>642305</v>
      </c>
      <c r="EW39" s="231">
        <v>653066</v>
      </c>
      <c r="EX39" s="231">
        <v>-10761</v>
      </c>
      <c r="EY39" s="229">
        <v>-1.6500000000000001E-2</v>
      </c>
      <c r="EZ39" s="229">
        <v>0.3841</v>
      </c>
      <c r="FA39" s="227" t="s">
        <v>556</v>
      </c>
      <c r="FB39" s="161">
        <f t="shared" si="0"/>
        <v>569250</v>
      </c>
    </row>
    <row r="40" spans="1:158" ht="17.25" hidden="1" thickBot="1" x14ac:dyDescent="0.3">
      <c r="A40" s="226">
        <v>46029</v>
      </c>
      <c r="B40" s="227" t="s">
        <v>175</v>
      </c>
      <c r="C40" s="227" t="s">
        <v>611</v>
      </c>
      <c r="D40" s="228">
        <v>750</v>
      </c>
      <c r="E40" s="228">
        <v>757.95</v>
      </c>
      <c r="F40" s="228">
        <v>751.6</v>
      </c>
      <c r="G40" s="228">
        <v>6.35</v>
      </c>
      <c r="H40" s="229">
        <v>8.3999999999999995E-3</v>
      </c>
      <c r="I40" s="228">
        <v>756.8</v>
      </c>
      <c r="J40" s="228">
        <v>749.75</v>
      </c>
      <c r="K40" s="228">
        <v>7.05</v>
      </c>
      <c r="L40" s="229">
        <v>9.4000000000000004E-3</v>
      </c>
      <c r="M40" s="228">
        <v>757.95</v>
      </c>
      <c r="N40" s="228">
        <v>751.6</v>
      </c>
      <c r="O40" s="228">
        <v>6.35</v>
      </c>
      <c r="P40" s="229">
        <v>8.3999999999999995E-3</v>
      </c>
      <c r="Q40" s="228">
        <v>759.35</v>
      </c>
      <c r="R40" s="228">
        <v>752.1</v>
      </c>
      <c r="S40" s="228">
        <v>7.25</v>
      </c>
      <c r="T40" s="229">
        <v>9.5999999999999992E-3</v>
      </c>
      <c r="U40" s="228">
        <v>760</v>
      </c>
      <c r="V40" s="228">
        <v>749.05</v>
      </c>
      <c r="W40" s="228">
        <v>10.95</v>
      </c>
      <c r="X40" s="229">
        <v>1.46E-2</v>
      </c>
      <c r="Y40" s="228">
        <v>1.1499999999999999</v>
      </c>
      <c r="Z40" s="228">
        <v>1.85</v>
      </c>
      <c r="AA40" s="228">
        <v>-0.7</v>
      </c>
      <c r="AB40" s="229">
        <v>1.5E-3</v>
      </c>
      <c r="AC40" s="228">
        <v>1.1499999999999999</v>
      </c>
      <c r="AD40" s="228">
        <v>1.85</v>
      </c>
      <c r="AE40" s="228">
        <v>-0.7</v>
      </c>
      <c r="AF40" s="229">
        <v>1.5E-3</v>
      </c>
      <c r="AG40" s="228">
        <v>2.5499999999999998</v>
      </c>
      <c r="AH40" s="228">
        <v>2.35</v>
      </c>
      <c r="AI40" s="228">
        <v>0.2</v>
      </c>
      <c r="AJ40" s="229">
        <v>3.3999999999999998E-3</v>
      </c>
      <c r="AK40" s="228">
        <v>3.2</v>
      </c>
      <c r="AL40" s="228">
        <v>-0.7</v>
      </c>
      <c r="AM40" s="228">
        <v>3.9</v>
      </c>
      <c r="AN40" s="229">
        <v>4.1999999999999997E-3</v>
      </c>
      <c r="AO40" s="228">
        <v>758.42</v>
      </c>
      <c r="AP40" s="228">
        <v>759.92</v>
      </c>
      <c r="AQ40" s="228">
        <v>0</v>
      </c>
      <c r="AR40" s="230">
        <v>1338750</v>
      </c>
      <c r="AS40" s="230">
        <v>1152750</v>
      </c>
      <c r="AT40" s="230">
        <v>186000</v>
      </c>
      <c r="AU40" s="229">
        <v>0.16139999999999999</v>
      </c>
      <c r="AV40" s="230">
        <v>1210500</v>
      </c>
      <c r="AW40" s="230">
        <v>994500</v>
      </c>
      <c r="AX40" s="230">
        <v>216000</v>
      </c>
      <c r="AY40" s="229">
        <v>0.2172</v>
      </c>
      <c r="AZ40" s="230">
        <v>119250</v>
      </c>
      <c r="BA40" s="230">
        <v>150000</v>
      </c>
      <c r="BB40" s="230">
        <v>-30750</v>
      </c>
      <c r="BC40" s="229">
        <v>-0.20499999999999999</v>
      </c>
      <c r="BD40" s="230">
        <v>9000</v>
      </c>
      <c r="BE40" s="230">
        <v>8250</v>
      </c>
      <c r="BF40" s="228">
        <v>750</v>
      </c>
      <c r="BG40" s="229">
        <v>9.0899999999999995E-2</v>
      </c>
      <c r="BH40" s="230">
        <v>2466000</v>
      </c>
      <c r="BI40" s="230">
        <v>1722750</v>
      </c>
      <c r="BJ40" s="230">
        <v>743250</v>
      </c>
      <c r="BK40" s="229">
        <v>0.43140000000000001</v>
      </c>
      <c r="BL40" s="230">
        <v>824250</v>
      </c>
      <c r="BM40" s="230">
        <v>696000</v>
      </c>
      <c r="BN40" s="230">
        <v>128250</v>
      </c>
      <c r="BO40" s="229">
        <v>0.18429999999999999</v>
      </c>
      <c r="BP40" s="230">
        <v>4629000</v>
      </c>
      <c r="BQ40" s="230">
        <v>3571500</v>
      </c>
      <c r="BR40" s="230">
        <v>1057500</v>
      </c>
      <c r="BS40" s="229">
        <v>0.29609999999999997</v>
      </c>
      <c r="BT40" s="230">
        <v>804237</v>
      </c>
      <c r="BU40" s="230">
        <v>661719</v>
      </c>
      <c r="BV40" s="230">
        <v>142518</v>
      </c>
      <c r="BW40" s="229">
        <v>0.21540000000000001</v>
      </c>
      <c r="BX40" s="230">
        <v>7685250</v>
      </c>
      <c r="BY40" s="230">
        <v>7737750</v>
      </c>
      <c r="BZ40" s="230">
        <v>-52500</v>
      </c>
      <c r="CA40" s="229">
        <v>-6.7999999999999996E-3</v>
      </c>
      <c r="CB40" s="230">
        <v>7187250</v>
      </c>
      <c r="CC40" s="230">
        <v>7263000</v>
      </c>
      <c r="CD40" s="230">
        <v>-75750</v>
      </c>
      <c r="CE40" s="229">
        <v>-1.04E-2</v>
      </c>
      <c r="CF40" s="230">
        <v>476250</v>
      </c>
      <c r="CG40" s="230">
        <v>453000</v>
      </c>
      <c r="CH40" s="230">
        <v>23250</v>
      </c>
      <c r="CI40" s="229">
        <v>5.1299999999999998E-2</v>
      </c>
      <c r="CJ40" s="230">
        <v>21750</v>
      </c>
      <c r="CK40" s="230">
        <v>21750</v>
      </c>
      <c r="CL40" s="228">
        <v>0</v>
      </c>
      <c r="CM40" s="229">
        <v>0</v>
      </c>
      <c r="CN40" s="230">
        <v>2765250</v>
      </c>
      <c r="CO40" s="230">
        <v>2588250</v>
      </c>
      <c r="CP40" s="230">
        <v>177000</v>
      </c>
      <c r="CQ40" s="229">
        <v>6.8400000000000002E-2</v>
      </c>
      <c r="CR40" s="230">
        <v>2560500</v>
      </c>
      <c r="CS40" s="230">
        <v>2458500</v>
      </c>
      <c r="CT40" s="230">
        <v>102000</v>
      </c>
      <c r="CU40" s="229">
        <v>4.1500000000000002E-2</v>
      </c>
      <c r="CV40" s="230">
        <v>13011000</v>
      </c>
      <c r="CW40" s="230">
        <v>12784500</v>
      </c>
      <c r="CX40" s="230">
        <v>226500</v>
      </c>
      <c r="CY40" s="229">
        <v>1.77E-2</v>
      </c>
      <c r="CZ40" s="228">
        <v>28.54</v>
      </c>
      <c r="DA40" s="228">
        <v>28.19</v>
      </c>
      <c r="DB40" s="228">
        <v>0.35</v>
      </c>
      <c r="DC40" s="228">
        <v>0.35</v>
      </c>
      <c r="DD40" s="228">
        <v>39.74</v>
      </c>
      <c r="DE40" s="228">
        <v>39.82</v>
      </c>
      <c r="DF40" s="228">
        <v>-11.2</v>
      </c>
      <c r="DG40" s="228">
        <v>-0.08</v>
      </c>
      <c r="DH40" s="228">
        <v>28.44</v>
      </c>
      <c r="DI40" s="228">
        <v>27.96</v>
      </c>
      <c r="DJ40" s="228">
        <v>0.48</v>
      </c>
      <c r="DK40" s="228">
        <v>0.48</v>
      </c>
      <c r="DL40" s="228">
        <v>28.83</v>
      </c>
      <c r="DM40" s="228">
        <v>28.76</v>
      </c>
      <c r="DN40" s="228">
        <v>7.0000000000000007E-2</v>
      </c>
      <c r="DO40" s="228">
        <v>7.0000000000000007E-2</v>
      </c>
      <c r="DP40" s="228">
        <v>0.93</v>
      </c>
      <c r="DQ40" s="228">
        <v>0.95</v>
      </c>
      <c r="DR40" s="228">
        <v>-0.02</v>
      </c>
      <c r="DS40" s="229">
        <v>-2.1100000000000001E-2</v>
      </c>
      <c r="DT40" s="228">
        <v>810</v>
      </c>
      <c r="DU40" s="228">
        <v>720</v>
      </c>
      <c r="DV40" s="228">
        <v>0.33</v>
      </c>
      <c r="DW40" s="228">
        <v>0.4</v>
      </c>
      <c r="DX40" s="228">
        <v>-7.0000000000000007E-2</v>
      </c>
      <c r="DY40" s="229">
        <v>-0.17499999999999999</v>
      </c>
      <c r="DZ40" s="229">
        <v>6.4799999999999996E-2</v>
      </c>
      <c r="EA40" s="230">
        <v>474750</v>
      </c>
      <c r="EB40" s="229">
        <v>1.8E-3</v>
      </c>
      <c r="EC40" s="229">
        <v>6.4799999999999996E-2</v>
      </c>
      <c r="ED40" s="228">
        <v>1.5</v>
      </c>
      <c r="EE40" s="229">
        <v>2E-3</v>
      </c>
      <c r="EF40" s="230">
        <v>334540</v>
      </c>
      <c r="EG40" s="230">
        <v>300567</v>
      </c>
      <c r="EH40" s="229">
        <v>0.113</v>
      </c>
      <c r="EI40" s="229">
        <v>0.41599999999999998</v>
      </c>
      <c r="EJ40" s="231">
        <v>19498.759999999998</v>
      </c>
      <c r="EK40" s="231">
        <v>6141.96</v>
      </c>
      <c r="EL40" s="231">
        <v>10155.58</v>
      </c>
      <c r="EM40" s="231">
        <v>1688</v>
      </c>
      <c r="EN40" s="231">
        <v>35796.300000000003</v>
      </c>
      <c r="EO40" s="231">
        <v>27295.759999999998</v>
      </c>
      <c r="EP40" s="231">
        <v>8500.5400000000009</v>
      </c>
      <c r="EQ40" s="229">
        <v>0.31140000000000001</v>
      </c>
      <c r="ER40" s="231">
        <v>21834</v>
      </c>
      <c r="ES40" s="231">
        <v>18969</v>
      </c>
      <c r="ET40" s="231">
        <v>58257</v>
      </c>
      <c r="EU40" s="231">
        <v>37122288</v>
      </c>
      <c r="EV40" s="231">
        <v>99060</v>
      </c>
      <c r="EW40" s="231">
        <v>96760</v>
      </c>
      <c r="EX40" s="231">
        <v>2300</v>
      </c>
      <c r="EY40" s="229">
        <v>2.3800000000000002E-2</v>
      </c>
      <c r="EZ40" s="229">
        <v>0.35049999999999998</v>
      </c>
      <c r="FA40" s="227" t="s">
        <v>556</v>
      </c>
      <c r="FB40" s="161">
        <f t="shared" si="0"/>
        <v>498000</v>
      </c>
    </row>
    <row r="41" spans="1:158" ht="17.25" hidden="1" thickBot="1" x14ac:dyDescent="0.3">
      <c r="A41" s="226">
        <v>46029</v>
      </c>
      <c r="B41" s="227" t="s">
        <v>172</v>
      </c>
      <c r="C41" s="227" t="s">
        <v>196</v>
      </c>
      <c r="D41" s="228">
        <v>6750</v>
      </c>
      <c r="E41" s="228">
        <v>152.85</v>
      </c>
      <c r="F41" s="228">
        <v>154.1</v>
      </c>
      <c r="G41" s="228">
        <v>-1.25</v>
      </c>
      <c r="H41" s="229">
        <v>-8.0999999999999996E-3</v>
      </c>
      <c r="I41" s="228">
        <v>152.96</v>
      </c>
      <c r="J41" s="228">
        <v>153.88</v>
      </c>
      <c r="K41" s="228">
        <v>-0.92</v>
      </c>
      <c r="L41" s="229">
        <v>-6.0000000000000001E-3</v>
      </c>
      <c r="M41" s="228">
        <v>152.85</v>
      </c>
      <c r="N41" s="228">
        <v>154.1</v>
      </c>
      <c r="O41" s="228">
        <v>-1.25</v>
      </c>
      <c r="P41" s="229">
        <v>-8.0999999999999996E-3</v>
      </c>
      <c r="Q41" s="228">
        <v>153.41</v>
      </c>
      <c r="R41" s="228">
        <v>154.63</v>
      </c>
      <c r="S41" s="228">
        <v>-1.22</v>
      </c>
      <c r="T41" s="229">
        <v>-7.9000000000000008E-3</v>
      </c>
      <c r="U41" s="228">
        <v>154.13</v>
      </c>
      <c r="V41" s="228">
        <v>155.47999999999999</v>
      </c>
      <c r="W41" s="228">
        <v>-1.35</v>
      </c>
      <c r="X41" s="229">
        <v>-8.6999999999999994E-3</v>
      </c>
      <c r="Y41" s="228">
        <v>-0.11</v>
      </c>
      <c r="Z41" s="228">
        <v>0.22</v>
      </c>
      <c r="AA41" s="228">
        <v>-0.33</v>
      </c>
      <c r="AB41" s="229">
        <v>-6.9999999999999999E-4</v>
      </c>
      <c r="AC41" s="228">
        <v>-0.11</v>
      </c>
      <c r="AD41" s="228">
        <v>0.22</v>
      </c>
      <c r="AE41" s="228">
        <v>-0.33</v>
      </c>
      <c r="AF41" s="229">
        <v>-6.9999999999999999E-4</v>
      </c>
      <c r="AG41" s="228">
        <v>0.45</v>
      </c>
      <c r="AH41" s="228">
        <v>0.75</v>
      </c>
      <c r="AI41" s="228">
        <v>-0.3</v>
      </c>
      <c r="AJ41" s="229">
        <v>2.8999999999999998E-3</v>
      </c>
      <c r="AK41" s="228">
        <v>1.17</v>
      </c>
      <c r="AL41" s="228">
        <v>1.6</v>
      </c>
      <c r="AM41" s="228">
        <v>-0.43</v>
      </c>
      <c r="AN41" s="229">
        <v>7.6E-3</v>
      </c>
      <c r="AO41" s="228">
        <v>154.05000000000001</v>
      </c>
      <c r="AP41" s="228">
        <v>154.44999999999999</v>
      </c>
      <c r="AQ41" s="228">
        <v>0</v>
      </c>
      <c r="AR41" s="230">
        <v>59447250</v>
      </c>
      <c r="AS41" s="230">
        <v>48667500</v>
      </c>
      <c r="AT41" s="230">
        <v>10779750</v>
      </c>
      <c r="AU41" s="229">
        <v>0.2215</v>
      </c>
      <c r="AV41" s="230">
        <v>54276750</v>
      </c>
      <c r="AW41" s="230">
        <v>45812250</v>
      </c>
      <c r="AX41" s="230">
        <v>8464500</v>
      </c>
      <c r="AY41" s="229">
        <v>0.18479999999999999</v>
      </c>
      <c r="AZ41" s="230">
        <v>4704750</v>
      </c>
      <c r="BA41" s="230">
        <v>2409750</v>
      </c>
      <c r="BB41" s="230">
        <v>2295000</v>
      </c>
      <c r="BC41" s="229">
        <v>0.95240000000000002</v>
      </c>
      <c r="BD41" s="230">
        <v>465750</v>
      </c>
      <c r="BE41" s="230">
        <v>445500</v>
      </c>
      <c r="BF41" s="230">
        <v>20250</v>
      </c>
      <c r="BG41" s="229">
        <v>4.5499999999999999E-2</v>
      </c>
      <c r="BH41" s="230">
        <v>113116500</v>
      </c>
      <c r="BI41" s="230">
        <v>79245000</v>
      </c>
      <c r="BJ41" s="230">
        <v>33871500</v>
      </c>
      <c r="BK41" s="229">
        <v>0.4274</v>
      </c>
      <c r="BL41" s="230">
        <v>75141000</v>
      </c>
      <c r="BM41" s="230">
        <v>43895250</v>
      </c>
      <c r="BN41" s="230">
        <v>31245750</v>
      </c>
      <c r="BO41" s="229">
        <v>0.71179999999999999</v>
      </c>
      <c r="BP41" s="230">
        <v>247704750</v>
      </c>
      <c r="BQ41" s="230">
        <v>171807750</v>
      </c>
      <c r="BR41" s="230">
        <v>75897000</v>
      </c>
      <c r="BS41" s="229">
        <v>0.44180000000000003</v>
      </c>
      <c r="BT41" s="230">
        <v>23881175</v>
      </c>
      <c r="BU41" s="230">
        <v>17876954</v>
      </c>
      <c r="BV41" s="230">
        <v>6004221</v>
      </c>
      <c r="BW41" s="229">
        <v>0.33589999999999998</v>
      </c>
      <c r="BX41" s="230">
        <v>150511500</v>
      </c>
      <c r="BY41" s="230">
        <v>145705500</v>
      </c>
      <c r="BZ41" s="230">
        <v>4806000</v>
      </c>
      <c r="CA41" s="229">
        <v>3.3000000000000002E-2</v>
      </c>
      <c r="CB41" s="230">
        <v>141756750</v>
      </c>
      <c r="CC41" s="230">
        <v>137605500</v>
      </c>
      <c r="CD41" s="230">
        <v>4151250</v>
      </c>
      <c r="CE41" s="229">
        <v>3.0200000000000001E-2</v>
      </c>
      <c r="CF41" s="230">
        <v>7512750</v>
      </c>
      <c r="CG41" s="230">
        <v>6912000</v>
      </c>
      <c r="CH41" s="230">
        <v>600750</v>
      </c>
      <c r="CI41" s="229">
        <v>8.6900000000000005E-2</v>
      </c>
      <c r="CJ41" s="230">
        <v>1242000</v>
      </c>
      <c r="CK41" s="230">
        <v>1188000</v>
      </c>
      <c r="CL41" s="230">
        <v>54000</v>
      </c>
      <c r="CM41" s="229">
        <v>4.5499999999999999E-2</v>
      </c>
      <c r="CN41" s="230">
        <v>95154750</v>
      </c>
      <c r="CO41" s="230">
        <v>84186000</v>
      </c>
      <c r="CP41" s="230">
        <v>10968750</v>
      </c>
      <c r="CQ41" s="229">
        <v>0.1303</v>
      </c>
      <c r="CR41" s="230">
        <v>69781500</v>
      </c>
      <c r="CS41" s="230">
        <v>65880000</v>
      </c>
      <c r="CT41" s="230">
        <v>3901500</v>
      </c>
      <c r="CU41" s="229">
        <v>5.9200000000000003E-2</v>
      </c>
      <c r="CV41" s="230">
        <v>315447750</v>
      </c>
      <c r="CW41" s="230">
        <v>295771500</v>
      </c>
      <c r="CX41" s="230">
        <v>19676250</v>
      </c>
      <c r="CY41" s="229">
        <v>6.6500000000000004E-2</v>
      </c>
      <c r="CZ41" s="228">
        <v>29.48</v>
      </c>
      <c r="DA41" s="228">
        <v>28.33</v>
      </c>
      <c r="DB41" s="228">
        <v>1.1499999999999999</v>
      </c>
      <c r="DC41" s="228">
        <v>1.1499999999999999</v>
      </c>
      <c r="DD41" s="228">
        <v>35.06</v>
      </c>
      <c r="DE41" s="228">
        <v>35.130000000000003</v>
      </c>
      <c r="DF41" s="228">
        <v>-5.58</v>
      </c>
      <c r="DG41" s="228">
        <v>-7.0000000000000007E-2</v>
      </c>
      <c r="DH41" s="228">
        <v>29.56</v>
      </c>
      <c r="DI41" s="228">
        <v>28.16</v>
      </c>
      <c r="DJ41" s="228">
        <v>1.4</v>
      </c>
      <c r="DK41" s="228">
        <v>1.4</v>
      </c>
      <c r="DL41" s="228">
        <v>29.37</v>
      </c>
      <c r="DM41" s="228">
        <v>28.63</v>
      </c>
      <c r="DN41" s="228">
        <v>0.74</v>
      </c>
      <c r="DO41" s="228">
        <v>0.74</v>
      </c>
      <c r="DP41" s="228">
        <v>0.73</v>
      </c>
      <c r="DQ41" s="228">
        <v>0.78</v>
      </c>
      <c r="DR41" s="228">
        <v>-0.05</v>
      </c>
      <c r="DS41" s="229">
        <v>-6.4100000000000004E-2</v>
      </c>
      <c r="DT41" s="228">
        <v>155</v>
      </c>
      <c r="DU41" s="228">
        <v>150</v>
      </c>
      <c r="DV41" s="228">
        <v>0.66</v>
      </c>
      <c r="DW41" s="228">
        <v>0.55000000000000004</v>
      </c>
      <c r="DX41" s="228">
        <v>0.11</v>
      </c>
      <c r="DY41" s="229">
        <v>0.2</v>
      </c>
      <c r="DZ41" s="229">
        <v>5.8200000000000002E-2</v>
      </c>
      <c r="EA41" s="230">
        <v>8100000</v>
      </c>
      <c r="EB41" s="229">
        <v>3.7000000000000002E-3</v>
      </c>
      <c r="EC41" s="229">
        <v>5.8200000000000002E-2</v>
      </c>
      <c r="ED41" s="228">
        <v>0.4</v>
      </c>
      <c r="EE41" s="229">
        <v>2.5999999999999999E-3</v>
      </c>
      <c r="EF41" s="230">
        <v>10144239</v>
      </c>
      <c r="EG41" s="230">
        <v>7157681</v>
      </c>
      <c r="EH41" s="229">
        <v>0.4173</v>
      </c>
      <c r="EI41" s="229">
        <v>0.42480000000000001</v>
      </c>
      <c r="EJ41" s="231">
        <v>182273.72</v>
      </c>
      <c r="EK41" s="231">
        <v>114359.53</v>
      </c>
      <c r="EL41" s="231">
        <v>91604.29</v>
      </c>
      <c r="EM41" s="231">
        <v>7887</v>
      </c>
      <c r="EN41" s="231">
        <v>388237.54</v>
      </c>
      <c r="EO41" s="231">
        <v>270153.40000000002</v>
      </c>
      <c r="EP41" s="231">
        <v>118084.14</v>
      </c>
      <c r="EQ41" s="229">
        <v>0.43709999999999999</v>
      </c>
      <c r="ER41" s="231">
        <v>149952</v>
      </c>
      <c r="ES41" s="231">
        <v>103950</v>
      </c>
      <c r="ET41" s="231">
        <v>230115</v>
      </c>
      <c r="EU41" s="231">
        <v>504315430</v>
      </c>
      <c r="EV41" s="231">
        <v>484017</v>
      </c>
      <c r="EW41" s="231">
        <v>455213</v>
      </c>
      <c r="EX41" s="231">
        <v>28804</v>
      </c>
      <c r="EY41" s="229">
        <v>6.3299999999999995E-2</v>
      </c>
      <c r="EZ41" s="229">
        <v>0.62549999999999994</v>
      </c>
      <c r="FA41" s="227" t="s">
        <v>567</v>
      </c>
      <c r="FB41" s="161">
        <f t="shared" si="0"/>
        <v>8754750</v>
      </c>
    </row>
    <row r="42" spans="1:158" ht="17.25" hidden="1" thickBot="1" x14ac:dyDescent="0.3">
      <c r="A42" s="226">
        <v>46029</v>
      </c>
      <c r="B42" s="227" t="s">
        <v>175</v>
      </c>
      <c r="C42" s="227" t="s">
        <v>597</v>
      </c>
      <c r="D42" s="228">
        <v>475</v>
      </c>
      <c r="E42" s="231">
        <v>1482.8</v>
      </c>
      <c r="F42" s="231">
        <v>1462.5</v>
      </c>
      <c r="G42" s="228">
        <v>20.3</v>
      </c>
      <c r="H42" s="229">
        <v>1.3899999999999999E-2</v>
      </c>
      <c r="I42" s="231">
        <v>1475.6</v>
      </c>
      <c r="J42" s="231">
        <v>1457</v>
      </c>
      <c r="K42" s="228">
        <v>18.600000000000001</v>
      </c>
      <c r="L42" s="229">
        <v>1.2800000000000001E-2</v>
      </c>
      <c r="M42" s="231">
        <v>1482.8</v>
      </c>
      <c r="N42" s="231">
        <v>1462.5</v>
      </c>
      <c r="O42" s="228">
        <v>20.3</v>
      </c>
      <c r="P42" s="229">
        <v>1.3899999999999999E-2</v>
      </c>
      <c r="Q42" s="231">
        <v>1490.5</v>
      </c>
      <c r="R42" s="231">
        <v>1468.3</v>
      </c>
      <c r="S42" s="228">
        <v>22.2</v>
      </c>
      <c r="T42" s="229">
        <v>1.5100000000000001E-2</v>
      </c>
      <c r="U42" s="231">
        <v>1498.6</v>
      </c>
      <c r="V42" s="231">
        <v>1476.6</v>
      </c>
      <c r="W42" s="228">
        <v>22</v>
      </c>
      <c r="X42" s="229">
        <v>1.49E-2</v>
      </c>
      <c r="Y42" s="228">
        <v>7.2</v>
      </c>
      <c r="Z42" s="228">
        <v>5.5</v>
      </c>
      <c r="AA42" s="228">
        <v>1.7</v>
      </c>
      <c r="AB42" s="229">
        <v>4.8999999999999998E-3</v>
      </c>
      <c r="AC42" s="228">
        <v>7.2</v>
      </c>
      <c r="AD42" s="228">
        <v>5.5</v>
      </c>
      <c r="AE42" s="228">
        <v>1.7</v>
      </c>
      <c r="AF42" s="229">
        <v>4.8999999999999998E-3</v>
      </c>
      <c r="AG42" s="228">
        <v>14.9</v>
      </c>
      <c r="AH42" s="228">
        <v>11.3</v>
      </c>
      <c r="AI42" s="228">
        <v>3.6</v>
      </c>
      <c r="AJ42" s="229">
        <v>1.01E-2</v>
      </c>
      <c r="AK42" s="228">
        <v>23</v>
      </c>
      <c r="AL42" s="228">
        <v>19.600000000000001</v>
      </c>
      <c r="AM42" s="228">
        <v>3.4</v>
      </c>
      <c r="AN42" s="229">
        <v>1.5599999999999999E-2</v>
      </c>
      <c r="AO42" s="231">
        <v>1477.83</v>
      </c>
      <c r="AP42" s="231">
        <v>1484.48</v>
      </c>
      <c r="AQ42" s="228">
        <v>0</v>
      </c>
      <c r="AR42" s="230">
        <v>1765100</v>
      </c>
      <c r="AS42" s="230">
        <v>1484375</v>
      </c>
      <c r="AT42" s="230">
        <v>280725</v>
      </c>
      <c r="AU42" s="229">
        <v>0.18909999999999999</v>
      </c>
      <c r="AV42" s="230">
        <v>1592200</v>
      </c>
      <c r="AW42" s="230">
        <v>1295800</v>
      </c>
      <c r="AX42" s="230">
        <v>296400</v>
      </c>
      <c r="AY42" s="229">
        <v>0.22869999999999999</v>
      </c>
      <c r="AZ42" s="230">
        <v>151525</v>
      </c>
      <c r="BA42" s="230">
        <v>166250</v>
      </c>
      <c r="BB42" s="230">
        <v>-14725</v>
      </c>
      <c r="BC42" s="229">
        <v>-8.8599999999999998E-2</v>
      </c>
      <c r="BD42" s="230">
        <v>21375</v>
      </c>
      <c r="BE42" s="230">
        <v>22325</v>
      </c>
      <c r="BF42" s="228">
        <v>-950</v>
      </c>
      <c r="BG42" s="229">
        <v>-4.2599999999999999E-2</v>
      </c>
      <c r="BH42" s="230">
        <v>5944625</v>
      </c>
      <c r="BI42" s="230">
        <v>4874925</v>
      </c>
      <c r="BJ42" s="230">
        <v>1069700</v>
      </c>
      <c r="BK42" s="229">
        <v>0.21940000000000001</v>
      </c>
      <c r="BL42" s="230">
        <v>2870900</v>
      </c>
      <c r="BM42" s="230">
        <v>2445300</v>
      </c>
      <c r="BN42" s="230">
        <v>425600</v>
      </c>
      <c r="BO42" s="229">
        <v>0.17399999999999999</v>
      </c>
      <c r="BP42" s="230">
        <v>10580625</v>
      </c>
      <c r="BQ42" s="230">
        <v>8804600</v>
      </c>
      <c r="BR42" s="230">
        <v>1776025</v>
      </c>
      <c r="BS42" s="229">
        <v>0.20169999999999999</v>
      </c>
      <c r="BT42" s="230">
        <v>854521</v>
      </c>
      <c r="BU42" s="230">
        <v>917193</v>
      </c>
      <c r="BV42" s="230">
        <v>-62672</v>
      </c>
      <c r="BW42" s="229">
        <v>-6.83E-2</v>
      </c>
      <c r="BX42" s="230">
        <v>10926900</v>
      </c>
      <c r="BY42" s="230">
        <v>11211900</v>
      </c>
      <c r="BZ42" s="230">
        <v>-285000</v>
      </c>
      <c r="CA42" s="229">
        <v>-2.5399999999999999E-2</v>
      </c>
      <c r="CB42" s="230">
        <v>10191125</v>
      </c>
      <c r="CC42" s="230">
        <v>10462825</v>
      </c>
      <c r="CD42" s="230">
        <v>-271700</v>
      </c>
      <c r="CE42" s="229">
        <v>-2.5999999999999999E-2</v>
      </c>
      <c r="CF42" s="230">
        <v>691600</v>
      </c>
      <c r="CG42" s="230">
        <v>699675</v>
      </c>
      <c r="CH42" s="230">
        <v>-8075</v>
      </c>
      <c r="CI42" s="229">
        <v>-1.15E-2</v>
      </c>
      <c r="CJ42" s="230">
        <v>44175</v>
      </c>
      <c r="CK42" s="230">
        <v>49400</v>
      </c>
      <c r="CL42" s="230">
        <v>-5225</v>
      </c>
      <c r="CM42" s="229">
        <v>-0.10580000000000001</v>
      </c>
      <c r="CN42" s="230">
        <v>7017650</v>
      </c>
      <c r="CO42" s="230">
        <v>6820525</v>
      </c>
      <c r="CP42" s="230">
        <v>197125</v>
      </c>
      <c r="CQ42" s="229">
        <v>2.8899999999999999E-2</v>
      </c>
      <c r="CR42" s="230">
        <v>4748100</v>
      </c>
      <c r="CS42" s="230">
        <v>4884425</v>
      </c>
      <c r="CT42" s="230">
        <v>-136325</v>
      </c>
      <c r="CU42" s="229">
        <v>-2.7900000000000001E-2</v>
      </c>
      <c r="CV42" s="230">
        <v>22692650</v>
      </c>
      <c r="CW42" s="230">
        <v>22916850</v>
      </c>
      <c r="CX42" s="230">
        <v>-224200</v>
      </c>
      <c r="CY42" s="229">
        <v>-9.7999999999999997E-3</v>
      </c>
      <c r="CZ42" s="228">
        <v>27.25</v>
      </c>
      <c r="DA42" s="228">
        <v>29.09</v>
      </c>
      <c r="DB42" s="228">
        <v>-1.84</v>
      </c>
      <c r="DC42" s="228">
        <v>-1.84</v>
      </c>
      <c r="DD42" s="228">
        <v>43.8</v>
      </c>
      <c r="DE42" s="228">
        <v>43.87</v>
      </c>
      <c r="DF42" s="228">
        <v>-16.55</v>
      </c>
      <c r="DG42" s="228">
        <v>-7.0000000000000007E-2</v>
      </c>
      <c r="DH42" s="228">
        <v>27.11</v>
      </c>
      <c r="DI42" s="228">
        <v>28.92</v>
      </c>
      <c r="DJ42" s="228">
        <v>-1.81</v>
      </c>
      <c r="DK42" s="228">
        <v>-1.81</v>
      </c>
      <c r="DL42" s="228">
        <v>27.53</v>
      </c>
      <c r="DM42" s="228">
        <v>29.42</v>
      </c>
      <c r="DN42" s="228">
        <v>-1.89</v>
      </c>
      <c r="DO42" s="228">
        <v>-1.89</v>
      </c>
      <c r="DP42" s="228">
        <v>0.68</v>
      </c>
      <c r="DQ42" s="228">
        <v>0.72</v>
      </c>
      <c r="DR42" s="228">
        <v>-0.04</v>
      </c>
      <c r="DS42" s="229">
        <v>-5.5599999999999997E-2</v>
      </c>
      <c r="DT42" s="231">
        <v>1500</v>
      </c>
      <c r="DU42" s="231">
        <v>1500</v>
      </c>
      <c r="DV42" s="228">
        <v>0.48</v>
      </c>
      <c r="DW42" s="228">
        <v>0.5</v>
      </c>
      <c r="DX42" s="228">
        <v>-0.02</v>
      </c>
      <c r="DY42" s="229">
        <v>-0.04</v>
      </c>
      <c r="DZ42" s="229">
        <v>6.7299999999999999E-2</v>
      </c>
      <c r="EA42" s="230">
        <v>749075</v>
      </c>
      <c r="EB42" s="229">
        <v>5.1999999999999998E-3</v>
      </c>
      <c r="EC42" s="229">
        <v>6.7299999999999999E-2</v>
      </c>
      <c r="ED42" s="228">
        <v>6.65</v>
      </c>
      <c r="EE42" s="229">
        <v>4.4999999999999997E-3</v>
      </c>
      <c r="EF42" s="230">
        <v>338876</v>
      </c>
      <c r="EG42" s="230">
        <v>298137</v>
      </c>
      <c r="EH42" s="229">
        <v>0.1366</v>
      </c>
      <c r="EI42" s="229">
        <v>0.39660000000000001</v>
      </c>
      <c r="EJ42" s="231">
        <v>91863.23</v>
      </c>
      <c r="EK42" s="231">
        <v>41534.629999999997</v>
      </c>
      <c r="EL42" s="231">
        <v>26098.240000000002</v>
      </c>
      <c r="EM42" s="231">
        <v>3276</v>
      </c>
      <c r="EN42" s="231">
        <v>159496.1</v>
      </c>
      <c r="EO42" s="231">
        <v>132455.13</v>
      </c>
      <c r="EP42" s="231">
        <v>27040.97</v>
      </c>
      <c r="EQ42" s="229">
        <v>0.20419999999999999</v>
      </c>
      <c r="ER42" s="231">
        <v>108302</v>
      </c>
      <c r="ES42" s="231">
        <v>69689</v>
      </c>
      <c r="ET42" s="231">
        <v>162084</v>
      </c>
      <c r="EU42" s="231">
        <v>26647500</v>
      </c>
      <c r="EV42" s="231">
        <v>340076</v>
      </c>
      <c r="EW42" s="231">
        <v>340491</v>
      </c>
      <c r="EX42" s="228">
        <v>-415</v>
      </c>
      <c r="EY42" s="229">
        <v>-1.1999999999999999E-3</v>
      </c>
      <c r="EZ42" s="229">
        <v>0.85160000000000002</v>
      </c>
      <c r="FA42" s="227" t="s">
        <v>556</v>
      </c>
      <c r="FB42" s="161">
        <f t="shared" si="0"/>
        <v>735775</v>
      </c>
    </row>
    <row r="43" spans="1:158" ht="17.25" hidden="1" thickBot="1" x14ac:dyDescent="0.3">
      <c r="A43" s="226">
        <v>46029</v>
      </c>
      <c r="B43" s="227" t="s">
        <v>161</v>
      </c>
      <c r="C43" s="227" t="s">
        <v>612</v>
      </c>
      <c r="D43" s="228">
        <v>850</v>
      </c>
      <c r="E43" s="228">
        <v>638.65</v>
      </c>
      <c r="F43" s="228">
        <v>641</v>
      </c>
      <c r="G43" s="228">
        <v>-2.35</v>
      </c>
      <c r="H43" s="229">
        <v>-3.7000000000000002E-3</v>
      </c>
      <c r="I43" s="228">
        <v>636.95000000000005</v>
      </c>
      <c r="J43" s="228">
        <v>637.85</v>
      </c>
      <c r="K43" s="228">
        <v>-0.9</v>
      </c>
      <c r="L43" s="229">
        <v>-1.4E-3</v>
      </c>
      <c r="M43" s="228">
        <v>638.65</v>
      </c>
      <c r="N43" s="228">
        <v>641</v>
      </c>
      <c r="O43" s="228">
        <v>-2.35</v>
      </c>
      <c r="P43" s="229">
        <v>-3.7000000000000002E-3</v>
      </c>
      <c r="Q43" s="228">
        <v>642.04999999999995</v>
      </c>
      <c r="R43" s="228">
        <v>644.70000000000005</v>
      </c>
      <c r="S43" s="228">
        <v>-2.65</v>
      </c>
      <c r="T43" s="229">
        <v>-4.1000000000000003E-3</v>
      </c>
      <c r="U43" s="228">
        <v>645.95000000000005</v>
      </c>
      <c r="V43" s="228">
        <v>647.15</v>
      </c>
      <c r="W43" s="228">
        <v>-1.2</v>
      </c>
      <c r="X43" s="229">
        <v>-1.9E-3</v>
      </c>
      <c r="Y43" s="228">
        <v>1.7</v>
      </c>
      <c r="Z43" s="228">
        <v>3.15</v>
      </c>
      <c r="AA43" s="228">
        <v>-1.45</v>
      </c>
      <c r="AB43" s="229">
        <v>2.7000000000000001E-3</v>
      </c>
      <c r="AC43" s="228">
        <v>1.7</v>
      </c>
      <c r="AD43" s="228">
        <v>3.15</v>
      </c>
      <c r="AE43" s="228">
        <v>-1.45</v>
      </c>
      <c r="AF43" s="229">
        <v>2.7000000000000001E-3</v>
      </c>
      <c r="AG43" s="228">
        <v>5.0999999999999996</v>
      </c>
      <c r="AH43" s="228">
        <v>6.85</v>
      </c>
      <c r="AI43" s="228">
        <v>-1.75</v>
      </c>
      <c r="AJ43" s="229">
        <v>8.0000000000000002E-3</v>
      </c>
      <c r="AK43" s="228">
        <v>9</v>
      </c>
      <c r="AL43" s="228">
        <v>9.3000000000000007</v>
      </c>
      <c r="AM43" s="228">
        <v>-0.3</v>
      </c>
      <c r="AN43" s="229">
        <v>1.41E-2</v>
      </c>
      <c r="AO43" s="228">
        <v>640.35</v>
      </c>
      <c r="AP43" s="228">
        <v>643.94000000000005</v>
      </c>
      <c r="AQ43" s="228">
        <v>0</v>
      </c>
      <c r="AR43" s="230">
        <v>1959250</v>
      </c>
      <c r="AS43" s="230">
        <v>1609900</v>
      </c>
      <c r="AT43" s="230">
        <v>349350</v>
      </c>
      <c r="AU43" s="229">
        <v>0.217</v>
      </c>
      <c r="AV43" s="230">
        <v>1816450</v>
      </c>
      <c r="AW43" s="230">
        <v>1481550</v>
      </c>
      <c r="AX43" s="230">
        <v>334900</v>
      </c>
      <c r="AY43" s="229">
        <v>0.22600000000000001</v>
      </c>
      <c r="AZ43" s="230">
        <v>134300</v>
      </c>
      <c r="BA43" s="230">
        <v>116450</v>
      </c>
      <c r="BB43" s="230">
        <v>17850</v>
      </c>
      <c r="BC43" s="229">
        <v>0.15329999999999999</v>
      </c>
      <c r="BD43" s="230">
        <v>8500</v>
      </c>
      <c r="BE43" s="230">
        <v>11900</v>
      </c>
      <c r="BF43" s="230">
        <v>-3400</v>
      </c>
      <c r="BG43" s="229">
        <v>-0.28570000000000001</v>
      </c>
      <c r="BH43" s="230">
        <v>4564500</v>
      </c>
      <c r="BI43" s="230">
        <v>3853050</v>
      </c>
      <c r="BJ43" s="230">
        <v>711450</v>
      </c>
      <c r="BK43" s="229">
        <v>0.18459999999999999</v>
      </c>
      <c r="BL43" s="230">
        <v>1686400</v>
      </c>
      <c r="BM43" s="230">
        <v>1377000</v>
      </c>
      <c r="BN43" s="230">
        <v>309400</v>
      </c>
      <c r="BO43" s="229">
        <v>0.22470000000000001</v>
      </c>
      <c r="BP43" s="230">
        <v>8210150</v>
      </c>
      <c r="BQ43" s="230">
        <v>6839950</v>
      </c>
      <c r="BR43" s="230">
        <v>1370200</v>
      </c>
      <c r="BS43" s="229">
        <v>0.20030000000000001</v>
      </c>
      <c r="BT43" s="230">
        <v>1242317</v>
      </c>
      <c r="BU43" s="230">
        <v>2058352</v>
      </c>
      <c r="BV43" s="230">
        <v>-816035</v>
      </c>
      <c r="BW43" s="229">
        <v>-0.39650000000000002</v>
      </c>
      <c r="BX43" s="230">
        <v>16184850</v>
      </c>
      <c r="BY43" s="230">
        <v>15832950</v>
      </c>
      <c r="BZ43" s="230">
        <v>351900</v>
      </c>
      <c r="CA43" s="229">
        <v>2.2200000000000001E-2</v>
      </c>
      <c r="CB43" s="230">
        <v>15609400</v>
      </c>
      <c r="CC43" s="230">
        <v>15305100</v>
      </c>
      <c r="CD43" s="230">
        <v>304300</v>
      </c>
      <c r="CE43" s="229">
        <v>1.9900000000000001E-2</v>
      </c>
      <c r="CF43" s="230">
        <v>536350</v>
      </c>
      <c r="CG43" s="230">
        <v>492150</v>
      </c>
      <c r="CH43" s="230">
        <v>44200</v>
      </c>
      <c r="CI43" s="229">
        <v>8.9800000000000005E-2</v>
      </c>
      <c r="CJ43" s="230">
        <v>39100</v>
      </c>
      <c r="CK43" s="230">
        <v>35700</v>
      </c>
      <c r="CL43" s="230">
        <v>3400</v>
      </c>
      <c r="CM43" s="229">
        <v>9.5200000000000007E-2</v>
      </c>
      <c r="CN43" s="230">
        <v>5376250</v>
      </c>
      <c r="CO43" s="230">
        <v>4848400</v>
      </c>
      <c r="CP43" s="230">
        <v>527850</v>
      </c>
      <c r="CQ43" s="229">
        <v>0.1089</v>
      </c>
      <c r="CR43" s="230">
        <v>3472250</v>
      </c>
      <c r="CS43" s="230">
        <v>3383850</v>
      </c>
      <c r="CT43" s="230">
        <v>88400</v>
      </c>
      <c r="CU43" s="229">
        <v>2.6100000000000002E-2</v>
      </c>
      <c r="CV43" s="230">
        <v>25033350</v>
      </c>
      <c r="CW43" s="230">
        <v>24065200</v>
      </c>
      <c r="CX43" s="230">
        <v>968150</v>
      </c>
      <c r="CY43" s="229">
        <v>4.02E-2</v>
      </c>
      <c r="CZ43" s="228">
        <v>29.62</v>
      </c>
      <c r="DA43" s="228">
        <v>29.43</v>
      </c>
      <c r="DB43" s="228">
        <v>0.19</v>
      </c>
      <c r="DC43" s="228">
        <v>0.19</v>
      </c>
      <c r="DD43" s="228">
        <v>38.28</v>
      </c>
      <c r="DE43" s="228">
        <v>38.369999999999997</v>
      </c>
      <c r="DF43" s="228">
        <v>-8.66</v>
      </c>
      <c r="DG43" s="228">
        <v>-0.09</v>
      </c>
      <c r="DH43" s="228">
        <v>29.84</v>
      </c>
      <c r="DI43" s="228">
        <v>29.7</v>
      </c>
      <c r="DJ43" s="228">
        <v>0.14000000000000001</v>
      </c>
      <c r="DK43" s="228">
        <v>0.14000000000000001</v>
      </c>
      <c r="DL43" s="228">
        <v>29.04</v>
      </c>
      <c r="DM43" s="228">
        <v>28.68</v>
      </c>
      <c r="DN43" s="228">
        <v>0.36</v>
      </c>
      <c r="DO43" s="228">
        <v>0.36</v>
      </c>
      <c r="DP43" s="228">
        <v>0.65</v>
      </c>
      <c r="DQ43" s="228">
        <v>0.7</v>
      </c>
      <c r="DR43" s="228">
        <v>-0.05</v>
      </c>
      <c r="DS43" s="229">
        <v>-7.1400000000000005E-2</v>
      </c>
      <c r="DT43" s="228">
        <v>700</v>
      </c>
      <c r="DU43" s="228">
        <v>640</v>
      </c>
      <c r="DV43" s="228">
        <v>0.37</v>
      </c>
      <c r="DW43" s="228">
        <v>0.36</v>
      </c>
      <c r="DX43" s="228">
        <v>0.01</v>
      </c>
      <c r="DY43" s="229">
        <v>2.7799999999999998E-2</v>
      </c>
      <c r="DZ43" s="229">
        <v>3.56E-2</v>
      </c>
      <c r="EA43" s="230">
        <v>527850</v>
      </c>
      <c r="EB43" s="229">
        <v>5.3E-3</v>
      </c>
      <c r="EC43" s="229">
        <v>3.56E-2</v>
      </c>
      <c r="ED43" s="228">
        <v>3.59</v>
      </c>
      <c r="EE43" s="229">
        <v>5.5999999999999999E-3</v>
      </c>
      <c r="EF43" s="230">
        <v>610373</v>
      </c>
      <c r="EG43" s="230">
        <v>1160921</v>
      </c>
      <c r="EH43" s="229">
        <v>-0.47420000000000001</v>
      </c>
      <c r="EI43" s="229">
        <v>0.49130000000000001</v>
      </c>
      <c r="EJ43" s="231">
        <v>30832.240000000002</v>
      </c>
      <c r="EK43" s="231">
        <v>10815.34</v>
      </c>
      <c r="EL43" s="231">
        <v>12551.45</v>
      </c>
      <c r="EM43" s="231">
        <v>2367</v>
      </c>
      <c r="EN43" s="231">
        <v>54199.03</v>
      </c>
      <c r="EO43" s="231">
        <v>45180.06</v>
      </c>
      <c r="EP43" s="231">
        <v>9018.9699999999993</v>
      </c>
      <c r="EQ43" s="229">
        <v>0.1996</v>
      </c>
      <c r="ER43" s="231">
        <v>36755</v>
      </c>
      <c r="ES43" s="231">
        <v>22289</v>
      </c>
      <c r="ET43" s="231">
        <v>103386</v>
      </c>
      <c r="EU43" s="231">
        <v>103060454</v>
      </c>
      <c r="EV43" s="231">
        <v>162430</v>
      </c>
      <c r="EW43" s="231">
        <v>156448</v>
      </c>
      <c r="EX43" s="231">
        <v>5982</v>
      </c>
      <c r="EY43" s="229">
        <v>3.8199999999999998E-2</v>
      </c>
      <c r="EZ43" s="229">
        <v>0.2429</v>
      </c>
      <c r="FA43" s="227" t="s">
        <v>567</v>
      </c>
      <c r="FB43" s="161">
        <f t="shared" si="0"/>
        <v>575450</v>
      </c>
    </row>
    <row r="44" spans="1:158" ht="17.25" hidden="1" thickBot="1" x14ac:dyDescent="0.3">
      <c r="A44" s="226">
        <v>46029</v>
      </c>
      <c r="B44" s="227" t="s">
        <v>175</v>
      </c>
      <c r="C44" s="227" t="s">
        <v>198</v>
      </c>
      <c r="D44" s="228">
        <v>625</v>
      </c>
      <c r="E44" s="231">
        <v>1794.7</v>
      </c>
      <c r="F44" s="231">
        <v>1813.3</v>
      </c>
      <c r="G44" s="228">
        <v>-18.600000000000001</v>
      </c>
      <c r="H44" s="229">
        <v>-1.03E-2</v>
      </c>
      <c r="I44" s="231">
        <v>1786.5</v>
      </c>
      <c r="J44" s="231">
        <v>1805.4</v>
      </c>
      <c r="K44" s="228">
        <v>-18.899999999999999</v>
      </c>
      <c r="L44" s="229">
        <v>-1.0500000000000001E-2</v>
      </c>
      <c r="M44" s="231">
        <v>1794.7</v>
      </c>
      <c r="N44" s="231">
        <v>1813.3</v>
      </c>
      <c r="O44" s="228">
        <v>-18.600000000000001</v>
      </c>
      <c r="P44" s="229">
        <v>-1.03E-2</v>
      </c>
      <c r="Q44" s="231">
        <v>1798.1</v>
      </c>
      <c r="R44" s="231">
        <v>1812.3</v>
      </c>
      <c r="S44" s="228">
        <v>-14.2</v>
      </c>
      <c r="T44" s="229">
        <v>-7.7999999999999996E-3</v>
      </c>
      <c r="U44" s="231">
        <v>1801.4</v>
      </c>
      <c r="V44" s="231">
        <v>1810.2</v>
      </c>
      <c r="W44" s="228">
        <v>-8.8000000000000007</v>
      </c>
      <c r="X44" s="229">
        <v>-4.8999999999999998E-3</v>
      </c>
      <c r="Y44" s="228">
        <v>8.1999999999999993</v>
      </c>
      <c r="Z44" s="228">
        <v>7.9</v>
      </c>
      <c r="AA44" s="228">
        <v>0.3</v>
      </c>
      <c r="AB44" s="229">
        <v>4.5999999999999999E-3</v>
      </c>
      <c r="AC44" s="228">
        <v>8.1999999999999993</v>
      </c>
      <c r="AD44" s="228">
        <v>7.9</v>
      </c>
      <c r="AE44" s="228">
        <v>0.3</v>
      </c>
      <c r="AF44" s="229">
        <v>4.5999999999999999E-3</v>
      </c>
      <c r="AG44" s="228">
        <v>11.6</v>
      </c>
      <c r="AH44" s="228">
        <v>6.9</v>
      </c>
      <c r="AI44" s="228">
        <v>4.7</v>
      </c>
      <c r="AJ44" s="229">
        <v>6.4999999999999997E-3</v>
      </c>
      <c r="AK44" s="228">
        <v>14.9</v>
      </c>
      <c r="AL44" s="228">
        <v>4.8</v>
      </c>
      <c r="AM44" s="228">
        <v>10.1</v>
      </c>
      <c r="AN44" s="229">
        <v>8.3000000000000001E-3</v>
      </c>
      <c r="AO44" s="231">
        <v>1794.89</v>
      </c>
      <c r="AP44" s="231">
        <v>1796.52</v>
      </c>
      <c r="AQ44" s="228">
        <v>0</v>
      </c>
      <c r="AR44" s="230">
        <v>1226250</v>
      </c>
      <c r="AS44" s="230">
        <v>3304375</v>
      </c>
      <c r="AT44" s="230">
        <v>-2078125</v>
      </c>
      <c r="AU44" s="229">
        <v>-0.62890000000000001</v>
      </c>
      <c r="AV44" s="230">
        <v>1151875</v>
      </c>
      <c r="AW44" s="230">
        <v>3140625</v>
      </c>
      <c r="AX44" s="230">
        <v>-1988750</v>
      </c>
      <c r="AY44" s="229">
        <v>-0.63319999999999999</v>
      </c>
      <c r="AZ44" s="230">
        <v>68125</v>
      </c>
      <c r="BA44" s="230">
        <v>140625</v>
      </c>
      <c r="BB44" s="230">
        <v>-72500</v>
      </c>
      <c r="BC44" s="229">
        <v>-0.51559999999999995</v>
      </c>
      <c r="BD44" s="230">
        <v>6250</v>
      </c>
      <c r="BE44" s="230">
        <v>23125</v>
      </c>
      <c r="BF44" s="230">
        <v>-16875</v>
      </c>
      <c r="BG44" s="229">
        <v>-0.72970000000000002</v>
      </c>
      <c r="BH44" s="230">
        <v>3017500</v>
      </c>
      <c r="BI44" s="230">
        <v>19880625</v>
      </c>
      <c r="BJ44" s="230">
        <v>-16863125</v>
      </c>
      <c r="BK44" s="229">
        <v>-0.84819999999999995</v>
      </c>
      <c r="BL44" s="230">
        <v>2649375</v>
      </c>
      <c r="BM44" s="230">
        <v>8082500</v>
      </c>
      <c r="BN44" s="230">
        <v>-5433125</v>
      </c>
      <c r="BO44" s="229">
        <v>-0.67220000000000002</v>
      </c>
      <c r="BP44" s="230">
        <v>6893125</v>
      </c>
      <c r="BQ44" s="230">
        <v>31267500</v>
      </c>
      <c r="BR44" s="230">
        <v>-24374375</v>
      </c>
      <c r="BS44" s="229">
        <v>-0.77949999999999997</v>
      </c>
      <c r="BT44" s="230">
        <v>678700</v>
      </c>
      <c r="BU44" s="230">
        <v>1843859</v>
      </c>
      <c r="BV44" s="230">
        <v>-1165159</v>
      </c>
      <c r="BW44" s="229">
        <v>-0.63190000000000002</v>
      </c>
      <c r="BX44" s="230">
        <v>11300000</v>
      </c>
      <c r="BY44" s="230">
        <v>11503125</v>
      </c>
      <c r="BZ44" s="230">
        <v>-203125</v>
      </c>
      <c r="CA44" s="229">
        <v>-1.77E-2</v>
      </c>
      <c r="CB44" s="230">
        <v>11099375</v>
      </c>
      <c r="CC44" s="230">
        <v>11305625</v>
      </c>
      <c r="CD44" s="230">
        <v>-206250</v>
      </c>
      <c r="CE44" s="229">
        <v>-1.8200000000000001E-2</v>
      </c>
      <c r="CF44" s="230">
        <v>178125</v>
      </c>
      <c r="CG44" s="230">
        <v>178125</v>
      </c>
      <c r="CH44" s="228">
        <v>0</v>
      </c>
      <c r="CI44" s="229">
        <v>0</v>
      </c>
      <c r="CJ44" s="230">
        <v>22500</v>
      </c>
      <c r="CK44" s="230">
        <v>19375</v>
      </c>
      <c r="CL44" s="230">
        <v>3125</v>
      </c>
      <c r="CM44" s="229">
        <v>0.1613</v>
      </c>
      <c r="CN44" s="230">
        <v>5303125</v>
      </c>
      <c r="CO44" s="230">
        <v>5150000</v>
      </c>
      <c r="CP44" s="230">
        <v>153125</v>
      </c>
      <c r="CQ44" s="229">
        <v>2.9700000000000001E-2</v>
      </c>
      <c r="CR44" s="230">
        <v>4533125</v>
      </c>
      <c r="CS44" s="230">
        <v>4563125</v>
      </c>
      <c r="CT44" s="230">
        <v>-30000</v>
      </c>
      <c r="CU44" s="229">
        <v>-6.6E-3</v>
      </c>
      <c r="CV44" s="230">
        <v>21136250</v>
      </c>
      <c r="CW44" s="230">
        <v>21216250</v>
      </c>
      <c r="CX44" s="230">
        <v>-80000</v>
      </c>
      <c r="CY44" s="229">
        <v>-3.8E-3</v>
      </c>
      <c r="CZ44" s="228">
        <v>24.28</v>
      </c>
      <c r="DA44" s="228">
        <v>24.41</v>
      </c>
      <c r="DB44" s="228">
        <v>-0.13</v>
      </c>
      <c r="DC44" s="228">
        <v>-0.13</v>
      </c>
      <c r="DD44" s="228">
        <v>37.380000000000003</v>
      </c>
      <c r="DE44" s="228">
        <v>37.450000000000003</v>
      </c>
      <c r="DF44" s="228">
        <v>-13.1</v>
      </c>
      <c r="DG44" s="228">
        <v>-7.0000000000000007E-2</v>
      </c>
      <c r="DH44" s="228">
        <v>24.17</v>
      </c>
      <c r="DI44" s="228">
        <v>24.1</v>
      </c>
      <c r="DJ44" s="228">
        <v>7.0000000000000007E-2</v>
      </c>
      <c r="DK44" s="228">
        <v>7.0000000000000007E-2</v>
      </c>
      <c r="DL44" s="228">
        <v>24.39</v>
      </c>
      <c r="DM44" s="228">
        <v>25.16</v>
      </c>
      <c r="DN44" s="228">
        <v>-0.77</v>
      </c>
      <c r="DO44" s="228">
        <v>-0.77</v>
      </c>
      <c r="DP44" s="228">
        <v>0.85</v>
      </c>
      <c r="DQ44" s="228">
        <v>0.89</v>
      </c>
      <c r="DR44" s="228">
        <v>-0.04</v>
      </c>
      <c r="DS44" s="229">
        <v>-4.4900000000000002E-2</v>
      </c>
      <c r="DT44" s="231">
        <v>1720</v>
      </c>
      <c r="DU44" s="231">
        <v>1700</v>
      </c>
      <c r="DV44" s="228">
        <v>0.88</v>
      </c>
      <c r="DW44" s="228">
        <v>0.41</v>
      </c>
      <c r="DX44" s="228">
        <v>0.47</v>
      </c>
      <c r="DY44" s="229">
        <v>1.1463000000000001</v>
      </c>
      <c r="DZ44" s="229">
        <v>1.78E-2</v>
      </c>
      <c r="EA44" s="230">
        <v>197500</v>
      </c>
      <c r="EB44" s="229">
        <v>1.9E-3</v>
      </c>
      <c r="EC44" s="229">
        <v>1.78E-2</v>
      </c>
      <c r="ED44" s="228">
        <v>1.63</v>
      </c>
      <c r="EE44" s="229">
        <v>8.9999999999999998E-4</v>
      </c>
      <c r="EF44" s="230">
        <v>398468</v>
      </c>
      <c r="EG44" s="230">
        <v>752099</v>
      </c>
      <c r="EH44" s="229">
        <v>-0.47020000000000001</v>
      </c>
      <c r="EI44" s="229">
        <v>0.58709999999999996</v>
      </c>
      <c r="EJ44" s="231">
        <v>56618.76</v>
      </c>
      <c r="EK44" s="231">
        <v>46621.51</v>
      </c>
      <c r="EL44" s="231">
        <v>22011.18</v>
      </c>
      <c r="EM44" s="231">
        <v>3741</v>
      </c>
      <c r="EN44" s="231">
        <v>125251.45</v>
      </c>
      <c r="EO44" s="231">
        <v>577295.4</v>
      </c>
      <c r="EP44" s="231">
        <v>-452043.95</v>
      </c>
      <c r="EQ44" s="229">
        <v>-0.78300000000000003</v>
      </c>
      <c r="ER44" s="231">
        <v>95674</v>
      </c>
      <c r="ES44" s="231">
        <v>74931</v>
      </c>
      <c r="ET44" s="231">
        <v>202809</v>
      </c>
      <c r="EU44" s="231">
        <v>63257923</v>
      </c>
      <c r="EV44" s="231">
        <v>373414</v>
      </c>
      <c r="EW44" s="231">
        <v>376843</v>
      </c>
      <c r="EX44" s="231">
        <v>-3429</v>
      </c>
      <c r="EY44" s="229">
        <v>-9.1000000000000004E-3</v>
      </c>
      <c r="EZ44" s="229">
        <v>0.33410000000000001</v>
      </c>
      <c r="FA44" s="227" t="s">
        <v>568</v>
      </c>
      <c r="FB44" s="161">
        <f t="shared" si="0"/>
        <v>200625</v>
      </c>
    </row>
    <row r="45" spans="1:158" ht="17.25" hidden="1" thickBot="1" x14ac:dyDescent="0.3">
      <c r="A45" s="226">
        <v>46029</v>
      </c>
      <c r="B45" s="227" t="s">
        <v>170</v>
      </c>
      <c r="C45" s="227" t="s">
        <v>199</v>
      </c>
      <c r="D45" s="228">
        <v>375</v>
      </c>
      <c r="E45" s="231">
        <v>1471.6</v>
      </c>
      <c r="F45" s="231">
        <v>1537.9</v>
      </c>
      <c r="G45" s="228">
        <v>-66.3</v>
      </c>
      <c r="H45" s="229">
        <v>-4.3099999999999999E-2</v>
      </c>
      <c r="I45" s="231">
        <v>1467.9</v>
      </c>
      <c r="J45" s="231">
        <v>1530.8</v>
      </c>
      <c r="K45" s="228">
        <v>-62.9</v>
      </c>
      <c r="L45" s="229">
        <v>-4.1099999999999998E-2</v>
      </c>
      <c r="M45" s="231">
        <v>1471.6</v>
      </c>
      <c r="N45" s="231">
        <v>1537.9</v>
      </c>
      <c r="O45" s="228">
        <v>-66.3</v>
      </c>
      <c r="P45" s="229">
        <v>-4.3099999999999999E-2</v>
      </c>
      <c r="Q45" s="231">
        <v>1480.1</v>
      </c>
      <c r="R45" s="231">
        <v>1546.7</v>
      </c>
      <c r="S45" s="228">
        <v>-66.599999999999994</v>
      </c>
      <c r="T45" s="229">
        <v>-4.3099999999999999E-2</v>
      </c>
      <c r="U45" s="231">
        <v>1490.4</v>
      </c>
      <c r="V45" s="231">
        <v>1557.4</v>
      </c>
      <c r="W45" s="228">
        <v>-67</v>
      </c>
      <c r="X45" s="229">
        <v>-4.2999999999999997E-2</v>
      </c>
      <c r="Y45" s="228">
        <v>3.7</v>
      </c>
      <c r="Z45" s="228">
        <v>7.1</v>
      </c>
      <c r="AA45" s="228">
        <v>-3.4</v>
      </c>
      <c r="AB45" s="229">
        <v>2.5000000000000001E-3</v>
      </c>
      <c r="AC45" s="228">
        <v>3.7</v>
      </c>
      <c r="AD45" s="228">
        <v>7.1</v>
      </c>
      <c r="AE45" s="228">
        <v>-3.4</v>
      </c>
      <c r="AF45" s="229">
        <v>2.5000000000000001E-3</v>
      </c>
      <c r="AG45" s="228">
        <v>12.2</v>
      </c>
      <c r="AH45" s="228">
        <v>15.9</v>
      </c>
      <c r="AI45" s="228">
        <v>-3.7</v>
      </c>
      <c r="AJ45" s="229">
        <v>8.3000000000000001E-3</v>
      </c>
      <c r="AK45" s="228">
        <v>22.5</v>
      </c>
      <c r="AL45" s="228">
        <v>26.6</v>
      </c>
      <c r="AM45" s="228">
        <v>-4.0999999999999996</v>
      </c>
      <c r="AN45" s="229">
        <v>1.5299999999999999E-2</v>
      </c>
      <c r="AO45" s="231">
        <v>1485.69</v>
      </c>
      <c r="AP45" s="231">
        <v>1491.94</v>
      </c>
      <c r="AQ45" s="228">
        <v>0</v>
      </c>
      <c r="AR45" s="230">
        <v>6790125</v>
      </c>
      <c r="AS45" s="230">
        <v>1677000</v>
      </c>
      <c r="AT45" s="230">
        <v>5113125</v>
      </c>
      <c r="AU45" s="229">
        <v>3.0489999999999999</v>
      </c>
      <c r="AV45" s="230">
        <v>6268875</v>
      </c>
      <c r="AW45" s="230">
        <v>1561125</v>
      </c>
      <c r="AX45" s="230">
        <v>4707750</v>
      </c>
      <c r="AY45" s="229">
        <v>3.0156000000000001</v>
      </c>
      <c r="AZ45" s="230">
        <v>439875</v>
      </c>
      <c r="BA45" s="230">
        <v>101625</v>
      </c>
      <c r="BB45" s="230">
        <v>338250</v>
      </c>
      <c r="BC45" s="229">
        <v>3.3283999999999998</v>
      </c>
      <c r="BD45" s="230">
        <v>81375</v>
      </c>
      <c r="BE45" s="230">
        <v>14250</v>
      </c>
      <c r="BF45" s="230">
        <v>67125</v>
      </c>
      <c r="BG45" s="229">
        <v>4.7104999999999997</v>
      </c>
      <c r="BH45" s="230">
        <v>27893625</v>
      </c>
      <c r="BI45" s="230">
        <v>7629750</v>
      </c>
      <c r="BJ45" s="230">
        <v>20263875</v>
      </c>
      <c r="BK45" s="229">
        <v>2.6558999999999999</v>
      </c>
      <c r="BL45" s="230">
        <v>32335500</v>
      </c>
      <c r="BM45" s="230">
        <v>2749875</v>
      </c>
      <c r="BN45" s="230">
        <v>29585625</v>
      </c>
      <c r="BO45" s="229">
        <v>10.758900000000001</v>
      </c>
      <c r="BP45" s="230">
        <v>67019250</v>
      </c>
      <c r="BQ45" s="230">
        <v>12056625</v>
      </c>
      <c r="BR45" s="230">
        <v>54962625</v>
      </c>
      <c r="BS45" s="229">
        <v>4.5587</v>
      </c>
      <c r="BT45" s="230">
        <v>5440140</v>
      </c>
      <c r="BU45" s="230">
        <v>1635636</v>
      </c>
      <c r="BV45" s="230">
        <v>3804504</v>
      </c>
      <c r="BW45" s="229">
        <v>2.3260000000000001</v>
      </c>
      <c r="BX45" s="230">
        <v>13503375</v>
      </c>
      <c r="BY45" s="230">
        <v>12057000</v>
      </c>
      <c r="BZ45" s="230">
        <v>1446375</v>
      </c>
      <c r="CA45" s="229">
        <v>0.12</v>
      </c>
      <c r="CB45" s="230">
        <v>13117875</v>
      </c>
      <c r="CC45" s="230">
        <v>11902125</v>
      </c>
      <c r="CD45" s="230">
        <v>1215750</v>
      </c>
      <c r="CE45" s="229">
        <v>0.1021</v>
      </c>
      <c r="CF45" s="230">
        <v>318000</v>
      </c>
      <c r="CG45" s="230">
        <v>135750</v>
      </c>
      <c r="CH45" s="230">
        <v>182250</v>
      </c>
      <c r="CI45" s="229">
        <v>1.3425</v>
      </c>
      <c r="CJ45" s="230">
        <v>67500</v>
      </c>
      <c r="CK45" s="230">
        <v>19125</v>
      </c>
      <c r="CL45" s="230">
        <v>48375</v>
      </c>
      <c r="CM45" s="229">
        <v>2.5293999999999999</v>
      </c>
      <c r="CN45" s="230">
        <v>5962500</v>
      </c>
      <c r="CO45" s="230">
        <v>3474000</v>
      </c>
      <c r="CP45" s="230">
        <v>2488500</v>
      </c>
      <c r="CQ45" s="229">
        <v>0.71630000000000005</v>
      </c>
      <c r="CR45" s="230">
        <v>4506375</v>
      </c>
      <c r="CS45" s="230">
        <v>2638875</v>
      </c>
      <c r="CT45" s="230">
        <v>1867500</v>
      </c>
      <c r="CU45" s="229">
        <v>0.7077</v>
      </c>
      <c r="CV45" s="230">
        <v>23972250</v>
      </c>
      <c r="CW45" s="230">
        <v>18169875</v>
      </c>
      <c r="CX45" s="230">
        <v>5802375</v>
      </c>
      <c r="CY45" s="229">
        <v>0.31929999999999997</v>
      </c>
      <c r="CZ45" s="228">
        <v>23.92</v>
      </c>
      <c r="DA45" s="228">
        <v>19.37</v>
      </c>
      <c r="DB45" s="228">
        <v>4.55</v>
      </c>
      <c r="DC45" s="228">
        <v>4.55</v>
      </c>
      <c r="DD45" s="228">
        <v>25.71</v>
      </c>
      <c r="DE45" s="228">
        <v>25.08</v>
      </c>
      <c r="DF45" s="228">
        <v>-1.79</v>
      </c>
      <c r="DG45" s="228">
        <v>0.63</v>
      </c>
      <c r="DH45" s="228">
        <v>23.51</v>
      </c>
      <c r="DI45" s="228">
        <v>19.170000000000002</v>
      </c>
      <c r="DJ45" s="228">
        <v>4.34</v>
      </c>
      <c r="DK45" s="228">
        <v>4.34</v>
      </c>
      <c r="DL45" s="228">
        <v>24.27</v>
      </c>
      <c r="DM45" s="228">
        <v>19.93</v>
      </c>
      <c r="DN45" s="228">
        <v>4.34</v>
      </c>
      <c r="DO45" s="228">
        <v>4.34</v>
      </c>
      <c r="DP45" s="228">
        <v>0.76</v>
      </c>
      <c r="DQ45" s="228">
        <v>0.76</v>
      </c>
      <c r="DR45" s="228">
        <v>0</v>
      </c>
      <c r="DS45" s="229">
        <v>0</v>
      </c>
      <c r="DT45" s="231">
        <v>1500</v>
      </c>
      <c r="DU45" s="231">
        <v>1400</v>
      </c>
      <c r="DV45" s="228">
        <v>1.1599999999999999</v>
      </c>
      <c r="DW45" s="228">
        <v>0.36</v>
      </c>
      <c r="DX45" s="228">
        <v>0.8</v>
      </c>
      <c r="DY45" s="229">
        <v>2.2222</v>
      </c>
      <c r="DZ45" s="229">
        <v>2.8500000000000001E-2</v>
      </c>
      <c r="EA45" s="230">
        <v>154875</v>
      </c>
      <c r="EB45" s="229">
        <v>5.7999999999999996E-3</v>
      </c>
      <c r="EC45" s="229">
        <v>2.8500000000000001E-2</v>
      </c>
      <c r="ED45" s="228">
        <v>6.25</v>
      </c>
      <c r="EE45" s="229">
        <v>4.1999999999999997E-3</v>
      </c>
      <c r="EF45" s="230">
        <v>2527213</v>
      </c>
      <c r="EG45" s="230">
        <v>1131989</v>
      </c>
      <c r="EH45" s="229">
        <v>1.2324999999999999</v>
      </c>
      <c r="EI45" s="229">
        <v>0.46450000000000002</v>
      </c>
      <c r="EJ45" s="231">
        <v>431141.53</v>
      </c>
      <c r="EK45" s="231">
        <v>476643.08</v>
      </c>
      <c r="EL45" s="231">
        <v>100921.28</v>
      </c>
      <c r="EM45" s="231">
        <v>2854</v>
      </c>
      <c r="EN45" s="231">
        <v>1008705.89</v>
      </c>
      <c r="EO45" s="231">
        <v>188222.45</v>
      </c>
      <c r="EP45" s="231">
        <v>820483.44</v>
      </c>
      <c r="EQ45" s="229">
        <v>4.3590999999999998</v>
      </c>
      <c r="ER45" s="231">
        <v>91899</v>
      </c>
      <c r="ES45" s="231">
        <v>64975</v>
      </c>
      <c r="ET45" s="231">
        <v>198755</v>
      </c>
      <c r="EU45" s="231">
        <v>59297360</v>
      </c>
      <c r="EV45" s="231">
        <v>355629</v>
      </c>
      <c r="EW45" s="231">
        <v>278635</v>
      </c>
      <c r="EX45" s="231">
        <v>76994</v>
      </c>
      <c r="EY45" s="229">
        <v>0.27629999999999999</v>
      </c>
      <c r="EZ45" s="229">
        <v>0.40429999999999999</v>
      </c>
      <c r="FA45" s="227" t="s">
        <v>567</v>
      </c>
      <c r="FB45" s="161">
        <f t="shared" si="0"/>
        <v>385500</v>
      </c>
    </row>
    <row r="46" spans="1:158" ht="17.25" hidden="1" thickBot="1" x14ac:dyDescent="0.3">
      <c r="A46" s="226">
        <v>46029</v>
      </c>
      <c r="B46" s="227" t="s">
        <v>227</v>
      </c>
      <c r="C46" s="227" t="s">
        <v>200</v>
      </c>
      <c r="D46" s="228">
        <v>1350</v>
      </c>
      <c r="E46" s="228">
        <v>432.75</v>
      </c>
      <c r="F46" s="228">
        <v>428.15</v>
      </c>
      <c r="G46" s="228">
        <v>4.5999999999999996</v>
      </c>
      <c r="H46" s="229">
        <v>1.0699999999999999E-2</v>
      </c>
      <c r="I46" s="228">
        <v>431.65</v>
      </c>
      <c r="J46" s="228">
        <v>427.05</v>
      </c>
      <c r="K46" s="228">
        <v>4.5999999999999996</v>
      </c>
      <c r="L46" s="229">
        <v>1.0800000000000001E-2</v>
      </c>
      <c r="M46" s="228">
        <v>432.75</v>
      </c>
      <c r="N46" s="228">
        <v>428.15</v>
      </c>
      <c r="O46" s="228">
        <v>4.5999999999999996</v>
      </c>
      <c r="P46" s="229">
        <v>1.0699999999999999E-2</v>
      </c>
      <c r="Q46" s="228">
        <v>430.2</v>
      </c>
      <c r="R46" s="228">
        <v>425.85</v>
      </c>
      <c r="S46" s="228">
        <v>4.3499999999999996</v>
      </c>
      <c r="T46" s="229">
        <v>1.0200000000000001E-2</v>
      </c>
      <c r="U46" s="228">
        <v>432.7</v>
      </c>
      <c r="V46" s="228">
        <v>428.75</v>
      </c>
      <c r="W46" s="228">
        <v>3.95</v>
      </c>
      <c r="X46" s="229">
        <v>9.1999999999999998E-3</v>
      </c>
      <c r="Y46" s="228">
        <v>1.1000000000000001</v>
      </c>
      <c r="Z46" s="228">
        <v>1.1000000000000001</v>
      </c>
      <c r="AA46" s="228">
        <v>0</v>
      </c>
      <c r="AB46" s="229">
        <v>2.5000000000000001E-3</v>
      </c>
      <c r="AC46" s="228">
        <v>1.1000000000000001</v>
      </c>
      <c r="AD46" s="228">
        <v>1.1000000000000001</v>
      </c>
      <c r="AE46" s="228">
        <v>0</v>
      </c>
      <c r="AF46" s="229">
        <v>2.5000000000000001E-3</v>
      </c>
      <c r="AG46" s="228">
        <v>-1.45</v>
      </c>
      <c r="AH46" s="228">
        <v>-1.2</v>
      </c>
      <c r="AI46" s="228">
        <v>-0.25</v>
      </c>
      <c r="AJ46" s="229">
        <v>-3.3999999999999998E-3</v>
      </c>
      <c r="AK46" s="228">
        <v>1.05</v>
      </c>
      <c r="AL46" s="228">
        <v>1.7</v>
      </c>
      <c r="AM46" s="228">
        <v>-0.65</v>
      </c>
      <c r="AN46" s="229">
        <v>2.3999999999999998E-3</v>
      </c>
      <c r="AO46" s="228">
        <v>430</v>
      </c>
      <c r="AP46" s="228">
        <v>427.77</v>
      </c>
      <c r="AQ46" s="228">
        <v>0</v>
      </c>
      <c r="AR46" s="230">
        <v>10118250</v>
      </c>
      <c r="AS46" s="230">
        <v>10197900</v>
      </c>
      <c r="AT46" s="230">
        <v>-79650</v>
      </c>
      <c r="AU46" s="229">
        <v>-7.7999999999999996E-3</v>
      </c>
      <c r="AV46" s="230">
        <v>9221850</v>
      </c>
      <c r="AW46" s="230">
        <v>9139500</v>
      </c>
      <c r="AX46" s="230">
        <v>82350</v>
      </c>
      <c r="AY46" s="229">
        <v>8.9999999999999993E-3</v>
      </c>
      <c r="AZ46" s="230">
        <v>787050</v>
      </c>
      <c r="BA46" s="230">
        <v>918000</v>
      </c>
      <c r="BB46" s="230">
        <v>-130950</v>
      </c>
      <c r="BC46" s="229">
        <v>-0.1426</v>
      </c>
      <c r="BD46" s="230">
        <v>109350</v>
      </c>
      <c r="BE46" s="230">
        <v>140400</v>
      </c>
      <c r="BF46" s="230">
        <v>-31050</v>
      </c>
      <c r="BG46" s="229">
        <v>-0.22120000000000001</v>
      </c>
      <c r="BH46" s="230">
        <v>55294650</v>
      </c>
      <c r="BI46" s="230">
        <v>46579050</v>
      </c>
      <c r="BJ46" s="230">
        <v>8715600</v>
      </c>
      <c r="BK46" s="229">
        <v>0.18709999999999999</v>
      </c>
      <c r="BL46" s="230">
        <v>17531100</v>
      </c>
      <c r="BM46" s="230">
        <v>20034000</v>
      </c>
      <c r="BN46" s="230">
        <v>-2502900</v>
      </c>
      <c r="BO46" s="229">
        <v>-0.1249</v>
      </c>
      <c r="BP46" s="230">
        <v>82944000</v>
      </c>
      <c r="BQ46" s="230">
        <v>76810950</v>
      </c>
      <c r="BR46" s="230">
        <v>6133050</v>
      </c>
      <c r="BS46" s="229">
        <v>7.9799999999999996E-2</v>
      </c>
      <c r="BT46" s="230">
        <v>9343715</v>
      </c>
      <c r="BU46" s="230">
        <v>7261171</v>
      </c>
      <c r="BV46" s="230">
        <v>2082544</v>
      </c>
      <c r="BW46" s="229">
        <v>0.2868</v>
      </c>
      <c r="BX46" s="230">
        <v>53866350</v>
      </c>
      <c r="BY46" s="230">
        <v>55011150</v>
      </c>
      <c r="BZ46" s="230">
        <v>-1144800</v>
      </c>
      <c r="CA46" s="229">
        <v>-2.0799999999999999E-2</v>
      </c>
      <c r="CB46" s="230">
        <v>50319900</v>
      </c>
      <c r="CC46" s="230">
        <v>51493050</v>
      </c>
      <c r="CD46" s="230">
        <v>-1173150</v>
      </c>
      <c r="CE46" s="229">
        <v>-2.2800000000000001E-2</v>
      </c>
      <c r="CF46" s="230">
        <v>3152250</v>
      </c>
      <c r="CG46" s="230">
        <v>3123900</v>
      </c>
      <c r="CH46" s="230">
        <v>28350</v>
      </c>
      <c r="CI46" s="229">
        <v>9.1000000000000004E-3</v>
      </c>
      <c r="CJ46" s="230">
        <v>394200</v>
      </c>
      <c r="CK46" s="230">
        <v>394200</v>
      </c>
      <c r="CL46" s="228">
        <v>0</v>
      </c>
      <c r="CM46" s="229">
        <v>0</v>
      </c>
      <c r="CN46" s="230">
        <v>48363750</v>
      </c>
      <c r="CO46" s="230">
        <v>46414350</v>
      </c>
      <c r="CP46" s="230">
        <v>1949400</v>
      </c>
      <c r="CQ46" s="229">
        <v>4.2000000000000003E-2</v>
      </c>
      <c r="CR46" s="230">
        <v>27313200</v>
      </c>
      <c r="CS46" s="230">
        <v>26242650</v>
      </c>
      <c r="CT46" s="230">
        <v>1070550</v>
      </c>
      <c r="CU46" s="229">
        <v>4.0800000000000003E-2</v>
      </c>
      <c r="CV46" s="230">
        <v>129543300</v>
      </c>
      <c r="CW46" s="230">
        <v>127668150</v>
      </c>
      <c r="CX46" s="230">
        <v>1875150</v>
      </c>
      <c r="CY46" s="229">
        <v>1.47E-2</v>
      </c>
      <c r="CZ46" s="228">
        <v>23.62</v>
      </c>
      <c r="DA46" s="228">
        <v>24.31</v>
      </c>
      <c r="DB46" s="228">
        <v>-0.69</v>
      </c>
      <c r="DC46" s="228">
        <v>-0.69</v>
      </c>
      <c r="DD46" s="228">
        <v>27.94</v>
      </c>
      <c r="DE46" s="228">
        <v>27.98</v>
      </c>
      <c r="DF46" s="228">
        <v>-4.32</v>
      </c>
      <c r="DG46" s="228">
        <v>-0.04</v>
      </c>
      <c r="DH46" s="228">
        <v>23.45</v>
      </c>
      <c r="DI46" s="228">
        <v>24.36</v>
      </c>
      <c r="DJ46" s="228">
        <v>-0.91</v>
      </c>
      <c r="DK46" s="228">
        <v>-0.91</v>
      </c>
      <c r="DL46" s="228">
        <v>24.16</v>
      </c>
      <c r="DM46" s="228">
        <v>24.2</v>
      </c>
      <c r="DN46" s="228">
        <v>-0.04</v>
      </c>
      <c r="DO46" s="228">
        <v>-0.04</v>
      </c>
      <c r="DP46" s="228">
        <v>0.56000000000000005</v>
      </c>
      <c r="DQ46" s="228">
        <v>0.56999999999999995</v>
      </c>
      <c r="DR46" s="228">
        <v>-0.01</v>
      </c>
      <c r="DS46" s="229">
        <v>-1.7500000000000002E-2</v>
      </c>
      <c r="DT46" s="228">
        <v>430</v>
      </c>
      <c r="DU46" s="228">
        <v>400</v>
      </c>
      <c r="DV46" s="228">
        <v>0.32</v>
      </c>
      <c r="DW46" s="228">
        <v>0.43</v>
      </c>
      <c r="DX46" s="228">
        <v>-0.11</v>
      </c>
      <c r="DY46" s="229">
        <v>-0.25580000000000003</v>
      </c>
      <c r="DZ46" s="229">
        <v>6.5799999999999997E-2</v>
      </c>
      <c r="EA46" s="230">
        <v>3518100</v>
      </c>
      <c r="EB46" s="229">
        <v>-5.8999999999999999E-3</v>
      </c>
      <c r="EC46" s="229">
        <v>6.5799999999999997E-2</v>
      </c>
      <c r="ED46" s="228">
        <v>-2.23</v>
      </c>
      <c r="EE46" s="229">
        <v>-5.1999999999999998E-3</v>
      </c>
      <c r="EF46" s="230">
        <v>4704270</v>
      </c>
      <c r="EG46" s="230">
        <v>3242521</v>
      </c>
      <c r="EH46" s="229">
        <v>0.45079999999999998</v>
      </c>
      <c r="EI46" s="229">
        <v>0.50349999999999995</v>
      </c>
      <c r="EJ46" s="231">
        <v>246884.91</v>
      </c>
      <c r="EK46" s="231">
        <v>74363.95</v>
      </c>
      <c r="EL46" s="231">
        <v>43491.9</v>
      </c>
      <c r="EM46" s="231">
        <v>14234</v>
      </c>
      <c r="EN46" s="231">
        <v>364740.76</v>
      </c>
      <c r="EO46" s="231">
        <v>335699.21</v>
      </c>
      <c r="EP46" s="231">
        <v>29041.55</v>
      </c>
      <c r="EQ46" s="229">
        <v>8.6499999999999994E-2</v>
      </c>
      <c r="ER46" s="231">
        <v>211047</v>
      </c>
      <c r="ES46" s="231">
        <v>110713</v>
      </c>
      <c r="ET46" s="231">
        <v>233026</v>
      </c>
      <c r="EU46" s="231">
        <v>278206904</v>
      </c>
      <c r="EV46" s="231">
        <v>554786</v>
      </c>
      <c r="EW46" s="231">
        <v>543397</v>
      </c>
      <c r="EX46" s="231">
        <v>11389</v>
      </c>
      <c r="EY46" s="229">
        <v>2.1000000000000001E-2</v>
      </c>
      <c r="EZ46" s="229">
        <v>0.46560000000000001</v>
      </c>
      <c r="FA46" s="227" t="s">
        <v>556</v>
      </c>
      <c r="FB46" s="161">
        <f t="shared" si="0"/>
        <v>3546450</v>
      </c>
    </row>
    <row r="47" spans="1:158" ht="17.25" hidden="1" thickBot="1" x14ac:dyDescent="0.3">
      <c r="A47" s="226">
        <v>46029</v>
      </c>
      <c r="B47" s="227" t="s">
        <v>221</v>
      </c>
      <c r="C47" s="227" t="s">
        <v>470</v>
      </c>
      <c r="D47" s="228">
        <v>375</v>
      </c>
      <c r="E47" s="231">
        <v>1704.2</v>
      </c>
      <c r="F47" s="231">
        <v>1661.5</v>
      </c>
      <c r="G47" s="228">
        <v>42.7</v>
      </c>
      <c r="H47" s="229">
        <v>2.5700000000000001E-2</v>
      </c>
      <c r="I47" s="231">
        <v>1701.5</v>
      </c>
      <c r="J47" s="231">
        <v>1657.1</v>
      </c>
      <c r="K47" s="228">
        <v>44.4</v>
      </c>
      <c r="L47" s="229">
        <v>2.6800000000000001E-2</v>
      </c>
      <c r="M47" s="231">
        <v>1704.2</v>
      </c>
      <c r="N47" s="231">
        <v>1661.5</v>
      </c>
      <c r="O47" s="228">
        <v>42.7</v>
      </c>
      <c r="P47" s="229">
        <v>2.5700000000000001E-2</v>
      </c>
      <c r="Q47" s="231">
        <v>1709.5</v>
      </c>
      <c r="R47" s="231">
        <v>1665.8</v>
      </c>
      <c r="S47" s="228">
        <v>43.7</v>
      </c>
      <c r="T47" s="229">
        <v>2.6200000000000001E-2</v>
      </c>
      <c r="U47" s="231">
        <v>1717.6</v>
      </c>
      <c r="V47" s="231">
        <v>1674.2</v>
      </c>
      <c r="W47" s="228">
        <v>43.4</v>
      </c>
      <c r="X47" s="229">
        <v>2.5899999999999999E-2</v>
      </c>
      <c r="Y47" s="228">
        <v>2.7</v>
      </c>
      <c r="Z47" s="228">
        <v>4.4000000000000004</v>
      </c>
      <c r="AA47" s="228">
        <v>-1.7</v>
      </c>
      <c r="AB47" s="229">
        <v>1.6000000000000001E-3</v>
      </c>
      <c r="AC47" s="228">
        <v>2.7</v>
      </c>
      <c r="AD47" s="228">
        <v>4.4000000000000004</v>
      </c>
      <c r="AE47" s="228">
        <v>-1.7</v>
      </c>
      <c r="AF47" s="229">
        <v>1.6000000000000001E-3</v>
      </c>
      <c r="AG47" s="228">
        <v>8</v>
      </c>
      <c r="AH47" s="228">
        <v>8.6999999999999993</v>
      </c>
      <c r="AI47" s="228">
        <v>-0.7</v>
      </c>
      <c r="AJ47" s="229">
        <v>4.7000000000000002E-3</v>
      </c>
      <c r="AK47" s="228">
        <v>16.100000000000001</v>
      </c>
      <c r="AL47" s="228">
        <v>17.100000000000001</v>
      </c>
      <c r="AM47" s="228">
        <v>-1</v>
      </c>
      <c r="AN47" s="229">
        <v>9.4999999999999998E-3</v>
      </c>
      <c r="AO47" s="231">
        <v>1693.21</v>
      </c>
      <c r="AP47" s="231">
        <v>1696.89</v>
      </c>
      <c r="AQ47" s="228">
        <v>0</v>
      </c>
      <c r="AR47" s="230">
        <v>4288500</v>
      </c>
      <c r="AS47" s="230">
        <v>2687625</v>
      </c>
      <c r="AT47" s="230">
        <v>1600875</v>
      </c>
      <c r="AU47" s="229">
        <v>0.59560000000000002</v>
      </c>
      <c r="AV47" s="230">
        <v>4020000</v>
      </c>
      <c r="AW47" s="230">
        <v>2442750</v>
      </c>
      <c r="AX47" s="230">
        <v>1577250</v>
      </c>
      <c r="AY47" s="229">
        <v>0.64570000000000005</v>
      </c>
      <c r="AZ47" s="230">
        <v>226125</v>
      </c>
      <c r="BA47" s="230">
        <v>209250</v>
      </c>
      <c r="BB47" s="230">
        <v>16875</v>
      </c>
      <c r="BC47" s="229">
        <v>8.0600000000000005E-2</v>
      </c>
      <c r="BD47" s="230">
        <v>42375</v>
      </c>
      <c r="BE47" s="230">
        <v>35625</v>
      </c>
      <c r="BF47" s="230">
        <v>6750</v>
      </c>
      <c r="BG47" s="229">
        <v>0.1895</v>
      </c>
      <c r="BH47" s="230">
        <v>16908375</v>
      </c>
      <c r="BI47" s="230">
        <v>7968375</v>
      </c>
      <c r="BJ47" s="230">
        <v>8940000</v>
      </c>
      <c r="BK47" s="229">
        <v>1.1218999999999999</v>
      </c>
      <c r="BL47" s="230">
        <v>5315625</v>
      </c>
      <c r="BM47" s="230">
        <v>2287875</v>
      </c>
      <c r="BN47" s="230">
        <v>3027750</v>
      </c>
      <c r="BO47" s="229">
        <v>1.3233999999999999</v>
      </c>
      <c r="BP47" s="230">
        <v>26512500</v>
      </c>
      <c r="BQ47" s="230">
        <v>12943875</v>
      </c>
      <c r="BR47" s="230">
        <v>13568625</v>
      </c>
      <c r="BS47" s="229">
        <v>1.0483</v>
      </c>
      <c r="BT47" s="230">
        <v>1965746</v>
      </c>
      <c r="BU47" s="230">
        <v>1456278</v>
      </c>
      <c r="BV47" s="230">
        <v>509468</v>
      </c>
      <c r="BW47" s="229">
        <v>0.3498</v>
      </c>
      <c r="BX47" s="230">
        <v>16648500</v>
      </c>
      <c r="BY47" s="230">
        <v>17063625</v>
      </c>
      <c r="BZ47" s="230">
        <v>-415125</v>
      </c>
      <c r="CA47" s="229">
        <v>-2.4299999999999999E-2</v>
      </c>
      <c r="CB47" s="230">
        <v>16043625</v>
      </c>
      <c r="CC47" s="230">
        <v>16449000</v>
      </c>
      <c r="CD47" s="230">
        <v>-405375</v>
      </c>
      <c r="CE47" s="229">
        <v>-2.46E-2</v>
      </c>
      <c r="CF47" s="230">
        <v>555375</v>
      </c>
      <c r="CG47" s="230">
        <v>569250</v>
      </c>
      <c r="CH47" s="230">
        <v>-13875</v>
      </c>
      <c r="CI47" s="229">
        <v>-2.4400000000000002E-2</v>
      </c>
      <c r="CJ47" s="230">
        <v>49500</v>
      </c>
      <c r="CK47" s="230">
        <v>45375</v>
      </c>
      <c r="CL47" s="230">
        <v>4125</v>
      </c>
      <c r="CM47" s="229">
        <v>9.0899999999999995E-2</v>
      </c>
      <c r="CN47" s="230">
        <v>10458750</v>
      </c>
      <c r="CO47" s="230">
        <v>10960500</v>
      </c>
      <c r="CP47" s="230">
        <v>-501750</v>
      </c>
      <c r="CQ47" s="229">
        <v>-4.58E-2</v>
      </c>
      <c r="CR47" s="230">
        <v>5174625</v>
      </c>
      <c r="CS47" s="230">
        <v>5354625</v>
      </c>
      <c r="CT47" s="230">
        <v>-180000</v>
      </c>
      <c r="CU47" s="229">
        <v>-3.3599999999999998E-2</v>
      </c>
      <c r="CV47" s="230">
        <v>32281875</v>
      </c>
      <c r="CW47" s="230">
        <v>33378750</v>
      </c>
      <c r="CX47" s="230">
        <v>-1096875</v>
      </c>
      <c r="CY47" s="229">
        <v>-3.2899999999999999E-2</v>
      </c>
      <c r="CZ47" s="228">
        <v>34.03</v>
      </c>
      <c r="DA47" s="228">
        <v>34.36</v>
      </c>
      <c r="DB47" s="228">
        <v>-0.33</v>
      </c>
      <c r="DC47" s="228">
        <v>-0.33</v>
      </c>
      <c r="DD47" s="228">
        <v>40.950000000000003</v>
      </c>
      <c r="DE47" s="228">
        <v>40.9</v>
      </c>
      <c r="DF47" s="228">
        <v>-6.92</v>
      </c>
      <c r="DG47" s="228">
        <v>0.05</v>
      </c>
      <c r="DH47" s="228">
        <v>34.01</v>
      </c>
      <c r="DI47" s="228">
        <v>34.46</v>
      </c>
      <c r="DJ47" s="228">
        <v>-0.45</v>
      </c>
      <c r="DK47" s="228">
        <v>-0.45</v>
      </c>
      <c r="DL47" s="228">
        <v>34.090000000000003</v>
      </c>
      <c r="DM47" s="228">
        <v>34</v>
      </c>
      <c r="DN47" s="228">
        <v>0.09</v>
      </c>
      <c r="DO47" s="228">
        <v>0.09</v>
      </c>
      <c r="DP47" s="228">
        <v>0.49</v>
      </c>
      <c r="DQ47" s="228">
        <v>0.49</v>
      </c>
      <c r="DR47" s="228">
        <v>0</v>
      </c>
      <c r="DS47" s="229">
        <v>0</v>
      </c>
      <c r="DT47" s="231">
        <v>1700</v>
      </c>
      <c r="DU47" s="231">
        <v>1600</v>
      </c>
      <c r="DV47" s="228">
        <v>0.31</v>
      </c>
      <c r="DW47" s="228">
        <v>0.28999999999999998</v>
      </c>
      <c r="DX47" s="228">
        <v>0.02</v>
      </c>
      <c r="DY47" s="229">
        <v>6.9000000000000006E-2</v>
      </c>
      <c r="DZ47" s="229">
        <v>3.6299999999999999E-2</v>
      </c>
      <c r="EA47" s="230">
        <v>614625</v>
      </c>
      <c r="EB47" s="229">
        <v>3.0999999999999999E-3</v>
      </c>
      <c r="EC47" s="229">
        <v>3.6299999999999999E-2</v>
      </c>
      <c r="ED47" s="228">
        <v>3.68</v>
      </c>
      <c r="EE47" s="229">
        <v>2.2000000000000001E-3</v>
      </c>
      <c r="EF47" s="230">
        <v>931698</v>
      </c>
      <c r="EG47" s="230">
        <v>777669</v>
      </c>
      <c r="EH47" s="229">
        <v>0.1981</v>
      </c>
      <c r="EI47" s="229">
        <v>0.47399999999999998</v>
      </c>
      <c r="EJ47" s="231">
        <v>302382.28000000003</v>
      </c>
      <c r="EK47" s="231">
        <v>87826.86</v>
      </c>
      <c r="EL47" s="231">
        <v>72626.100000000006</v>
      </c>
      <c r="EM47" s="231">
        <v>7176</v>
      </c>
      <c r="EN47" s="231">
        <v>462835.24</v>
      </c>
      <c r="EO47" s="231">
        <v>221736.11</v>
      </c>
      <c r="EP47" s="231">
        <v>241099.13</v>
      </c>
      <c r="EQ47" s="229">
        <v>1.0872999999999999</v>
      </c>
      <c r="ER47" s="231">
        <v>186771</v>
      </c>
      <c r="ES47" s="231">
        <v>84523</v>
      </c>
      <c r="ET47" s="231">
        <v>283760</v>
      </c>
      <c r="EU47" s="231">
        <v>50189409</v>
      </c>
      <c r="EV47" s="231">
        <v>555053</v>
      </c>
      <c r="EW47" s="231">
        <v>565169</v>
      </c>
      <c r="EX47" s="231">
        <v>-10116</v>
      </c>
      <c r="EY47" s="229">
        <v>-1.7899999999999999E-2</v>
      </c>
      <c r="EZ47" s="229">
        <v>0.64319999999999999</v>
      </c>
      <c r="FA47" s="227" t="s">
        <v>556</v>
      </c>
      <c r="FB47" s="161">
        <f t="shared" si="0"/>
        <v>604875</v>
      </c>
    </row>
    <row r="48" spans="1:158" ht="17.25" hidden="1" thickBot="1" x14ac:dyDescent="0.3">
      <c r="A48" s="226">
        <v>46029</v>
      </c>
      <c r="B48" s="227" t="s">
        <v>168</v>
      </c>
      <c r="C48" s="227" t="s">
        <v>201</v>
      </c>
      <c r="D48" s="228">
        <v>225</v>
      </c>
      <c r="E48" s="231">
        <v>2081.3000000000002</v>
      </c>
      <c r="F48" s="231">
        <v>2100.1</v>
      </c>
      <c r="G48" s="228">
        <v>-18.8</v>
      </c>
      <c r="H48" s="229">
        <v>-8.9999999999999993E-3</v>
      </c>
      <c r="I48" s="231">
        <v>2076.6</v>
      </c>
      <c r="J48" s="231">
        <v>2089.1</v>
      </c>
      <c r="K48" s="228">
        <v>-12.5</v>
      </c>
      <c r="L48" s="229">
        <v>-6.0000000000000001E-3</v>
      </c>
      <c r="M48" s="231">
        <v>2081.3000000000002</v>
      </c>
      <c r="N48" s="231">
        <v>2100.1</v>
      </c>
      <c r="O48" s="228">
        <v>-18.8</v>
      </c>
      <c r="P48" s="229">
        <v>-8.9999999999999993E-3</v>
      </c>
      <c r="Q48" s="231">
        <v>2090.8000000000002</v>
      </c>
      <c r="R48" s="231">
        <v>2110.1999999999998</v>
      </c>
      <c r="S48" s="228">
        <v>-19.399999999999999</v>
      </c>
      <c r="T48" s="229">
        <v>-9.1999999999999998E-3</v>
      </c>
      <c r="U48" s="231">
        <v>2101.1999999999998</v>
      </c>
      <c r="V48" s="231">
        <v>2121.6</v>
      </c>
      <c r="W48" s="228">
        <v>-20.399999999999999</v>
      </c>
      <c r="X48" s="229">
        <v>-9.5999999999999992E-3</v>
      </c>
      <c r="Y48" s="228">
        <v>4.7</v>
      </c>
      <c r="Z48" s="228">
        <v>11</v>
      </c>
      <c r="AA48" s="228">
        <v>-6.3</v>
      </c>
      <c r="AB48" s="229">
        <v>2.3E-3</v>
      </c>
      <c r="AC48" s="228">
        <v>4.7</v>
      </c>
      <c r="AD48" s="228">
        <v>11</v>
      </c>
      <c r="AE48" s="228">
        <v>-6.3</v>
      </c>
      <c r="AF48" s="229">
        <v>2.3E-3</v>
      </c>
      <c r="AG48" s="228">
        <v>14.2</v>
      </c>
      <c r="AH48" s="228">
        <v>21.1</v>
      </c>
      <c r="AI48" s="228">
        <v>-6.9</v>
      </c>
      <c r="AJ48" s="229">
        <v>6.7999999999999996E-3</v>
      </c>
      <c r="AK48" s="228">
        <v>24.6</v>
      </c>
      <c r="AL48" s="228">
        <v>32.5</v>
      </c>
      <c r="AM48" s="228">
        <v>-7.9</v>
      </c>
      <c r="AN48" s="229">
        <v>1.18E-2</v>
      </c>
      <c r="AO48" s="231">
        <v>2084.16</v>
      </c>
      <c r="AP48" s="231">
        <v>2091.61</v>
      </c>
      <c r="AQ48" s="228">
        <v>0</v>
      </c>
      <c r="AR48" s="230">
        <v>645300</v>
      </c>
      <c r="AS48" s="230">
        <v>1456650</v>
      </c>
      <c r="AT48" s="230">
        <v>-811350</v>
      </c>
      <c r="AU48" s="229">
        <v>-0.55700000000000005</v>
      </c>
      <c r="AV48" s="230">
        <v>536175</v>
      </c>
      <c r="AW48" s="230">
        <v>1368900</v>
      </c>
      <c r="AX48" s="230">
        <v>-832725</v>
      </c>
      <c r="AY48" s="229">
        <v>-0.60829999999999995</v>
      </c>
      <c r="AZ48" s="230">
        <v>84375</v>
      </c>
      <c r="BA48" s="230">
        <v>80550</v>
      </c>
      <c r="BB48" s="230">
        <v>3825</v>
      </c>
      <c r="BC48" s="229">
        <v>4.7500000000000001E-2</v>
      </c>
      <c r="BD48" s="230">
        <v>24750</v>
      </c>
      <c r="BE48" s="230">
        <v>7200</v>
      </c>
      <c r="BF48" s="230">
        <v>17550</v>
      </c>
      <c r="BG48" s="229">
        <v>2.4375</v>
      </c>
      <c r="BH48" s="230">
        <v>1445850</v>
      </c>
      <c r="BI48" s="230">
        <v>2116350</v>
      </c>
      <c r="BJ48" s="230">
        <v>-670500</v>
      </c>
      <c r="BK48" s="229">
        <v>-0.31680000000000003</v>
      </c>
      <c r="BL48" s="230">
        <v>468900</v>
      </c>
      <c r="BM48" s="230">
        <v>762975</v>
      </c>
      <c r="BN48" s="230">
        <v>-294075</v>
      </c>
      <c r="BO48" s="229">
        <v>-0.38540000000000002</v>
      </c>
      <c r="BP48" s="230">
        <v>2560050</v>
      </c>
      <c r="BQ48" s="230">
        <v>4335975</v>
      </c>
      <c r="BR48" s="230">
        <v>-1775925</v>
      </c>
      <c r="BS48" s="229">
        <v>-0.40960000000000002</v>
      </c>
      <c r="BT48" s="230">
        <v>215787</v>
      </c>
      <c r="BU48" s="230">
        <v>1632051</v>
      </c>
      <c r="BV48" s="230">
        <v>-1416264</v>
      </c>
      <c r="BW48" s="229">
        <v>-0.86780000000000002</v>
      </c>
      <c r="BX48" s="230">
        <v>7048800</v>
      </c>
      <c r="BY48" s="230">
        <v>6950925</v>
      </c>
      <c r="BZ48" s="230">
        <v>97875</v>
      </c>
      <c r="CA48" s="229">
        <v>1.41E-2</v>
      </c>
      <c r="CB48" s="230">
        <v>6714000</v>
      </c>
      <c r="CC48" s="230">
        <v>6664050</v>
      </c>
      <c r="CD48" s="230">
        <v>49950</v>
      </c>
      <c r="CE48" s="229">
        <v>7.4999999999999997E-3</v>
      </c>
      <c r="CF48" s="230">
        <v>295200</v>
      </c>
      <c r="CG48" s="230">
        <v>265725</v>
      </c>
      <c r="CH48" s="230">
        <v>29475</v>
      </c>
      <c r="CI48" s="229">
        <v>0.1109</v>
      </c>
      <c r="CJ48" s="230">
        <v>39600</v>
      </c>
      <c r="CK48" s="230">
        <v>21150</v>
      </c>
      <c r="CL48" s="230">
        <v>18450</v>
      </c>
      <c r="CM48" s="229">
        <v>0.87229999999999996</v>
      </c>
      <c r="CN48" s="230">
        <v>2585025</v>
      </c>
      <c r="CO48" s="230">
        <v>2408625</v>
      </c>
      <c r="CP48" s="230">
        <v>176400</v>
      </c>
      <c r="CQ48" s="229">
        <v>7.3200000000000001E-2</v>
      </c>
      <c r="CR48" s="230">
        <v>1579950</v>
      </c>
      <c r="CS48" s="230">
        <v>1544400</v>
      </c>
      <c r="CT48" s="230">
        <v>35550</v>
      </c>
      <c r="CU48" s="229">
        <v>2.3E-2</v>
      </c>
      <c r="CV48" s="230">
        <v>11213775</v>
      </c>
      <c r="CW48" s="230">
        <v>10903950</v>
      </c>
      <c r="CX48" s="230">
        <v>309825</v>
      </c>
      <c r="CY48" s="229">
        <v>2.8400000000000002E-2</v>
      </c>
      <c r="CZ48" s="228">
        <v>22.26</v>
      </c>
      <c r="DA48" s="228">
        <v>20.98</v>
      </c>
      <c r="DB48" s="228">
        <v>1.28</v>
      </c>
      <c r="DC48" s="228">
        <v>1.28</v>
      </c>
      <c r="DD48" s="228">
        <v>26.38</v>
      </c>
      <c r="DE48" s="228">
        <v>26.42</v>
      </c>
      <c r="DF48" s="228">
        <v>-4.12</v>
      </c>
      <c r="DG48" s="228">
        <v>-0.04</v>
      </c>
      <c r="DH48" s="228">
        <v>22.34</v>
      </c>
      <c r="DI48" s="228">
        <v>21.09</v>
      </c>
      <c r="DJ48" s="228">
        <v>1.25</v>
      </c>
      <c r="DK48" s="228">
        <v>1.25</v>
      </c>
      <c r="DL48" s="228">
        <v>22.02</v>
      </c>
      <c r="DM48" s="228">
        <v>20.68</v>
      </c>
      <c r="DN48" s="228">
        <v>1.34</v>
      </c>
      <c r="DO48" s="228">
        <v>1.34</v>
      </c>
      <c r="DP48" s="228">
        <v>0.61</v>
      </c>
      <c r="DQ48" s="228">
        <v>0.64</v>
      </c>
      <c r="DR48" s="228">
        <v>-0.03</v>
      </c>
      <c r="DS48" s="229">
        <v>-4.6899999999999997E-2</v>
      </c>
      <c r="DT48" s="231">
        <v>2200</v>
      </c>
      <c r="DU48" s="231">
        <v>2100</v>
      </c>
      <c r="DV48" s="228">
        <v>0.32</v>
      </c>
      <c r="DW48" s="228">
        <v>0.36</v>
      </c>
      <c r="DX48" s="228">
        <v>-0.04</v>
      </c>
      <c r="DY48" s="229">
        <v>-0.1111</v>
      </c>
      <c r="DZ48" s="229">
        <v>4.7500000000000001E-2</v>
      </c>
      <c r="EA48" s="230">
        <v>286875</v>
      </c>
      <c r="EB48" s="229">
        <v>4.5999999999999999E-3</v>
      </c>
      <c r="EC48" s="229">
        <v>4.7500000000000001E-2</v>
      </c>
      <c r="ED48" s="228">
        <v>7.45</v>
      </c>
      <c r="EE48" s="229">
        <v>3.5999999999999999E-3</v>
      </c>
      <c r="EF48" s="230">
        <v>99982</v>
      </c>
      <c r="EG48" s="230">
        <v>1377179</v>
      </c>
      <c r="EH48" s="229">
        <v>-0.9274</v>
      </c>
      <c r="EI48" s="229">
        <v>0.46329999999999999</v>
      </c>
      <c r="EJ48" s="231">
        <v>31259.68</v>
      </c>
      <c r="EK48" s="231">
        <v>9574.94</v>
      </c>
      <c r="EL48" s="231">
        <v>13459.41</v>
      </c>
      <c r="EM48" s="231">
        <v>3266</v>
      </c>
      <c r="EN48" s="231">
        <v>54294.03</v>
      </c>
      <c r="EO48" s="231">
        <v>92336.27</v>
      </c>
      <c r="EP48" s="231">
        <v>-38042.239999999998</v>
      </c>
      <c r="EQ48" s="229">
        <v>-0.41199999999999998</v>
      </c>
      <c r="ER48" s="231">
        <v>56185</v>
      </c>
      <c r="ES48" s="231">
        <v>32945</v>
      </c>
      <c r="ET48" s="231">
        <v>146743</v>
      </c>
      <c r="EU48" s="231">
        <v>19546143</v>
      </c>
      <c r="EV48" s="231">
        <v>235872</v>
      </c>
      <c r="EW48" s="231">
        <v>230687</v>
      </c>
      <c r="EX48" s="231">
        <v>5185</v>
      </c>
      <c r="EY48" s="229">
        <v>2.2499999999999999E-2</v>
      </c>
      <c r="EZ48" s="229">
        <v>0.57369999999999999</v>
      </c>
      <c r="FA48" s="227" t="s">
        <v>567</v>
      </c>
      <c r="FB48" s="161">
        <f t="shared" si="0"/>
        <v>334800</v>
      </c>
    </row>
    <row r="49" spans="1:158" ht="17.25" hidden="1" thickBot="1" x14ac:dyDescent="0.3">
      <c r="A49" s="226">
        <v>46029</v>
      </c>
      <c r="B49" s="227" t="s">
        <v>215</v>
      </c>
      <c r="C49" s="227" t="s">
        <v>202</v>
      </c>
      <c r="D49" s="228">
        <v>1250</v>
      </c>
      <c r="E49" s="228">
        <v>534.04999999999995</v>
      </c>
      <c r="F49" s="228">
        <v>531.29999999999995</v>
      </c>
      <c r="G49" s="228">
        <v>2.75</v>
      </c>
      <c r="H49" s="229">
        <v>5.1999999999999998E-3</v>
      </c>
      <c r="I49" s="228">
        <v>532.79999999999995</v>
      </c>
      <c r="J49" s="228">
        <v>529.95000000000005</v>
      </c>
      <c r="K49" s="228">
        <v>2.85</v>
      </c>
      <c r="L49" s="229">
        <v>5.4000000000000003E-3</v>
      </c>
      <c r="M49" s="228">
        <v>534.04999999999995</v>
      </c>
      <c r="N49" s="228">
        <v>531.29999999999995</v>
      </c>
      <c r="O49" s="228">
        <v>2.75</v>
      </c>
      <c r="P49" s="229">
        <v>5.1999999999999998E-3</v>
      </c>
      <c r="Q49" s="228">
        <v>535.25</v>
      </c>
      <c r="R49" s="228">
        <v>531.6</v>
      </c>
      <c r="S49" s="228">
        <v>3.65</v>
      </c>
      <c r="T49" s="229">
        <v>6.8999999999999999E-3</v>
      </c>
      <c r="U49" s="228">
        <v>538.35</v>
      </c>
      <c r="V49" s="228">
        <v>534.9</v>
      </c>
      <c r="W49" s="228">
        <v>3.45</v>
      </c>
      <c r="X49" s="229">
        <v>6.4000000000000003E-3</v>
      </c>
      <c r="Y49" s="228">
        <v>1.25</v>
      </c>
      <c r="Z49" s="228">
        <v>1.35</v>
      </c>
      <c r="AA49" s="228">
        <v>-0.1</v>
      </c>
      <c r="AB49" s="229">
        <v>2.3E-3</v>
      </c>
      <c r="AC49" s="228">
        <v>1.25</v>
      </c>
      <c r="AD49" s="228">
        <v>1.35</v>
      </c>
      <c r="AE49" s="228">
        <v>-0.1</v>
      </c>
      <c r="AF49" s="229">
        <v>2.3E-3</v>
      </c>
      <c r="AG49" s="228">
        <v>2.4500000000000002</v>
      </c>
      <c r="AH49" s="228">
        <v>1.65</v>
      </c>
      <c r="AI49" s="228">
        <v>0.8</v>
      </c>
      <c r="AJ49" s="229">
        <v>4.5999999999999999E-3</v>
      </c>
      <c r="AK49" s="228">
        <v>5.55</v>
      </c>
      <c r="AL49" s="228">
        <v>4.95</v>
      </c>
      <c r="AM49" s="228">
        <v>0.6</v>
      </c>
      <c r="AN49" s="229">
        <v>1.04E-2</v>
      </c>
      <c r="AO49" s="228">
        <v>532.55999999999995</v>
      </c>
      <c r="AP49" s="228">
        <v>533.61</v>
      </c>
      <c r="AQ49" s="228">
        <v>0</v>
      </c>
      <c r="AR49" s="230">
        <v>2846250</v>
      </c>
      <c r="AS49" s="230">
        <v>3050000</v>
      </c>
      <c r="AT49" s="230">
        <v>-203750</v>
      </c>
      <c r="AU49" s="229">
        <v>-6.6799999999999998E-2</v>
      </c>
      <c r="AV49" s="230">
        <v>2277500</v>
      </c>
      <c r="AW49" s="230">
        <v>2701250</v>
      </c>
      <c r="AX49" s="230">
        <v>-423750</v>
      </c>
      <c r="AY49" s="229">
        <v>-0.15690000000000001</v>
      </c>
      <c r="AZ49" s="230">
        <v>530000</v>
      </c>
      <c r="BA49" s="230">
        <v>335000</v>
      </c>
      <c r="BB49" s="230">
        <v>195000</v>
      </c>
      <c r="BC49" s="229">
        <v>0.58209999999999995</v>
      </c>
      <c r="BD49" s="230">
        <v>38750</v>
      </c>
      <c r="BE49" s="230">
        <v>13750</v>
      </c>
      <c r="BF49" s="230">
        <v>25000</v>
      </c>
      <c r="BG49" s="229">
        <v>1.8182</v>
      </c>
      <c r="BH49" s="230">
        <v>6170000</v>
      </c>
      <c r="BI49" s="230">
        <v>5833750</v>
      </c>
      <c r="BJ49" s="230">
        <v>336250</v>
      </c>
      <c r="BK49" s="229">
        <v>5.7599999999999998E-2</v>
      </c>
      <c r="BL49" s="230">
        <v>2061250</v>
      </c>
      <c r="BM49" s="230">
        <v>1751250</v>
      </c>
      <c r="BN49" s="230">
        <v>310000</v>
      </c>
      <c r="BO49" s="229">
        <v>0.17699999999999999</v>
      </c>
      <c r="BP49" s="230">
        <v>11077500</v>
      </c>
      <c r="BQ49" s="230">
        <v>10635000</v>
      </c>
      <c r="BR49" s="230">
        <v>442500</v>
      </c>
      <c r="BS49" s="229">
        <v>4.1599999999999998E-2</v>
      </c>
      <c r="BT49" s="230">
        <v>924278</v>
      </c>
      <c r="BU49" s="230">
        <v>1334577</v>
      </c>
      <c r="BV49" s="230">
        <v>-410299</v>
      </c>
      <c r="BW49" s="229">
        <v>-0.30740000000000001</v>
      </c>
      <c r="BX49" s="230">
        <v>34863750</v>
      </c>
      <c r="BY49" s="230">
        <v>35455000</v>
      </c>
      <c r="BZ49" s="230">
        <v>-591250</v>
      </c>
      <c r="CA49" s="229">
        <v>-1.67E-2</v>
      </c>
      <c r="CB49" s="230">
        <v>31875000</v>
      </c>
      <c r="CC49" s="230">
        <v>32650000</v>
      </c>
      <c r="CD49" s="230">
        <v>-775000</v>
      </c>
      <c r="CE49" s="229">
        <v>-2.3699999999999999E-2</v>
      </c>
      <c r="CF49" s="230">
        <v>2868750</v>
      </c>
      <c r="CG49" s="230">
        <v>2701250</v>
      </c>
      <c r="CH49" s="230">
        <v>167500</v>
      </c>
      <c r="CI49" s="229">
        <v>6.2E-2</v>
      </c>
      <c r="CJ49" s="230">
        <v>120000</v>
      </c>
      <c r="CK49" s="230">
        <v>103750</v>
      </c>
      <c r="CL49" s="230">
        <v>16250</v>
      </c>
      <c r="CM49" s="229">
        <v>0.15659999999999999</v>
      </c>
      <c r="CN49" s="230">
        <v>13023750</v>
      </c>
      <c r="CO49" s="230">
        <v>12885000</v>
      </c>
      <c r="CP49" s="230">
        <v>138750</v>
      </c>
      <c r="CQ49" s="229">
        <v>1.0800000000000001E-2</v>
      </c>
      <c r="CR49" s="230">
        <v>8740000</v>
      </c>
      <c r="CS49" s="230">
        <v>8537500</v>
      </c>
      <c r="CT49" s="230">
        <v>202500</v>
      </c>
      <c r="CU49" s="229">
        <v>2.3699999999999999E-2</v>
      </c>
      <c r="CV49" s="230">
        <v>56627500</v>
      </c>
      <c r="CW49" s="230">
        <v>56877500</v>
      </c>
      <c r="CX49" s="230">
        <v>-250000</v>
      </c>
      <c r="CY49" s="229">
        <v>-4.4000000000000003E-3</v>
      </c>
      <c r="CZ49" s="228">
        <v>23.47</v>
      </c>
      <c r="DA49" s="228">
        <v>23.68</v>
      </c>
      <c r="DB49" s="228">
        <v>-0.21</v>
      </c>
      <c r="DC49" s="228">
        <v>-0.21</v>
      </c>
      <c r="DD49" s="228">
        <v>33.26</v>
      </c>
      <c r="DE49" s="228">
        <v>33.340000000000003</v>
      </c>
      <c r="DF49" s="228">
        <v>-9.7899999999999991</v>
      </c>
      <c r="DG49" s="228">
        <v>-0.08</v>
      </c>
      <c r="DH49" s="228">
        <v>23.48</v>
      </c>
      <c r="DI49" s="228">
        <v>23.81</v>
      </c>
      <c r="DJ49" s="228">
        <v>-0.33</v>
      </c>
      <c r="DK49" s="228">
        <v>-0.33</v>
      </c>
      <c r="DL49" s="228">
        <v>23.44</v>
      </c>
      <c r="DM49" s="228">
        <v>23.24</v>
      </c>
      <c r="DN49" s="228">
        <v>0.2</v>
      </c>
      <c r="DO49" s="228">
        <v>0.2</v>
      </c>
      <c r="DP49" s="228">
        <v>0.67</v>
      </c>
      <c r="DQ49" s="228">
        <v>0.66</v>
      </c>
      <c r="DR49" s="228">
        <v>0.01</v>
      </c>
      <c r="DS49" s="229">
        <v>1.52E-2</v>
      </c>
      <c r="DT49" s="228">
        <v>600</v>
      </c>
      <c r="DU49" s="228">
        <v>520</v>
      </c>
      <c r="DV49" s="228">
        <v>0.33</v>
      </c>
      <c r="DW49" s="228">
        <v>0.3</v>
      </c>
      <c r="DX49" s="228">
        <v>0.03</v>
      </c>
      <c r="DY49" s="229">
        <v>0.1</v>
      </c>
      <c r="DZ49" s="229">
        <v>8.5699999999999998E-2</v>
      </c>
      <c r="EA49" s="230">
        <v>2805000</v>
      </c>
      <c r="EB49" s="229">
        <v>2.2000000000000001E-3</v>
      </c>
      <c r="EC49" s="229">
        <v>8.5699999999999998E-2</v>
      </c>
      <c r="ED49" s="228">
        <v>1.05</v>
      </c>
      <c r="EE49" s="229">
        <v>2E-3</v>
      </c>
      <c r="EF49" s="230">
        <v>502281</v>
      </c>
      <c r="EG49" s="230">
        <v>773718</v>
      </c>
      <c r="EH49" s="229">
        <v>-0.3508</v>
      </c>
      <c r="EI49" s="229">
        <v>0.54339999999999999</v>
      </c>
      <c r="EJ49" s="231">
        <v>34014.78</v>
      </c>
      <c r="EK49" s="231">
        <v>10862.18</v>
      </c>
      <c r="EL49" s="231">
        <v>15165.5</v>
      </c>
      <c r="EM49" s="231">
        <v>2664</v>
      </c>
      <c r="EN49" s="231">
        <v>60042.46</v>
      </c>
      <c r="EO49" s="231">
        <v>57583.89</v>
      </c>
      <c r="EP49" s="231">
        <v>2458.5700000000002</v>
      </c>
      <c r="EQ49" s="229">
        <v>4.2700000000000002E-2</v>
      </c>
      <c r="ER49" s="231">
        <v>71599</v>
      </c>
      <c r="ES49" s="231">
        <v>45678</v>
      </c>
      <c r="ET49" s="231">
        <v>186229</v>
      </c>
      <c r="EU49" s="231">
        <v>51639257</v>
      </c>
      <c r="EV49" s="231">
        <v>303506</v>
      </c>
      <c r="EW49" s="231">
        <v>303733</v>
      </c>
      <c r="EX49" s="228">
        <v>-227</v>
      </c>
      <c r="EY49" s="229">
        <v>-6.9999999999999999E-4</v>
      </c>
      <c r="EZ49" s="229">
        <v>1.0966</v>
      </c>
      <c r="FA49" s="227" t="s">
        <v>556</v>
      </c>
      <c r="FB49" s="161">
        <f t="shared" si="0"/>
        <v>2988750</v>
      </c>
    </row>
    <row r="50" spans="1:158" ht="17.25" hidden="1" thickBot="1" x14ac:dyDescent="0.3">
      <c r="A50" s="226">
        <v>46029</v>
      </c>
      <c r="B50" s="227" t="s">
        <v>184</v>
      </c>
      <c r="C50" s="227" t="s">
        <v>523</v>
      </c>
      <c r="D50" s="228">
        <v>1800</v>
      </c>
      <c r="E50" s="228">
        <v>264.10000000000002</v>
      </c>
      <c r="F50" s="228">
        <v>260.85000000000002</v>
      </c>
      <c r="G50" s="228">
        <v>3.25</v>
      </c>
      <c r="H50" s="229">
        <v>1.2500000000000001E-2</v>
      </c>
      <c r="I50" s="228">
        <v>263.45</v>
      </c>
      <c r="J50" s="228">
        <v>259.89999999999998</v>
      </c>
      <c r="K50" s="228">
        <v>3.55</v>
      </c>
      <c r="L50" s="229">
        <v>1.37E-2</v>
      </c>
      <c r="M50" s="228">
        <v>264.10000000000002</v>
      </c>
      <c r="N50" s="228">
        <v>260.85000000000002</v>
      </c>
      <c r="O50" s="228">
        <v>3.25</v>
      </c>
      <c r="P50" s="229">
        <v>1.2500000000000001E-2</v>
      </c>
      <c r="Q50" s="228">
        <v>265.60000000000002</v>
      </c>
      <c r="R50" s="228">
        <v>262.39999999999998</v>
      </c>
      <c r="S50" s="228">
        <v>3.2</v>
      </c>
      <c r="T50" s="229">
        <v>1.2200000000000001E-2</v>
      </c>
      <c r="U50" s="228">
        <v>267.5</v>
      </c>
      <c r="V50" s="228">
        <v>264</v>
      </c>
      <c r="W50" s="228">
        <v>3.5</v>
      </c>
      <c r="X50" s="229">
        <v>1.3299999999999999E-2</v>
      </c>
      <c r="Y50" s="228">
        <v>0.65</v>
      </c>
      <c r="Z50" s="228">
        <v>0.95</v>
      </c>
      <c r="AA50" s="228">
        <v>-0.3</v>
      </c>
      <c r="AB50" s="229">
        <v>2.5000000000000001E-3</v>
      </c>
      <c r="AC50" s="228">
        <v>0.65</v>
      </c>
      <c r="AD50" s="228">
        <v>0.95</v>
      </c>
      <c r="AE50" s="228">
        <v>-0.3</v>
      </c>
      <c r="AF50" s="229">
        <v>2.5000000000000001E-3</v>
      </c>
      <c r="AG50" s="228">
        <v>2.15</v>
      </c>
      <c r="AH50" s="228">
        <v>2.5</v>
      </c>
      <c r="AI50" s="228">
        <v>-0.35</v>
      </c>
      <c r="AJ50" s="229">
        <v>8.2000000000000007E-3</v>
      </c>
      <c r="AK50" s="228">
        <v>4.05</v>
      </c>
      <c r="AL50" s="228">
        <v>4.0999999999999996</v>
      </c>
      <c r="AM50" s="228">
        <v>-0.05</v>
      </c>
      <c r="AN50" s="229">
        <v>1.54E-2</v>
      </c>
      <c r="AO50" s="228">
        <v>263.58999999999997</v>
      </c>
      <c r="AP50" s="228">
        <v>265.08</v>
      </c>
      <c r="AQ50" s="228">
        <v>0</v>
      </c>
      <c r="AR50" s="230">
        <v>8416800</v>
      </c>
      <c r="AS50" s="230">
        <v>9685800</v>
      </c>
      <c r="AT50" s="230">
        <v>-1269000</v>
      </c>
      <c r="AU50" s="229">
        <v>-0.13100000000000001</v>
      </c>
      <c r="AV50" s="230">
        <v>7826400</v>
      </c>
      <c r="AW50" s="230">
        <v>9050400</v>
      </c>
      <c r="AX50" s="230">
        <v>-1224000</v>
      </c>
      <c r="AY50" s="229">
        <v>-0.13519999999999999</v>
      </c>
      <c r="AZ50" s="230">
        <v>536400</v>
      </c>
      <c r="BA50" s="230">
        <v>595800</v>
      </c>
      <c r="BB50" s="230">
        <v>-59400</v>
      </c>
      <c r="BC50" s="229">
        <v>-9.9699999999999997E-2</v>
      </c>
      <c r="BD50" s="230">
        <v>54000</v>
      </c>
      <c r="BE50" s="230">
        <v>39600</v>
      </c>
      <c r="BF50" s="230">
        <v>14400</v>
      </c>
      <c r="BG50" s="229">
        <v>0.36359999999999998</v>
      </c>
      <c r="BH50" s="230">
        <v>26753400</v>
      </c>
      <c r="BI50" s="230">
        <v>24487200</v>
      </c>
      <c r="BJ50" s="230">
        <v>2266200</v>
      </c>
      <c r="BK50" s="229">
        <v>9.2499999999999999E-2</v>
      </c>
      <c r="BL50" s="230">
        <v>6604200</v>
      </c>
      <c r="BM50" s="230">
        <v>4708800</v>
      </c>
      <c r="BN50" s="230">
        <v>1895400</v>
      </c>
      <c r="BO50" s="229">
        <v>0.40250000000000002</v>
      </c>
      <c r="BP50" s="230">
        <v>41774400</v>
      </c>
      <c r="BQ50" s="230">
        <v>38881800</v>
      </c>
      <c r="BR50" s="230">
        <v>2892600</v>
      </c>
      <c r="BS50" s="229">
        <v>7.4399999999999994E-2</v>
      </c>
      <c r="BT50" s="230">
        <v>3976338</v>
      </c>
      <c r="BU50" s="230">
        <v>3612726</v>
      </c>
      <c r="BV50" s="230">
        <v>363612</v>
      </c>
      <c r="BW50" s="229">
        <v>0.10059999999999999</v>
      </c>
      <c r="BX50" s="230">
        <v>56109600</v>
      </c>
      <c r="BY50" s="230">
        <v>57029400</v>
      </c>
      <c r="BZ50" s="230">
        <v>-919800</v>
      </c>
      <c r="CA50" s="229">
        <v>-1.61E-2</v>
      </c>
      <c r="CB50" s="230">
        <v>53530200</v>
      </c>
      <c r="CC50" s="230">
        <v>54455400</v>
      </c>
      <c r="CD50" s="230">
        <v>-925200</v>
      </c>
      <c r="CE50" s="229">
        <v>-1.7000000000000001E-2</v>
      </c>
      <c r="CF50" s="230">
        <v>2412000</v>
      </c>
      <c r="CG50" s="230">
        <v>2431800</v>
      </c>
      <c r="CH50" s="230">
        <v>-19800</v>
      </c>
      <c r="CI50" s="229">
        <v>-8.0999999999999996E-3</v>
      </c>
      <c r="CJ50" s="230">
        <v>167400</v>
      </c>
      <c r="CK50" s="230">
        <v>142200</v>
      </c>
      <c r="CL50" s="230">
        <v>25200</v>
      </c>
      <c r="CM50" s="229">
        <v>0.1772</v>
      </c>
      <c r="CN50" s="230">
        <v>16520400</v>
      </c>
      <c r="CO50" s="230">
        <v>17019000</v>
      </c>
      <c r="CP50" s="230">
        <v>-498600</v>
      </c>
      <c r="CQ50" s="229">
        <v>-2.93E-2</v>
      </c>
      <c r="CR50" s="230">
        <v>11194200</v>
      </c>
      <c r="CS50" s="230">
        <v>10870200</v>
      </c>
      <c r="CT50" s="230">
        <v>324000</v>
      </c>
      <c r="CU50" s="229">
        <v>2.98E-2</v>
      </c>
      <c r="CV50" s="230">
        <v>83824200</v>
      </c>
      <c r="CW50" s="230">
        <v>84918600</v>
      </c>
      <c r="CX50" s="230">
        <v>-1094400</v>
      </c>
      <c r="CY50" s="229">
        <v>-1.29E-2</v>
      </c>
      <c r="CZ50" s="228">
        <v>28.44</v>
      </c>
      <c r="DA50" s="228">
        <v>28.86</v>
      </c>
      <c r="DB50" s="228">
        <v>-0.42</v>
      </c>
      <c r="DC50" s="228">
        <v>-0.42</v>
      </c>
      <c r="DD50" s="228">
        <v>30.45</v>
      </c>
      <c r="DE50" s="228">
        <v>30.48</v>
      </c>
      <c r="DF50" s="228">
        <v>-2.0099999999999998</v>
      </c>
      <c r="DG50" s="228">
        <v>-0.03</v>
      </c>
      <c r="DH50" s="228">
        <v>28.38</v>
      </c>
      <c r="DI50" s="228">
        <v>28.91</v>
      </c>
      <c r="DJ50" s="228">
        <v>-0.53</v>
      </c>
      <c r="DK50" s="228">
        <v>-0.53</v>
      </c>
      <c r="DL50" s="228">
        <v>28.65</v>
      </c>
      <c r="DM50" s="228">
        <v>28.61</v>
      </c>
      <c r="DN50" s="228">
        <v>0.04</v>
      </c>
      <c r="DO50" s="228">
        <v>0.04</v>
      </c>
      <c r="DP50" s="228">
        <v>0.68</v>
      </c>
      <c r="DQ50" s="228">
        <v>0.64</v>
      </c>
      <c r="DR50" s="228">
        <v>0.04</v>
      </c>
      <c r="DS50" s="229">
        <v>6.25E-2</v>
      </c>
      <c r="DT50" s="228">
        <v>260</v>
      </c>
      <c r="DU50" s="228">
        <v>260</v>
      </c>
      <c r="DV50" s="228">
        <v>0.25</v>
      </c>
      <c r="DW50" s="228">
        <v>0.19</v>
      </c>
      <c r="DX50" s="228">
        <v>0.06</v>
      </c>
      <c r="DY50" s="229">
        <v>0.31580000000000003</v>
      </c>
      <c r="DZ50" s="229">
        <v>4.5999999999999999E-2</v>
      </c>
      <c r="EA50" s="230">
        <v>2574000</v>
      </c>
      <c r="EB50" s="229">
        <v>5.7000000000000002E-3</v>
      </c>
      <c r="EC50" s="229">
        <v>4.5999999999999999E-2</v>
      </c>
      <c r="ED50" s="228">
        <v>1.49</v>
      </c>
      <c r="EE50" s="229">
        <v>5.7000000000000002E-3</v>
      </c>
      <c r="EF50" s="230">
        <v>1300538</v>
      </c>
      <c r="EG50" s="230">
        <v>1490857</v>
      </c>
      <c r="EH50" s="229">
        <v>-0.12770000000000001</v>
      </c>
      <c r="EI50" s="229">
        <v>0.3271</v>
      </c>
      <c r="EJ50" s="231">
        <v>73393.41</v>
      </c>
      <c r="EK50" s="231">
        <v>16947.46</v>
      </c>
      <c r="EL50" s="231">
        <v>22195.89</v>
      </c>
      <c r="EM50" s="231">
        <v>3935</v>
      </c>
      <c r="EN50" s="231">
        <v>112536.76</v>
      </c>
      <c r="EO50" s="231">
        <v>103677.84</v>
      </c>
      <c r="EP50" s="231">
        <v>8858.92</v>
      </c>
      <c r="EQ50" s="229">
        <v>8.5400000000000004E-2</v>
      </c>
      <c r="ER50" s="231">
        <v>45101</v>
      </c>
      <c r="ES50" s="231">
        <v>28730</v>
      </c>
      <c r="ET50" s="231">
        <v>148227</v>
      </c>
      <c r="EU50" s="231">
        <v>96587231</v>
      </c>
      <c r="EV50" s="231">
        <v>222058</v>
      </c>
      <c r="EW50" s="231">
        <v>222801</v>
      </c>
      <c r="EX50" s="228">
        <v>-743</v>
      </c>
      <c r="EY50" s="229">
        <v>-3.3E-3</v>
      </c>
      <c r="EZ50" s="229">
        <v>0.8679</v>
      </c>
      <c r="FA50" s="227" t="s">
        <v>556</v>
      </c>
      <c r="FB50" s="161">
        <f t="shared" si="0"/>
        <v>2579400</v>
      </c>
    </row>
    <row r="51" spans="1:158" ht="17.25" hidden="1" thickBot="1" x14ac:dyDescent="0.3">
      <c r="A51" s="226">
        <v>46029</v>
      </c>
      <c r="B51" s="227" t="s">
        <v>184</v>
      </c>
      <c r="C51" s="227" t="s">
        <v>203</v>
      </c>
      <c r="D51" s="228">
        <v>200</v>
      </c>
      <c r="E51" s="231">
        <v>4167.2</v>
      </c>
      <c r="F51" s="231">
        <v>4151.3</v>
      </c>
      <c r="G51" s="228">
        <v>15.9</v>
      </c>
      <c r="H51" s="229">
        <v>3.8E-3</v>
      </c>
      <c r="I51" s="231">
        <v>4147.8999999999996</v>
      </c>
      <c r="J51" s="231">
        <v>4130.3</v>
      </c>
      <c r="K51" s="228">
        <v>17.600000000000001</v>
      </c>
      <c r="L51" s="229">
        <v>4.3E-3</v>
      </c>
      <c r="M51" s="231">
        <v>4167.2</v>
      </c>
      <c r="N51" s="231">
        <v>4151.3</v>
      </c>
      <c r="O51" s="228">
        <v>15.9</v>
      </c>
      <c r="P51" s="229">
        <v>3.8E-3</v>
      </c>
      <c r="Q51" s="231">
        <v>4174.3999999999996</v>
      </c>
      <c r="R51" s="231">
        <v>4156.6000000000004</v>
      </c>
      <c r="S51" s="228">
        <v>17.8</v>
      </c>
      <c r="T51" s="229">
        <v>4.3E-3</v>
      </c>
      <c r="U51" s="231">
        <v>4183.8999999999996</v>
      </c>
      <c r="V51" s="231">
        <v>4183.8999999999996</v>
      </c>
      <c r="W51" s="228">
        <v>0</v>
      </c>
      <c r="X51" s="229">
        <v>0</v>
      </c>
      <c r="Y51" s="228">
        <v>19.3</v>
      </c>
      <c r="Z51" s="228">
        <v>21</v>
      </c>
      <c r="AA51" s="228">
        <v>-1.7</v>
      </c>
      <c r="AB51" s="229">
        <v>4.7000000000000002E-3</v>
      </c>
      <c r="AC51" s="228">
        <v>19.3</v>
      </c>
      <c r="AD51" s="228">
        <v>21</v>
      </c>
      <c r="AE51" s="228">
        <v>-1.7</v>
      </c>
      <c r="AF51" s="229">
        <v>4.7000000000000002E-3</v>
      </c>
      <c r="AG51" s="228">
        <v>26.5</v>
      </c>
      <c r="AH51" s="228">
        <v>26.3</v>
      </c>
      <c r="AI51" s="228">
        <v>0.2</v>
      </c>
      <c r="AJ51" s="229">
        <v>6.4000000000000003E-3</v>
      </c>
      <c r="AK51" s="228">
        <v>36</v>
      </c>
      <c r="AL51" s="228">
        <v>53.6</v>
      </c>
      <c r="AM51" s="228">
        <v>-17.600000000000001</v>
      </c>
      <c r="AN51" s="229">
        <v>8.6999999999999994E-3</v>
      </c>
      <c r="AO51" s="231">
        <v>4163.72</v>
      </c>
      <c r="AP51" s="231">
        <v>4169.62</v>
      </c>
      <c r="AQ51" s="228">
        <v>0</v>
      </c>
      <c r="AR51" s="230">
        <v>875200</v>
      </c>
      <c r="AS51" s="230">
        <v>1526600</v>
      </c>
      <c r="AT51" s="230">
        <v>-651400</v>
      </c>
      <c r="AU51" s="229">
        <v>-0.42670000000000002</v>
      </c>
      <c r="AV51" s="230">
        <v>851800</v>
      </c>
      <c r="AW51" s="230">
        <v>1438200</v>
      </c>
      <c r="AX51" s="230">
        <v>-586400</v>
      </c>
      <c r="AY51" s="229">
        <v>-0.40770000000000001</v>
      </c>
      <c r="AZ51" s="230">
        <v>23400</v>
      </c>
      <c r="BA51" s="230">
        <v>73800</v>
      </c>
      <c r="BB51" s="230">
        <v>-50400</v>
      </c>
      <c r="BC51" s="229">
        <v>-0.68289999999999995</v>
      </c>
      <c r="BD51" s="228">
        <v>0</v>
      </c>
      <c r="BE51" s="230">
        <v>14600</v>
      </c>
      <c r="BF51" s="230">
        <v>-14600</v>
      </c>
      <c r="BG51" s="229">
        <v>-1</v>
      </c>
      <c r="BH51" s="230">
        <v>1514400</v>
      </c>
      <c r="BI51" s="230">
        <v>3639400</v>
      </c>
      <c r="BJ51" s="230">
        <v>-2125000</v>
      </c>
      <c r="BK51" s="229">
        <v>-0.58389999999999997</v>
      </c>
      <c r="BL51" s="230">
        <v>1019200</v>
      </c>
      <c r="BM51" s="230">
        <v>3569200</v>
      </c>
      <c r="BN51" s="230">
        <v>-2550000</v>
      </c>
      <c r="BO51" s="229">
        <v>-0.71440000000000003</v>
      </c>
      <c r="BP51" s="230">
        <v>3408800</v>
      </c>
      <c r="BQ51" s="230">
        <v>8735200</v>
      </c>
      <c r="BR51" s="230">
        <v>-5326400</v>
      </c>
      <c r="BS51" s="229">
        <v>-0.60980000000000001</v>
      </c>
      <c r="BT51" s="230">
        <v>784844</v>
      </c>
      <c r="BU51" s="230">
        <v>1062255</v>
      </c>
      <c r="BV51" s="230">
        <v>-277411</v>
      </c>
      <c r="BW51" s="229">
        <v>-0.26119999999999999</v>
      </c>
      <c r="BX51" s="230">
        <v>3611200</v>
      </c>
      <c r="BY51" s="230">
        <v>3553200</v>
      </c>
      <c r="BZ51" s="230">
        <v>58000</v>
      </c>
      <c r="CA51" s="229">
        <v>1.6299999999999999E-2</v>
      </c>
      <c r="CB51" s="230">
        <v>3522400</v>
      </c>
      <c r="CC51" s="230">
        <v>3470600</v>
      </c>
      <c r="CD51" s="230">
        <v>51800</v>
      </c>
      <c r="CE51" s="229">
        <v>1.49E-2</v>
      </c>
      <c r="CF51" s="230">
        <v>74000</v>
      </c>
      <c r="CG51" s="230">
        <v>67800</v>
      </c>
      <c r="CH51" s="230">
        <v>6200</v>
      </c>
      <c r="CI51" s="229">
        <v>9.1399999999999995E-2</v>
      </c>
      <c r="CJ51" s="230">
        <v>14800</v>
      </c>
      <c r="CK51" s="230">
        <v>14800</v>
      </c>
      <c r="CL51" s="228">
        <v>0</v>
      </c>
      <c r="CM51" s="229">
        <v>0</v>
      </c>
      <c r="CN51" s="230">
        <v>1582800</v>
      </c>
      <c r="CO51" s="230">
        <v>1595200</v>
      </c>
      <c r="CP51" s="230">
        <v>-12400</v>
      </c>
      <c r="CQ51" s="229">
        <v>-7.7999999999999996E-3</v>
      </c>
      <c r="CR51" s="230">
        <v>893200</v>
      </c>
      <c r="CS51" s="230">
        <v>844200</v>
      </c>
      <c r="CT51" s="230">
        <v>49000</v>
      </c>
      <c r="CU51" s="229">
        <v>5.8000000000000003E-2</v>
      </c>
      <c r="CV51" s="230">
        <v>6087200</v>
      </c>
      <c r="CW51" s="230">
        <v>5992600</v>
      </c>
      <c r="CX51" s="230">
        <v>94600</v>
      </c>
      <c r="CY51" s="229">
        <v>1.5800000000000002E-2</v>
      </c>
      <c r="CZ51" s="228">
        <v>27.19</v>
      </c>
      <c r="DA51" s="228">
        <v>27.98</v>
      </c>
      <c r="DB51" s="228">
        <v>-0.79</v>
      </c>
      <c r="DC51" s="228">
        <v>-0.79</v>
      </c>
      <c r="DD51" s="228">
        <v>33.880000000000003</v>
      </c>
      <c r="DE51" s="228">
        <v>33.96</v>
      </c>
      <c r="DF51" s="228">
        <v>-6.69</v>
      </c>
      <c r="DG51" s="228">
        <v>-0.08</v>
      </c>
      <c r="DH51" s="228">
        <v>26.87</v>
      </c>
      <c r="DI51" s="228">
        <v>28.11</v>
      </c>
      <c r="DJ51" s="228">
        <v>-1.24</v>
      </c>
      <c r="DK51" s="228">
        <v>-1.24</v>
      </c>
      <c r="DL51" s="228">
        <v>27.66</v>
      </c>
      <c r="DM51" s="228">
        <v>27.86</v>
      </c>
      <c r="DN51" s="228">
        <v>-0.2</v>
      </c>
      <c r="DO51" s="228">
        <v>-0.2</v>
      </c>
      <c r="DP51" s="228">
        <v>0.56000000000000005</v>
      </c>
      <c r="DQ51" s="228">
        <v>0.53</v>
      </c>
      <c r="DR51" s="228">
        <v>0.03</v>
      </c>
      <c r="DS51" s="229">
        <v>5.6599999999999998E-2</v>
      </c>
      <c r="DT51" s="231">
        <v>4500</v>
      </c>
      <c r="DU51" s="231">
        <v>4000</v>
      </c>
      <c r="DV51" s="228">
        <v>0.67</v>
      </c>
      <c r="DW51" s="228">
        <v>0.98</v>
      </c>
      <c r="DX51" s="228">
        <v>-0.31</v>
      </c>
      <c r="DY51" s="229">
        <v>-0.31630000000000003</v>
      </c>
      <c r="DZ51" s="229">
        <v>2.46E-2</v>
      </c>
      <c r="EA51" s="230">
        <v>82600</v>
      </c>
      <c r="EB51" s="229">
        <v>1.6999999999999999E-3</v>
      </c>
      <c r="EC51" s="229">
        <v>2.46E-2</v>
      </c>
      <c r="ED51" s="228">
        <v>5.9</v>
      </c>
      <c r="EE51" s="229">
        <v>1.4E-3</v>
      </c>
      <c r="EF51" s="230">
        <v>538110</v>
      </c>
      <c r="EG51" s="230">
        <v>689227</v>
      </c>
      <c r="EH51" s="229">
        <v>-0.21929999999999999</v>
      </c>
      <c r="EI51" s="229">
        <v>0.68559999999999999</v>
      </c>
      <c r="EJ51" s="231">
        <v>66557.240000000005</v>
      </c>
      <c r="EK51" s="231">
        <v>41825.93</v>
      </c>
      <c r="EL51" s="231">
        <v>36442.22</v>
      </c>
      <c r="EM51" s="231">
        <v>4156</v>
      </c>
      <c r="EN51" s="231">
        <v>144825.39000000001</v>
      </c>
      <c r="EO51" s="231">
        <v>377898.76</v>
      </c>
      <c r="EP51" s="231">
        <v>-233073.37</v>
      </c>
      <c r="EQ51" s="229">
        <v>-0.61680000000000001</v>
      </c>
      <c r="ER51" s="231">
        <v>71238</v>
      </c>
      <c r="ES51" s="231">
        <v>36985</v>
      </c>
      <c r="ET51" s="231">
        <v>150494</v>
      </c>
      <c r="EU51" s="231">
        <v>19131188</v>
      </c>
      <c r="EV51" s="231">
        <v>258717</v>
      </c>
      <c r="EW51" s="231">
        <v>254493</v>
      </c>
      <c r="EX51" s="231">
        <v>4224</v>
      </c>
      <c r="EY51" s="229">
        <v>1.66E-2</v>
      </c>
      <c r="EZ51" s="229">
        <v>0.31819999999999998</v>
      </c>
      <c r="FA51" s="227" t="s">
        <v>555</v>
      </c>
      <c r="FB51" s="161">
        <f t="shared" si="0"/>
        <v>88800</v>
      </c>
    </row>
    <row r="52" spans="1:158" ht="17.25" hidden="1" thickBot="1" x14ac:dyDescent="0.3">
      <c r="A52" s="226">
        <v>46029</v>
      </c>
      <c r="B52" s="227" t="s">
        <v>168</v>
      </c>
      <c r="C52" s="227" t="s">
        <v>204</v>
      </c>
      <c r="D52" s="228">
        <v>1250</v>
      </c>
      <c r="E52" s="228">
        <v>523.4</v>
      </c>
      <c r="F52" s="228">
        <v>522.65</v>
      </c>
      <c r="G52" s="228">
        <v>0.75</v>
      </c>
      <c r="H52" s="229">
        <v>1.4E-3</v>
      </c>
      <c r="I52" s="228">
        <v>520.9</v>
      </c>
      <c r="J52" s="228">
        <v>520.35</v>
      </c>
      <c r="K52" s="228">
        <v>0.55000000000000004</v>
      </c>
      <c r="L52" s="229">
        <v>1.1000000000000001E-3</v>
      </c>
      <c r="M52" s="228">
        <v>523.4</v>
      </c>
      <c r="N52" s="228">
        <v>522.65</v>
      </c>
      <c r="O52" s="228">
        <v>0.75</v>
      </c>
      <c r="P52" s="229">
        <v>1.4E-3</v>
      </c>
      <c r="Q52" s="228">
        <v>526.15</v>
      </c>
      <c r="R52" s="228">
        <v>525.25</v>
      </c>
      <c r="S52" s="228">
        <v>0.9</v>
      </c>
      <c r="T52" s="229">
        <v>1.6999999999999999E-3</v>
      </c>
      <c r="U52" s="228">
        <v>528.35</v>
      </c>
      <c r="V52" s="228">
        <v>528.20000000000005</v>
      </c>
      <c r="W52" s="228">
        <v>0.15</v>
      </c>
      <c r="X52" s="229">
        <v>2.9999999999999997E-4</v>
      </c>
      <c r="Y52" s="228">
        <v>2.5</v>
      </c>
      <c r="Z52" s="228">
        <v>2.2999999999999998</v>
      </c>
      <c r="AA52" s="228">
        <v>0.2</v>
      </c>
      <c r="AB52" s="229">
        <v>4.7999999999999996E-3</v>
      </c>
      <c r="AC52" s="228">
        <v>2.5</v>
      </c>
      <c r="AD52" s="228">
        <v>2.2999999999999998</v>
      </c>
      <c r="AE52" s="228">
        <v>0.2</v>
      </c>
      <c r="AF52" s="229">
        <v>4.7999999999999996E-3</v>
      </c>
      <c r="AG52" s="228">
        <v>5.25</v>
      </c>
      <c r="AH52" s="228">
        <v>4.9000000000000004</v>
      </c>
      <c r="AI52" s="228">
        <v>0.35</v>
      </c>
      <c r="AJ52" s="229">
        <v>1.01E-2</v>
      </c>
      <c r="AK52" s="228">
        <v>7.45</v>
      </c>
      <c r="AL52" s="228">
        <v>7.85</v>
      </c>
      <c r="AM52" s="228">
        <v>-0.4</v>
      </c>
      <c r="AN52" s="229">
        <v>1.43E-2</v>
      </c>
      <c r="AO52" s="228">
        <v>523.80999999999995</v>
      </c>
      <c r="AP52" s="228">
        <v>526.24</v>
      </c>
      <c r="AQ52" s="228">
        <v>0</v>
      </c>
      <c r="AR52" s="230">
        <v>3343750</v>
      </c>
      <c r="AS52" s="230">
        <v>9800000</v>
      </c>
      <c r="AT52" s="230">
        <v>-6456250</v>
      </c>
      <c r="AU52" s="229">
        <v>-0.65880000000000005</v>
      </c>
      <c r="AV52" s="230">
        <v>3251250</v>
      </c>
      <c r="AW52" s="230">
        <v>9505000</v>
      </c>
      <c r="AX52" s="230">
        <v>-6253750</v>
      </c>
      <c r="AY52" s="229">
        <v>-0.65790000000000004</v>
      </c>
      <c r="AZ52" s="230">
        <v>85000</v>
      </c>
      <c r="BA52" s="230">
        <v>265000</v>
      </c>
      <c r="BB52" s="230">
        <v>-180000</v>
      </c>
      <c r="BC52" s="229">
        <v>-0.67920000000000003</v>
      </c>
      <c r="BD52" s="230">
        <v>7500</v>
      </c>
      <c r="BE52" s="230">
        <v>30000</v>
      </c>
      <c r="BF52" s="230">
        <v>-22500</v>
      </c>
      <c r="BG52" s="229">
        <v>-0.75</v>
      </c>
      <c r="BH52" s="230">
        <v>9735000</v>
      </c>
      <c r="BI52" s="230">
        <v>40710000</v>
      </c>
      <c r="BJ52" s="230">
        <v>-30975000</v>
      </c>
      <c r="BK52" s="229">
        <v>-0.76090000000000002</v>
      </c>
      <c r="BL52" s="230">
        <v>4608750</v>
      </c>
      <c r="BM52" s="230">
        <v>20278750</v>
      </c>
      <c r="BN52" s="230">
        <v>-15670000</v>
      </c>
      <c r="BO52" s="229">
        <v>-0.77270000000000005</v>
      </c>
      <c r="BP52" s="230">
        <v>17687500</v>
      </c>
      <c r="BQ52" s="230">
        <v>70788750</v>
      </c>
      <c r="BR52" s="230">
        <v>-53101250</v>
      </c>
      <c r="BS52" s="229">
        <v>-0.75009999999999999</v>
      </c>
      <c r="BT52" s="230">
        <v>3183891</v>
      </c>
      <c r="BU52" s="230">
        <v>2999464</v>
      </c>
      <c r="BV52" s="230">
        <v>184427</v>
      </c>
      <c r="BW52" s="229">
        <v>6.1499999999999999E-2</v>
      </c>
      <c r="BX52" s="230">
        <v>22783750</v>
      </c>
      <c r="BY52" s="230">
        <v>23151250</v>
      </c>
      <c r="BZ52" s="230">
        <v>-367500</v>
      </c>
      <c r="CA52" s="229">
        <v>-1.5900000000000001E-2</v>
      </c>
      <c r="CB52" s="230">
        <v>22297500</v>
      </c>
      <c r="CC52" s="230">
        <v>22671250</v>
      </c>
      <c r="CD52" s="230">
        <v>-373750</v>
      </c>
      <c r="CE52" s="229">
        <v>-1.6500000000000001E-2</v>
      </c>
      <c r="CF52" s="230">
        <v>433750</v>
      </c>
      <c r="CG52" s="230">
        <v>430000</v>
      </c>
      <c r="CH52" s="230">
        <v>3750</v>
      </c>
      <c r="CI52" s="229">
        <v>8.6999999999999994E-3</v>
      </c>
      <c r="CJ52" s="230">
        <v>52500</v>
      </c>
      <c r="CK52" s="230">
        <v>50000</v>
      </c>
      <c r="CL52" s="230">
        <v>2500</v>
      </c>
      <c r="CM52" s="229">
        <v>0.05</v>
      </c>
      <c r="CN52" s="230">
        <v>15272500</v>
      </c>
      <c r="CO52" s="230">
        <v>15332500</v>
      </c>
      <c r="CP52" s="230">
        <v>-60000</v>
      </c>
      <c r="CQ52" s="229">
        <v>-3.8999999999999998E-3</v>
      </c>
      <c r="CR52" s="230">
        <v>9911250</v>
      </c>
      <c r="CS52" s="230">
        <v>9947500</v>
      </c>
      <c r="CT52" s="230">
        <v>-36250</v>
      </c>
      <c r="CU52" s="229">
        <v>-3.5999999999999999E-3</v>
      </c>
      <c r="CV52" s="230">
        <v>47967500</v>
      </c>
      <c r="CW52" s="230">
        <v>48431250</v>
      </c>
      <c r="CX52" s="230">
        <v>-463750</v>
      </c>
      <c r="CY52" s="229">
        <v>-9.5999999999999992E-3</v>
      </c>
      <c r="CZ52" s="228">
        <v>21.95</v>
      </c>
      <c r="DA52" s="228">
        <v>21.87</v>
      </c>
      <c r="DB52" s="228">
        <v>0.08</v>
      </c>
      <c r="DC52" s="228">
        <v>0.08</v>
      </c>
      <c r="DD52" s="228">
        <v>24.72</v>
      </c>
      <c r="DE52" s="228">
        <v>24.78</v>
      </c>
      <c r="DF52" s="228">
        <v>-2.77</v>
      </c>
      <c r="DG52" s="228">
        <v>-0.06</v>
      </c>
      <c r="DH52" s="228">
        <v>21.87</v>
      </c>
      <c r="DI52" s="228">
        <v>21.69</v>
      </c>
      <c r="DJ52" s="228">
        <v>0.18</v>
      </c>
      <c r="DK52" s="228">
        <v>0.18</v>
      </c>
      <c r="DL52" s="228">
        <v>22.13</v>
      </c>
      <c r="DM52" s="228">
        <v>22.22</v>
      </c>
      <c r="DN52" s="228">
        <v>-0.09</v>
      </c>
      <c r="DO52" s="228">
        <v>-0.09</v>
      </c>
      <c r="DP52" s="228">
        <v>0.65</v>
      </c>
      <c r="DQ52" s="228">
        <v>0.65</v>
      </c>
      <c r="DR52" s="228">
        <v>0</v>
      </c>
      <c r="DS52" s="229">
        <v>0</v>
      </c>
      <c r="DT52" s="228">
        <v>560</v>
      </c>
      <c r="DU52" s="228">
        <v>500</v>
      </c>
      <c r="DV52" s="228">
        <v>0.47</v>
      </c>
      <c r="DW52" s="228">
        <v>0.5</v>
      </c>
      <c r="DX52" s="228">
        <v>-0.03</v>
      </c>
      <c r="DY52" s="229">
        <v>-0.06</v>
      </c>
      <c r="DZ52" s="229">
        <v>2.1299999999999999E-2</v>
      </c>
      <c r="EA52" s="230">
        <v>480000</v>
      </c>
      <c r="EB52" s="229">
        <v>5.3E-3</v>
      </c>
      <c r="EC52" s="229">
        <v>2.1299999999999999E-2</v>
      </c>
      <c r="ED52" s="228">
        <v>2.4300000000000002</v>
      </c>
      <c r="EE52" s="229">
        <v>4.5999999999999999E-3</v>
      </c>
      <c r="EF52" s="230">
        <v>2412904</v>
      </c>
      <c r="EG52" s="230">
        <v>996525</v>
      </c>
      <c r="EH52" s="229">
        <v>1.4213</v>
      </c>
      <c r="EI52" s="229">
        <v>0.75780000000000003</v>
      </c>
      <c r="EJ52" s="231">
        <v>53143.92</v>
      </c>
      <c r="EK52" s="231">
        <v>23466.12</v>
      </c>
      <c r="EL52" s="231">
        <v>17517.22</v>
      </c>
      <c r="EM52" s="231">
        <v>6490</v>
      </c>
      <c r="EN52" s="231">
        <v>94127.26</v>
      </c>
      <c r="EO52" s="231">
        <v>374548.55</v>
      </c>
      <c r="EP52" s="231">
        <v>-280421.28999999998</v>
      </c>
      <c r="EQ52" s="229">
        <v>-0.74870000000000003</v>
      </c>
      <c r="ER52" s="231">
        <v>82621</v>
      </c>
      <c r="ES52" s="231">
        <v>48990</v>
      </c>
      <c r="ET52" s="231">
        <v>119265</v>
      </c>
      <c r="EU52" s="231">
        <v>89873278</v>
      </c>
      <c r="EV52" s="231">
        <v>250876</v>
      </c>
      <c r="EW52" s="231">
        <v>252982</v>
      </c>
      <c r="EX52" s="231">
        <v>-2106</v>
      </c>
      <c r="EY52" s="229">
        <v>-8.3000000000000001E-3</v>
      </c>
      <c r="EZ52" s="229">
        <v>0.53369999999999995</v>
      </c>
      <c r="FA52" s="227" t="s">
        <v>556</v>
      </c>
      <c r="FB52" s="161">
        <f t="shared" si="0"/>
        <v>486250</v>
      </c>
    </row>
    <row r="53" spans="1:158" ht="17.25" hidden="1" thickBot="1" x14ac:dyDescent="0.3">
      <c r="A53" s="226">
        <v>46029</v>
      </c>
      <c r="B53" s="227" t="s">
        <v>157</v>
      </c>
      <c r="C53" s="227" t="s">
        <v>524</v>
      </c>
      <c r="D53" s="228">
        <v>325</v>
      </c>
      <c r="E53" s="231">
        <v>2131.6</v>
      </c>
      <c r="F53" s="231">
        <v>2127.3000000000002</v>
      </c>
      <c r="G53" s="228">
        <v>4.3</v>
      </c>
      <c r="H53" s="229">
        <v>2E-3</v>
      </c>
      <c r="I53" s="231">
        <v>2121.1999999999998</v>
      </c>
      <c r="J53" s="231">
        <v>2115.6</v>
      </c>
      <c r="K53" s="228">
        <v>5.6</v>
      </c>
      <c r="L53" s="229">
        <v>2.5999999999999999E-3</v>
      </c>
      <c r="M53" s="231">
        <v>2131.6</v>
      </c>
      <c r="N53" s="231">
        <v>2127.3000000000002</v>
      </c>
      <c r="O53" s="228">
        <v>4.3</v>
      </c>
      <c r="P53" s="229">
        <v>2E-3</v>
      </c>
      <c r="Q53" s="231">
        <v>2143.6</v>
      </c>
      <c r="R53" s="231">
        <v>2138.6999999999998</v>
      </c>
      <c r="S53" s="228">
        <v>4.9000000000000004</v>
      </c>
      <c r="T53" s="229">
        <v>2.3E-3</v>
      </c>
      <c r="U53" s="231">
        <v>2157.6</v>
      </c>
      <c r="V53" s="231">
        <v>2153</v>
      </c>
      <c r="W53" s="228">
        <v>4.5999999999999996</v>
      </c>
      <c r="X53" s="229">
        <v>2.0999999999999999E-3</v>
      </c>
      <c r="Y53" s="228">
        <v>10.4</v>
      </c>
      <c r="Z53" s="228">
        <v>11.7</v>
      </c>
      <c r="AA53" s="228">
        <v>-1.3</v>
      </c>
      <c r="AB53" s="229">
        <v>4.8999999999999998E-3</v>
      </c>
      <c r="AC53" s="228">
        <v>10.4</v>
      </c>
      <c r="AD53" s="228">
        <v>11.7</v>
      </c>
      <c r="AE53" s="228">
        <v>-1.3</v>
      </c>
      <c r="AF53" s="229">
        <v>4.8999999999999998E-3</v>
      </c>
      <c r="AG53" s="228">
        <v>22.4</v>
      </c>
      <c r="AH53" s="228">
        <v>23.1</v>
      </c>
      <c r="AI53" s="228">
        <v>-0.7</v>
      </c>
      <c r="AJ53" s="229">
        <v>1.06E-2</v>
      </c>
      <c r="AK53" s="228">
        <v>36.4</v>
      </c>
      <c r="AL53" s="228">
        <v>37.4</v>
      </c>
      <c r="AM53" s="228">
        <v>-1</v>
      </c>
      <c r="AN53" s="229">
        <v>1.72E-2</v>
      </c>
      <c r="AO53" s="231">
        <v>2140.1799999999998</v>
      </c>
      <c r="AP53" s="231">
        <v>2155.08</v>
      </c>
      <c r="AQ53" s="228">
        <v>0</v>
      </c>
      <c r="AR53" s="230">
        <v>483275</v>
      </c>
      <c r="AS53" s="230">
        <v>334750</v>
      </c>
      <c r="AT53" s="230">
        <v>148525</v>
      </c>
      <c r="AU53" s="229">
        <v>0.44369999999999998</v>
      </c>
      <c r="AV53" s="230">
        <v>464425</v>
      </c>
      <c r="AW53" s="230">
        <v>328250</v>
      </c>
      <c r="AX53" s="230">
        <v>136175</v>
      </c>
      <c r="AY53" s="229">
        <v>0.41489999999999999</v>
      </c>
      <c r="AZ53" s="230">
        <v>16250</v>
      </c>
      <c r="BA53" s="230">
        <v>6175</v>
      </c>
      <c r="BB53" s="230">
        <v>10075</v>
      </c>
      <c r="BC53" s="229">
        <v>1.6315999999999999</v>
      </c>
      <c r="BD53" s="230">
        <v>2600</v>
      </c>
      <c r="BE53" s="228">
        <v>325</v>
      </c>
      <c r="BF53" s="230">
        <v>2275</v>
      </c>
      <c r="BG53" s="229">
        <v>7</v>
      </c>
      <c r="BH53" s="230">
        <v>724425</v>
      </c>
      <c r="BI53" s="230">
        <v>462150</v>
      </c>
      <c r="BJ53" s="230">
        <v>262275</v>
      </c>
      <c r="BK53" s="229">
        <v>0.5675</v>
      </c>
      <c r="BL53" s="230">
        <v>214175</v>
      </c>
      <c r="BM53" s="230">
        <v>199550</v>
      </c>
      <c r="BN53" s="230">
        <v>14625</v>
      </c>
      <c r="BO53" s="229">
        <v>7.3300000000000004E-2</v>
      </c>
      <c r="BP53" s="230">
        <v>1421875</v>
      </c>
      <c r="BQ53" s="230">
        <v>996450</v>
      </c>
      <c r="BR53" s="230">
        <v>425425</v>
      </c>
      <c r="BS53" s="229">
        <v>0.4269</v>
      </c>
      <c r="BT53" s="230">
        <v>143135</v>
      </c>
      <c r="BU53" s="230">
        <v>169882</v>
      </c>
      <c r="BV53" s="230">
        <v>-26747</v>
      </c>
      <c r="BW53" s="229">
        <v>-0.15740000000000001</v>
      </c>
      <c r="BX53" s="230">
        <v>2757300</v>
      </c>
      <c r="BY53" s="230">
        <v>2804100</v>
      </c>
      <c r="BZ53" s="230">
        <v>-46800</v>
      </c>
      <c r="CA53" s="229">
        <v>-1.67E-2</v>
      </c>
      <c r="CB53" s="230">
        <v>2684500</v>
      </c>
      <c r="CC53" s="230">
        <v>2736825</v>
      </c>
      <c r="CD53" s="230">
        <v>-52325</v>
      </c>
      <c r="CE53" s="229">
        <v>-1.9099999999999999E-2</v>
      </c>
      <c r="CF53" s="230">
        <v>67600</v>
      </c>
      <c r="CG53" s="230">
        <v>64025</v>
      </c>
      <c r="CH53" s="230">
        <v>3575</v>
      </c>
      <c r="CI53" s="229">
        <v>5.5800000000000002E-2</v>
      </c>
      <c r="CJ53" s="230">
        <v>5200</v>
      </c>
      <c r="CK53" s="230">
        <v>3250</v>
      </c>
      <c r="CL53" s="230">
        <v>1950</v>
      </c>
      <c r="CM53" s="229">
        <v>0.6</v>
      </c>
      <c r="CN53" s="230">
        <v>936975</v>
      </c>
      <c r="CO53" s="230">
        <v>884325</v>
      </c>
      <c r="CP53" s="230">
        <v>52650</v>
      </c>
      <c r="CQ53" s="229">
        <v>5.9499999999999997E-2</v>
      </c>
      <c r="CR53" s="230">
        <v>555425</v>
      </c>
      <c r="CS53" s="230">
        <v>486850</v>
      </c>
      <c r="CT53" s="230">
        <v>68575</v>
      </c>
      <c r="CU53" s="229">
        <v>0.1409</v>
      </c>
      <c r="CV53" s="230">
        <v>4249700</v>
      </c>
      <c r="CW53" s="230">
        <v>4175275</v>
      </c>
      <c r="CX53" s="230">
        <v>74425</v>
      </c>
      <c r="CY53" s="229">
        <v>1.78E-2</v>
      </c>
      <c r="CZ53" s="228">
        <v>24.82</v>
      </c>
      <c r="DA53" s="228">
        <v>25.23</v>
      </c>
      <c r="DB53" s="228">
        <v>-0.41</v>
      </c>
      <c r="DC53" s="228">
        <v>-0.41</v>
      </c>
      <c r="DD53" s="228">
        <v>28.82</v>
      </c>
      <c r="DE53" s="228">
        <v>28.89</v>
      </c>
      <c r="DF53" s="228">
        <v>-4</v>
      </c>
      <c r="DG53" s="228">
        <v>-7.0000000000000007E-2</v>
      </c>
      <c r="DH53" s="228">
        <v>24.96</v>
      </c>
      <c r="DI53" s="228">
        <v>25.41</v>
      </c>
      <c r="DJ53" s="228">
        <v>-0.45</v>
      </c>
      <c r="DK53" s="228">
        <v>-0.45</v>
      </c>
      <c r="DL53" s="228">
        <v>24.34</v>
      </c>
      <c r="DM53" s="228">
        <v>24.82</v>
      </c>
      <c r="DN53" s="228">
        <v>-0.48</v>
      </c>
      <c r="DO53" s="228">
        <v>-0.48</v>
      </c>
      <c r="DP53" s="228">
        <v>0.59</v>
      </c>
      <c r="DQ53" s="228">
        <v>0.55000000000000004</v>
      </c>
      <c r="DR53" s="228">
        <v>0.04</v>
      </c>
      <c r="DS53" s="229">
        <v>7.2700000000000001E-2</v>
      </c>
      <c r="DT53" s="231">
        <v>2200</v>
      </c>
      <c r="DU53" s="231">
        <v>2100</v>
      </c>
      <c r="DV53" s="228">
        <v>0.3</v>
      </c>
      <c r="DW53" s="228">
        <v>0.43</v>
      </c>
      <c r="DX53" s="228">
        <v>-0.13</v>
      </c>
      <c r="DY53" s="229">
        <v>-0.30230000000000001</v>
      </c>
      <c r="DZ53" s="229">
        <v>2.64E-2</v>
      </c>
      <c r="EA53" s="230">
        <v>67275</v>
      </c>
      <c r="EB53" s="229">
        <v>5.5999999999999999E-3</v>
      </c>
      <c r="EC53" s="229">
        <v>2.64E-2</v>
      </c>
      <c r="ED53" s="228">
        <v>14.9</v>
      </c>
      <c r="EE53" s="229">
        <v>7.0000000000000001E-3</v>
      </c>
      <c r="EF53" s="230">
        <v>65398</v>
      </c>
      <c r="EG53" s="230">
        <v>99952</v>
      </c>
      <c r="EH53" s="229">
        <v>-0.34570000000000001</v>
      </c>
      <c r="EI53" s="229">
        <v>0.45689999999999997</v>
      </c>
      <c r="EJ53" s="231">
        <v>16196.29</v>
      </c>
      <c r="EK53" s="231">
        <v>4516.29</v>
      </c>
      <c r="EL53" s="231">
        <v>10346.07</v>
      </c>
      <c r="EM53" s="231">
        <v>1390</v>
      </c>
      <c r="EN53" s="231">
        <v>31058.65</v>
      </c>
      <c r="EO53" s="231">
        <v>21682.68</v>
      </c>
      <c r="EP53" s="231">
        <v>9375.9699999999993</v>
      </c>
      <c r="EQ53" s="229">
        <v>0.43240000000000001</v>
      </c>
      <c r="ER53" s="231">
        <v>20778</v>
      </c>
      <c r="ES53" s="231">
        <v>11471</v>
      </c>
      <c r="ET53" s="231">
        <v>58784</v>
      </c>
      <c r="EU53" s="231">
        <v>12425041</v>
      </c>
      <c r="EV53" s="231">
        <v>91033</v>
      </c>
      <c r="EW53" s="231">
        <v>89320</v>
      </c>
      <c r="EX53" s="231">
        <v>1713</v>
      </c>
      <c r="EY53" s="229">
        <v>1.9199999999999998E-2</v>
      </c>
      <c r="EZ53" s="229">
        <v>0.34200000000000003</v>
      </c>
      <c r="FA53" s="227" t="s">
        <v>556</v>
      </c>
      <c r="FB53" s="161">
        <f t="shared" si="0"/>
        <v>72800</v>
      </c>
    </row>
    <row r="54" spans="1:158" ht="17.25" hidden="1" thickBot="1" x14ac:dyDescent="0.3">
      <c r="A54" s="226">
        <v>46029</v>
      </c>
      <c r="B54" s="227" t="s">
        <v>615</v>
      </c>
      <c r="C54" s="227" t="s">
        <v>600</v>
      </c>
      <c r="D54" s="228">
        <v>2075</v>
      </c>
      <c r="E54" s="228">
        <v>424.4</v>
      </c>
      <c r="F54" s="228">
        <v>416.2</v>
      </c>
      <c r="G54" s="228">
        <v>8.1999999999999993</v>
      </c>
      <c r="H54" s="229">
        <v>1.9699999999999999E-2</v>
      </c>
      <c r="I54" s="228">
        <v>422.25</v>
      </c>
      <c r="J54" s="228">
        <v>414.25</v>
      </c>
      <c r="K54" s="228">
        <v>8</v>
      </c>
      <c r="L54" s="229">
        <v>1.9300000000000001E-2</v>
      </c>
      <c r="M54" s="228">
        <v>424.4</v>
      </c>
      <c r="N54" s="228">
        <v>416.2</v>
      </c>
      <c r="O54" s="228">
        <v>8.1999999999999993</v>
      </c>
      <c r="P54" s="229">
        <v>1.9699999999999999E-2</v>
      </c>
      <c r="Q54" s="228">
        <v>426.75</v>
      </c>
      <c r="R54" s="228">
        <v>417.8</v>
      </c>
      <c r="S54" s="228">
        <v>8.9499999999999993</v>
      </c>
      <c r="T54" s="229">
        <v>2.1399999999999999E-2</v>
      </c>
      <c r="U54" s="228">
        <v>429.35</v>
      </c>
      <c r="V54" s="228">
        <v>421</v>
      </c>
      <c r="W54" s="228">
        <v>8.35</v>
      </c>
      <c r="X54" s="229">
        <v>1.9800000000000002E-2</v>
      </c>
      <c r="Y54" s="228">
        <v>2.15</v>
      </c>
      <c r="Z54" s="228">
        <v>1.95</v>
      </c>
      <c r="AA54" s="228">
        <v>0.2</v>
      </c>
      <c r="AB54" s="229">
        <v>5.1000000000000004E-3</v>
      </c>
      <c r="AC54" s="228">
        <v>2.15</v>
      </c>
      <c r="AD54" s="228">
        <v>1.95</v>
      </c>
      <c r="AE54" s="228">
        <v>0.2</v>
      </c>
      <c r="AF54" s="229">
        <v>5.1000000000000004E-3</v>
      </c>
      <c r="AG54" s="228">
        <v>4.5</v>
      </c>
      <c r="AH54" s="228">
        <v>3.55</v>
      </c>
      <c r="AI54" s="228">
        <v>0.95</v>
      </c>
      <c r="AJ54" s="229">
        <v>1.0699999999999999E-2</v>
      </c>
      <c r="AK54" s="228">
        <v>7.1</v>
      </c>
      <c r="AL54" s="228">
        <v>6.75</v>
      </c>
      <c r="AM54" s="228">
        <v>0.35</v>
      </c>
      <c r="AN54" s="229">
        <v>1.6799999999999999E-2</v>
      </c>
      <c r="AO54" s="228">
        <v>422.27</v>
      </c>
      <c r="AP54" s="228">
        <v>424.43</v>
      </c>
      <c r="AQ54" s="228">
        <v>0</v>
      </c>
      <c r="AR54" s="230">
        <v>9603100</v>
      </c>
      <c r="AS54" s="230">
        <v>5312000</v>
      </c>
      <c r="AT54" s="230">
        <v>4291100</v>
      </c>
      <c r="AU54" s="229">
        <v>0.80779999999999996</v>
      </c>
      <c r="AV54" s="230">
        <v>9150750</v>
      </c>
      <c r="AW54" s="230">
        <v>5121100</v>
      </c>
      <c r="AX54" s="230">
        <v>4029650</v>
      </c>
      <c r="AY54" s="229">
        <v>0.78690000000000004</v>
      </c>
      <c r="AZ54" s="230">
        <v>429525</v>
      </c>
      <c r="BA54" s="230">
        <v>180525</v>
      </c>
      <c r="BB54" s="230">
        <v>249000</v>
      </c>
      <c r="BC54" s="229">
        <v>1.3793</v>
      </c>
      <c r="BD54" s="230">
        <v>22825</v>
      </c>
      <c r="BE54" s="230">
        <v>10375</v>
      </c>
      <c r="BF54" s="230">
        <v>12450</v>
      </c>
      <c r="BG54" s="229">
        <v>1.2</v>
      </c>
      <c r="BH54" s="230">
        <v>22710875</v>
      </c>
      <c r="BI54" s="230">
        <v>12821425</v>
      </c>
      <c r="BJ54" s="230">
        <v>9889450</v>
      </c>
      <c r="BK54" s="229">
        <v>0.77129999999999999</v>
      </c>
      <c r="BL54" s="230">
        <v>9049075</v>
      </c>
      <c r="BM54" s="230">
        <v>4461250</v>
      </c>
      <c r="BN54" s="230">
        <v>4587825</v>
      </c>
      <c r="BO54" s="229">
        <v>1.0284</v>
      </c>
      <c r="BP54" s="230">
        <v>41363050</v>
      </c>
      <c r="BQ54" s="230">
        <v>22594675</v>
      </c>
      <c r="BR54" s="230">
        <v>18768375</v>
      </c>
      <c r="BS54" s="229">
        <v>0.83069999999999999</v>
      </c>
      <c r="BT54" s="230">
        <v>3712162</v>
      </c>
      <c r="BU54" s="230">
        <v>2705581</v>
      </c>
      <c r="BV54" s="230">
        <v>1006581</v>
      </c>
      <c r="BW54" s="229">
        <v>0.372</v>
      </c>
      <c r="BX54" s="230">
        <v>21604900</v>
      </c>
      <c r="BY54" s="230">
        <v>20139950</v>
      </c>
      <c r="BZ54" s="230">
        <v>1464950</v>
      </c>
      <c r="CA54" s="229">
        <v>7.2700000000000001E-2</v>
      </c>
      <c r="CB54" s="230">
        <v>21111050</v>
      </c>
      <c r="CC54" s="230">
        <v>19729100</v>
      </c>
      <c r="CD54" s="230">
        <v>1381950</v>
      </c>
      <c r="CE54" s="229">
        <v>7.0000000000000007E-2</v>
      </c>
      <c r="CF54" s="230">
        <v>454425</v>
      </c>
      <c r="CG54" s="230">
        <v>377650</v>
      </c>
      <c r="CH54" s="230">
        <v>76775</v>
      </c>
      <c r="CI54" s="229">
        <v>0.20330000000000001</v>
      </c>
      <c r="CJ54" s="230">
        <v>39425</v>
      </c>
      <c r="CK54" s="230">
        <v>33200</v>
      </c>
      <c r="CL54" s="230">
        <v>6225</v>
      </c>
      <c r="CM54" s="229">
        <v>0.1875</v>
      </c>
      <c r="CN54" s="230">
        <v>6550775</v>
      </c>
      <c r="CO54" s="230">
        <v>5438575</v>
      </c>
      <c r="CP54" s="230">
        <v>1112200</v>
      </c>
      <c r="CQ54" s="229">
        <v>0.20449999999999999</v>
      </c>
      <c r="CR54" s="230">
        <v>5017350</v>
      </c>
      <c r="CS54" s="230">
        <v>4600275</v>
      </c>
      <c r="CT54" s="230">
        <v>417075</v>
      </c>
      <c r="CU54" s="229">
        <v>9.0700000000000003E-2</v>
      </c>
      <c r="CV54" s="230">
        <v>33173025</v>
      </c>
      <c r="CW54" s="230">
        <v>30178800</v>
      </c>
      <c r="CX54" s="230">
        <v>2994225</v>
      </c>
      <c r="CY54" s="229">
        <v>9.9199999999999997E-2</v>
      </c>
      <c r="CZ54" s="228">
        <v>29.16</v>
      </c>
      <c r="DA54" s="228">
        <v>28.77</v>
      </c>
      <c r="DB54" s="228">
        <v>0.39</v>
      </c>
      <c r="DC54" s="228">
        <v>0.39</v>
      </c>
      <c r="DD54" s="228">
        <v>39.93</v>
      </c>
      <c r="DE54" s="228">
        <v>39.94</v>
      </c>
      <c r="DF54" s="228">
        <v>-10.77</v>
      </c>
      <c r="DG54" s="228">
        <v>-0.01</v>
      </c>
      <c r="DH54" s="228">
        <v>29.3</v>
      </c>
      <c r="DI54" s="228">
        <v>28.59</v>
      </c>
      <c r="DJ54" s="228">
        <v>0.71</v>
      </c>
      <c r="DK54" s="228">
        <v>0.71</v>
      </c>
      <c r="DL54" s="228">
        <v>28.82</v>
      </c>
      <c r="DM54" s="228">
        <v>29.27</v>
      </c>
      <c r="DN54" s="228">
        <v>-0.45</v>
      </c>
      <c r="DO54" s="228">
        <v>-0.45</v>
      </c>
      <c r="DP54" s="228">
        <v>0.77</v>
      </c>
      <c r="DQ54" s="228">
        <v>0.85</v>
      </c>
      <c r="DR54" s="228">
        <v>-0.08</v>
      </c>
      <c r="DS54" s="229">
        <v>-9.4100000000000003E-2</v>
      </c>
      <c r="DT54" s="228">
        <v>420</v>
      </c>
      <c r="DU54" s="228">
        <v>400</v>
      </c>
      <c r="DV54" s="228">
        <v>0.4</v>
      </c>
      <c r="DW54" s="228">
        <v>0.35</v>
      </c>
      <c r="DX54" s="228">
        <v>0.05</v>
      </c>
      <c r="DY54" s="229">
        <v>0.1429</v>
      </c>
      <c r="DZ54" s="229">
        <v>2.29E-2</v>
      </c>
      <c r="EA54" s="230">
        <v>410850</v>
      </c>
      <c r="EB54" s="229">
        <v>5.4999999999999997E-3</v>
      </c>
      <c r="EC54" s="229">
        <v>2.29E-2</v>
      </c>
      <c r="ED54" s="228">
        <v>2.16</v>
      </c>
      <c r="EE54" s="229">
        <v>5.1000000000000004E-3</v>
      </c>
      <c r="EF54" s="230">
        <v>2261951</v>
      </c>
      <c r="EG54" s="230">
        <v>1569763</v>
      </c>
      <c r="EH54" s="229">
        <v>0.441</v>
      </c>
      <c r="EI54" s="229">
        <v>0.60929999999999995</v>
      </c>
      <c r="EJ54" s="231">
        <v>99784.24</v>
      </c>
      <c r="EK54" s="231">
        <v>37542.15</v>
      </c>
      <c r="EL54" s="231">
        <v>40561.53</v>
      </c>
      <c r="EM54" s="231">
        <v>1722</v>
      </c>
      <c r="EN54" s="231">
        <v>177887.92</v>
      </c>
      <c r="EO54" s="231">
        <v>96300.37</v>
      </c>
      <c r="EP54" s="231">
        <v>81587.55</v>
      </c>
      <c r="EQ54" s="229">
        <v>0.84719999999999995</v>
      </c>
      <c r="ER54" s="231">
        <v>28471</v>
      </c>
      <c r="ES54" s="231">
        <v>20071</v>
      </c>
      <c r="ET54" s="231">
        <v>91704</v>
      </c>
      <c r="EU54" s="231">
        <v>112112283</v>
      </c>
      <c r="EV54" s="231">
        <v>140246</v>
      </c>
      <c r="EW54" s="231">
        <v>125486</v>
      </c>
      <c r="EX54" s="231">
        <v>14760</v>
      </c>
      <c r="EY54" s="229">
        <v>0.1176</v>
      </c>
      <c r="EZ54" s="229">
        <v>0.2959</v>
      </c>
      <c r="FA54" s="227" t="s">
        <v>555</v>
      </c>
      <c r="FB54" s="161">
        <f t="shared" si="0"/>
        <v>493850</v>
      </c>
    </row>
    <row r="55" spans="1:158" ht="17.25" hidden="1" thickBot="1" x14ac:dyDescent="0.3">
      <c r="A55" s="226">
        <v>46029</v>
      </c>
      <c r="B55" s="227" t="s">
        <v>170</v>
      </c>
      <c r="C55" s="227" t="s">
        <v>205</v>
      </c>
      <c r="D55" s="228">
        <v>100</v>
      </c>
      <c r="E55" s="231">
        <v>6657.5</v>
      </c>
      <c r="F55" s="231">
        <v>6676.5</v>
      </c>
      <c r="G55" s="228">
        <v>-19</v>
      </c>
      <c r="H55" s="229">
        <v>-2.8E-3</v>
      </c>
      <c r="I55" s="231">
        <v>6642.5</v>
      </c>
      <c r="J55" s="231">
        <v>6642.5</v>
      </c>
      <c r="K55" s="228">
        <v>0</v>
      </c>
      <c r="L55" s="229">
        <v>0</v>
      </c>
      <c r="M55" s="231">
        <v>6657.5</v>
      </c>
      <c r="N55" s="231">
        <v>6676.5</v>
      </c>
      <c r="O55" s="228">
        <v>-19</v>
      </c>
      <c r="P55" s="229">
        <v>-2.8E-3</v>
      </c>
      <c r="Q55" s="231">
        <v>6694.5</v>
      </c>
      <c r="R55" s="231">
        <v>6711</v>
      </c>
      <c r="S55" s="228">
        <v>-16.5</v>
      </c>
      <c r="T55" s="229">
        <v>-2.5000000000000001E-3</v>
      </c>
      <c r="U55" s="231">
        <v>6742</v>
      </c>
      <c r="V55" s="231">
        <v>6753</v>
      </c>
      <c r="W55" s="228">
        <v>-11</v>
      </c>
      <c r="X55" s="229">
        <v>-1.6000000000000001E-3</v>
      </c>
      <c r="Y55" s="228">
        <v>15</v>
      </c>
      <c r="Z55" s="228">
        <v>34</v>
      </c>
      <c r="AA55" s="228">
        <v>-19</v>
      </c>
      <c r="AB55" s="229">
        <v>2.3E-3</v>
      </c>
      <c r="AC55" s="228">
        <v>15</v>
      </c>
      <c r="AD55" s="228">
        <v>34</v>
      </c>
      <c r="AE55" s="228">
        <v>-19</v>
      </c>
      <c r="AF55" s="229">
        <v>2.3E-3</v>
      </c>
      <c r="AG55" s="228">
        <v>52</v>
      </c>
      <c r="AH55" s="228">
        <v>68.5</v>
      </c>
      <c r="AI55" s="228">
        <v>-16.5</v>
      </c>
      <c r="AJ55" s="229">
        <v>7.7999999999999996E-3</v>
      </c>
      <c r="AK55" s="228">
        <v>99.5</v>
      </c>
      <c r="AL55" s="228">
        <v>110.5</v>
      </c>
      <c r="AM55" s="228">
        <v>-11</v>
      </c>
      <c r="AN55" s="229">
        <v>1.4999999999999999E-2</v>
      </c>
      <c r="AO55" s="231">
        <v>6679.57</v>
      </c>
      <c r="AP55" s="231">
        <v>6720.06</v>
      </c>
      <c r="AQ55" s="228">
        <v>0</v>
      </c>
      <c r="AR55" s="230">
        <v>477100</v>
      </c>
      <c r="AS55" s="230">
        <v>940500</v>
      </c>
      <c r="AT55" s="230">
        <v>-463400</v>
      </c>
      <c r="AU55" s="229">
        <v>-0.49270000000000003</v>
      </c>
      <c r="AV55" s="230">
        <v>458500</v>
      </c>
      <c r="AW55" s="230">
        <v>897200</v>
      </c>
      <c r="AX55" s="230">
        <v>-438700</v>
      </c>
      <c r="AY55" s="229">
        <v>-0.48899999999999999</v>
      </c>
      <c r="AZ55" s="230">
        <v>16400</v>
      </c>
      <c r="BA55" s="230">
        <v>38300</v>
      </c>
      <c r="BB55" s="230">
        <v>-21900</v>
      </c>
      <c r="BC55" s="229">
        <v>-0.57179999999999997</v>
      </c>
      <c r="BD55" s="230">
        <v>2200</v>
      </c>
      <c r="BE55" s="230">
        <v>5000</v>
      </c>
      <c r="BF55" s="230">
        <v>-2800</v>
      </c>
      <c r="BG55" s="229">
        <v>-0.56000000000000005</v>
      </c>
      <c r="BH55" s="230">
        <v>3326000</v>
      </c>
      <c r="BI55" s="230">
        <v>9831700</v>
      </c>
      <c r="BJ55" s="230">
        <v>-6505700</v>
      </c>
      <c r="BK55" s="229">
        <v>-0.66169999999999995</v>
      </c>
      <c r="BL55" s="230">
        <v>959200</v>
      </c>
      <c r="BM55" s="230">
        <v>2191700</v>
      </c>
      <c r="BN55" s="230">
        <v>-1232500</v>
      </c>
      <c r="BO55" s="229">
        <v>-0.56230000000000002</v>
      </c>
      <c r="BP55" s="230">
        <v>4762300</v>
      </c>
      <c r="BQ55" s="230">
        <v>12963900</v>
      </c>
      <c r="BR55" s="230">
        <v>-8201600</v>
      </c>
      <c r="BS55" s="229">
        <v>-0.63260000000000005</v>
      </c>
      <c r="BT55" s="230">
        <v>461952</v>
      </c>
      <c r="BU55" s="230">
        <v>748740</v>
      </c>
      <c r="BV55" s="230">
        <v>-286788</v>
      </c>
      <c r="BW55" s="229">
        <v>-0.38300000000000001</v>
      </c>
      <c r="BX55" s="230">
        <v>3417300</v>
      </c>
      <c r="BY55" s="230">
        <v>3461900</v>
      </c>
      <c r="BZ55" s="230">
        <v>-44600</v>
      </c>
      <c r="CA55" s="229">
        <v>-1.29E-2</v>
      </c>
      <c r="CB55" s="230">
        <v>3357400</v>
      </c>
      <c r="CC55" s="230">
        <v>3402900</v>
      </c>
      <c r="CD55" s="230">
        <v>-45500</v>
      </c>
      <c r="CE55" s="229">
        <v>-1.34E-2</v>
      </c>
      <c r="CF55" s="230">
        <v>56500</v>
      </c>
      <c r="CG55" s="230">
        <v>56200</v>
      </c>
      <c r="CH55" s="228">
        <v>300</v>
      </c>
      <c r="CI55" s="229">
        <v>5.3E-3</v>
      </c>
      <c r="CJ55" s="230">
        <v>3400</v>
      </c>
      <c r="CK55" s="230">
        <v>2800</v>
      </c>
      <c r="CL55" s="228">
        <v>600</v>
      </c>
      <c r="CM55" s="229">
        <v>0.21429999999999999</v>
      </c>
      <c r="CN55" s="230">
        <v>1244400</v>
      </c>
      <c r="CO55" s="230">
        <v>1120300</v>
      </c>
      <c r="CP55" s="230">
        <v>124100</v>
      </c>
      <c r="CQ55" s="229">
        <v>0.1108</v>
      </c>
      <c r="CR55" s="230">
        <v>793100</v>
      </c>
      <c r="CS55" s="230">
        <v>737200</v>
      </c>
      <c r="CT55" s="230">
        <v>55900</v>
      </c>
      <c r="CU55" s="229">
        <v>7.5800000000000006E-2</v>
      </c>
      <c r="CV55" s="230">
        <v>5454800</v>
      </c>
      <c r="CW55" s="230">
        <v>5319400</v>
      </c>
      <c r="CX55" s="230">
        <v>135400</v>
      </c>
      <c r="CY55" s="229">
        <v>2.5499999999999998E-2</v>
      </c>
      <c r="CZ55" s="228">
        <v>22.5</v>
      </c>
      <c r="DA55" s="228">
        <v>22.46</v>
      </c>
      <c r="DB55" s="228">
        <v>0.04</v>
      </c>
      <c r="DC55" s="228">
        <v>0.04</v>
      </c>
      <c r="DD55" s="228">
        <v>30.15</v>
      </c>
      <c r="DE55" s="228">
        <v>30.22</v>
      </c>
      <c r="DF55" s="228">
        <v>-7.65</v>
      </c>
      <c r="DG55" s="228">
        <v>-7.0000000000000007E-2</v>
      </c>
      <c r="DH55" s="228">
        <v>22.51</v>
      </c>
      <c r="DI55" s="228">
        <v>22.34</v>
      </c>
      <c r="DJ55" s="228">
        <v>0.17</v>
      </c>
      <c r="DK55" s="228">
        <v>0.17</v>
      </c>
      <c r="DL55" s="228">
        <v>22.46</v>
      </c>
      <c r="DM55" s="228">
        <v>22.99</v>
      </c>
      <c r="DN55" s="228">
        <v>-0.53</v>
      </c>
      <c r="DO55" s="228">
        <v>-0.53</v>
      </c>
      <c r="DP55" s="228">
        <v>0.64</v>
      </c>
      <c r="DQ55" s="228">
        <v>0.66</v>
      </c>
      <c r="DR55" s="228">
        <v>-0.02</v>
      </c>
      <c r="DS55" s="229">
        <v>-3.0300000000000001E-2</v>
      </c>
      <c r="DT55" s="231">
        <v>7000</v>
      </c>
      <c r="DU55" s="231">
        <v>6200</v>
      </c>
      <c r="DV55" s="228">
        <v>0.28999999999999998</v>
      </c>
      <c r="DW55" s="228">
        <v>0.22</v>
      </c>
      <c r="DX55" s="228">
        <v>7.0000000000000007E-2</v>
      </c>
      <c r="DY55" s="229">
        <v>0.31819999999999998</v>
      </c>
      <c r="DZ55" s="229">
        <v>1.7500000000000002E-2</v>
      </c>
      <c r="EA55" s="230">
        <v>59000</v>
      </c>
      <c r="EB55" s="229">
        <v>5.5999999999999999E-3</v>
      </c>
      <c r="EC55" s="229">
        <v>1.7500000000000002E-2</v>
      </c>
      <c r="ED55" s="228">
        <v>40.49</v>
      </c>
      <c r="EE55" s="229">
        <v>6.1000000000000004E-3</v>
      </c>
      <c r="EF55" s="230">
        <v>233655</v>
      </c>
      <c r="EG55" s="230">
        <v>275479</v>
      </c>
      <c r="EH55" s="229">
        <v>-0.15179999999999999</v>
      </c>
      <c r="EI55" s="229">
        <v>0.50580000000000003</v>
      </c>
      <c r="EJ55" s="231">
        <v>230320.43</v>
      </c>
      <c r="EK55" s="231">
        <v>62589.57</v>
      </c>
      <c r="EL55" s="231">
        <v>31876.53</v>
      </c>
      <c r="EM55" s="231">
        <v>3670</v>
      </c>
      <c r="EN55" s="231">
        <v>324786.53000000003</v>
      </c>
      <c r="EO55" s="231">
        <v>877566.52</v>
      </c>
      <c r="EP55" s="231">
        <v>-552779.99</v>
      </c>
      <c r="EQ55" s="229">
        <v>-0.62990000000000002</v>
      </c>
      <c r="ER55" s="231">
        <v>84644</v>
      </c>
      <c r="ES55" s="231">
        <v>49889</v>
      </c>
      <c r="ET55" s="231">
        <v>227531</v>
      </c>
      <c r="EU55" s="231">
        <v>14898112</v>
      </c>
      <c r="EV55" s="231">
        <v>362064</v>
      </c>
      <c r="EW55" s="231">
        <v>353690</v>
      </c>
      <c r="EX55" s="231">
        <v>8374</v>
      </c>
      <c r="EY55" s="229">
        <v>2.3699999999999999E-2</v>
      </c>
      <c r="EZ55" s="229">
        <v>0.36609999999999998</v>
      </c>
      <c r="FA55" s="227" t="s">
        <v>568</v>
      </c>
      <c r="FB55" s="161">
        <f t="shared" si="0"/>
        <v>59900</v>
      </c>
    </row>
    <row r="56" spans="1:158" ht="17.25" hidden="1" thickBot="1" x14ac:dyDescent="0.3">
      <c r="A56" s="226">
        <v>46029</v>
      </c>
      <c r="B56" s="227" t="s">
        <v>184</v>
      </c>
      <c r="C56" s="227" t="s">
        <v>512</v>
      </c>
      <c r="D56" s="228">
        <v>50</v>
      </c>
      <c r="E56" s="231">
        <v>11827</v>
      </c>
      <c r="F56" s="231">
        <v>11739</v>
      </c>
      <c r="G56" s="228">
        <v>88</v>
      </c>
      <c r="H56" s="229">
        <v>7.4999999999999997E-3</v>
      </c>
      <c r="I56" s="231">
        <v>11770</v>
      </c>
      <c r="J56" s="231">
        <v>11726</v>
      </c>
      <c r="K56" s="228">
        <v>44</v>
      </c>
      <c r="L56" s="229">
        <v>3.8E-3</v>
      </c>
      <c r="M56" s="231">
        <v>11827</v>
      </c>
      <c r="N56" s="231">
        <v>11739</v>
      </c>
      <c r="O56" s="228">
        <v>88</v>
      </c>
      <c r="P56" s="229">
        <v>7.4999999999999997E-3</v>
      </c>
      <c r="Q56" s="231">
        <v>11900</v>
      </c>
      <c r="R56" s="231">
        <v>11817</v>
      </c>
      <c r="S56" s="228">
        <v>83</v>
      </c>
      <c r="T56" s="229">
        <v>7.0000000000000001E-3</v>
      </c>
      <c r="U56" s="231">
        <v>11970</v>
      </c>
      <c r="V56" s="231">
        <v>11879</v>
      </c>
      <c r="W56" s="228">
        <v>91</v>
      </c>
      <c r="X56" s="229">
        <v>7.7000000000000002E-3</v>
      </c>
      <c r="Y56" s="228">
        <v>57</v>
      </c>
      <c r="Z56" s="228">
        <v>13</v>
      </c>
      <c r="AA56" s="228">
        <v>44</v>
      </c>
      <c r="AB56" s="229">
        <v>4.7999999999999996E-3</v>
      </c>
      <c r="AC56" s="228">
        <v>57</v>
      </c>
      <c r="AD56" s="228">
        <v>13</v>
      </c>
      <c r="AE56" s="228">
        <v>44</v>
      </c>
      <c r="AF56" s="229">
        <v>4.7999999999999996E-3</v>
      </c>
      <c r="AG56" s="228">
        <v>130</v>
      </c>
      <c r="AH56" s="228">
        <v>91</v>
      </c>
      <c r="AI56" s="228">
        <v>39</v>
      </c>
      <c r="AJ56" s="229">
        <v>1.0999999999999999E-2</v>
      </c>
      <c r="AK56" s="228">
        <v>200</v>
      </c>
      <c r="AL56" s="228">
        <v>153</v>
      </c>
      <c r="AM56" s="228">
        <v>47</v>
      </c>
      <c r="AN56" s="229">
        <v>1.7000000000000001E-2</v>
      </c>
      <c r="AO56" s="231">
        <v>11781.25</v>
      </c>
      <c r="AP56" s="231">
        <v>11848.6</v>
      </c>
      <c r="AQ56" s="228">
        <v>0</v>
      </c>
      <c r="AR56" s="230">
        <v>1104200</v>
      </c>
      <c r="AS56" s="230">
        <v>962400</v>
      </c>
      <c r="AT56" s="230">
        <v>141800</v>
      </c>
      <c r="AU56" s="229">
        <v>0.14729999999999999</v>
      </c>
      <c r="AV56" s="230">
        <v>999800</v>
      </c>
      <c r="AW56" s="230">
        <v>864100</v>
      </c>
      <c r="AX56" s="230">
        <v>135700</v>
      </c>
      <c r="AY56" s="229">
        <v>0.157</v>
      </c>
      <c r="AZ56" s="230">
        <v>90850</v>
      </c>
      <c r="BA56" s="230">
        <v>77950</v>
      </c>
      <c r="BB56" s="230">
        <v>12900</v>
      </c>
      <c r="BC56" s="229">
        <v>0.16550000000000001</v>
      </c>
      <c r="BD56" s="230">
        <v>13550</v>
      </c>
      <c r="BE56" s="230">
        <v>20350</v>
      </c>
      <c r="BF56" s="230">
        <v>-6800</v>
      </c>
      <c r="BG56" s="229">
        <v>-0.3342</v>
      </c>
      <c r="BH56" s="230">
        <v>4899150</v>
      </c>
      <c r="BI56" s="230">
        <v>3227500</v>
      </c>
      <c r="BJ56" s="230">
        <v>1671650</v>
      </c>
      <c r="BK56" s="229">
        <v>0.51790000000000003</v>
      </c>
      <c r="BL56" s="230">
        <v>3446350</v>
      </c>
      <c r="BM56" s="230">
        <v>2574850</v>
      </c>
      <c r="BN56" s="230">
        <v>871500</v>
      </c>
      <c r="BO56" s="229">
        <v>0.33850000000000002</v>
      </c>
      <c r="BP56" s="230">
        <v>9449700</v>
      </c>
      <c r="BQ56" s="230">
        <v>6764750</v>
      </c>
      <c r="BR56" s="230">
        <v>2684950</v>
      </c>
      <c r="BS56" s="229">
        <v>0.39689999999999998</v>
      </c>
      <c r="BT56" s="230">
        <v>973222</v>
      </c>
      <c r="BU56" s="230">
        <v>571630</v>
      </c>
      <c r="BV56" s="230">
        <v>401592</v>
      </c>
      <c r="BW56" s="229">
        <v>0.70250000000000001</v>
      </c>
      <c r="BX56" s="230">
        <v>3027500</v>
      </c>
      <c r="BY56" s="230">
        <v>3027000</v>
      </c>
      <c r="BZ56" s="228">
        <v>500</v>
      </c>
      <c r="CA56" s="229">
        <v>2.0000000000000001E-4</v>
      </c>
      <c r="CB56" s="230">
        <v>2791800</v>
      </c>
      <c r="CC56" s="230">
        <v>2810450</v>
      </c>
      <c r="CD56" s="230">
        <v>-18650</v>
      </c>
      <c r="CE56" s="229">
        <v>-6.6E-3</v>
      </c>
      <c r="CF56" s="230">
        <v>210050</v>
      </c>
      <c r="CG56" s="230">
        <v>194000</v>
      </c>
      <c r="CH56" s="230">
        <v>16050</v>
      </c>
      <c r="CI56" s="229">
        <v>8.2699999999999996E-2</v>
      </c>
      <c r="CJ56" s="230">
        <v>25650</v>
      </c>
      <c r="CK56" s="230">
        <v>22550</v>
      </c>
      <c r="CL56" s="230">
        <v>3100</v>
      </c>
      <c r="CM56" s="229">
        <v>0.13750000000000001</v>
      </c>
      <c r="CN56" s="230">
        <v>3022950</v>
      </c>
      <c r="CO56" s="230">
        <v>2912150</v>
      </c>
      <c r="CP56" s="230">
        <v>110800</v>
      </c>
      <c r="CQ56" s="229">
        <v>3.7999999999999999E-2</v>
      </c>
      <c r="CR56" s="230">
        <v>1794500</v>
      </c>
      <c r="CS56" s="230">
        <v>1686100</v>
      </c>
      <c r="CT56" s="230">
        <v>108400</v>
      </c>
      <c r="CU56" s="229">
        <v>6.4299999999999996E-2</v>
      </c>
      <c r="CV56" s="230">
        <v>7844950</v>
      </c>
      <c r="CW56" s="230">
        <v>7625250</v>
      </c>
      <c r="CX56" s="230">
        <v>219700</v>
      </c>
      <c r="CY56" s="229">
        <v>2.8799999999999999E-2</v>
      </c>
      <c r="CZ56" s="228">
        <v>44.04</v>
      </c>
      <c r="DA56" s="228">
        <v>45.59</v>
      </c>
      <c r="DB56" s="228">
        <v>-1.55</v>
      </c>
      <c r="DC56" s="228">
        <v>-1.55</v>
      </c>
      <c r="DD56" s="228">
        <v>44.48</v>
      </c>
      <c r="DE56" s="228">
        <v>44.58</v>
      </c>
      <c r="DF56" s="228">
        <v>-0.44</v>
      </c>
      <c r="DG56" s="228">
        <v>-0.1</v>
      </c>
      <c r="DH56" s="228">
        <v>43.71</v>
      </c>
      <c r="DI56" s="228">
        <v>45.81</v>
      </c>
      <c r="DJ56" s="228">
        <v>-2.1</v>
      </c>
      <c r="DK56" s="228">
        <v>-2.1</v>
      </c>
      <c r="DL56" s="228">
        <v>44.51</v>
      </c>
      <c r="DM56" s="228">
        <v>45.32</v>
      </c>
      <c r="DN56" s="228">
        <v>-0.81</v>
      </c>
      <c r="DO56" s="228">
        <v>-0.81</v>
      </c>
      <c r="DP56" s="228">
        <v>0.59</v>
      </c>
      <c r="DQ56" s="228">
        <v>0.57999999999999996</v>
      </c>
      <c r="DR56" s="228">
        <v>0.01</v>
      </c>
      <c r="DS56" s="229">
        <v>1.72E-2</v>
      </c>
      <c r="DT56" s="231">
        <v>13000</v>
      </c>
      <c r="DU56" s="231">
        <v>11000</v>
      </c>
      <c r="DV56" s="228">
        <v>0.7</v>
      </c>
      <c r="DW56" s="228">
        <v>0.8</v>
      </c>
      <c r="DX56" s="228">
        <v>-0.1</v>
      </c>
      <c r="DY56" s="229">
        <v>-0.125</v>
      </c>
      <c r="DZ56" s="229">
        <v>7.7899999999999997E-2</v>
      </c>
      <c r="EA56" s="230">
        <v>216550</v>
      </c>
      <c r="EB56" s="229">
        <v>6.1999999999999998E-3</v>
      </c>
      <c r="EC56" s="229">
        <v>7.7899999999999997E-2</v>
      </c>
      <c r="ED56" s="228">
        <v>67.349999999999994</v>
      </c>
      <c r="EE56" s="229">
        <v>5.7000000000000002E-3</v>
      </c>
      <c r="EF56" s="230">
        <v>356438</v>
      </c>
      <c r="EG56" s="230">
        <v>217266</v>
      </c>
      <c r="EH56" s="229">
        <v>0.64059999999999995</v>
      </c>
      <c r="EI56" s="229">
        <v>0.36620000000000003</v>
      </c>
      <c r="EJ56" s="231">
        <v>632439.41</v>
      </c>
      <c r="EK56" s="231">
        <v>394623.57</v>
      </c>
      <c r="EL56" s="231">
        <v>130169.25</v>
      </c>
      <c r="EM56" s="231">
        <v>19106</v>
      </c>
      <c r="EN56" s="231">
        <v>1157232.23</v>
      </c>
      <c r="EO56" s="231">
        <v>836070.04</v>
      </c>
      <c r="EP56" s="231">
        <v>321162.19</v>
      </c>
      <c r="EQ56" s="229">
        <v>0.3841</v>
      </c>
      <c r="ER56" s="231">
        <v>402059</v>
      </c>
      <c r="ES56" s="231">
        <v>206641</v>
      </c>
      <c r="ET56" s="231">
        <v>358252</v>
      </c>
      <c r="EU56" s="231">
        <v>6452220</v>
      </c>
      <c r="EV56" s="231">
        <v>966952</v>
      </c>
      <c r="EW56" s="231">
        <v>939765</v>
      </c>
      <c r="EX56" s="231">
        <v>27187</v>
      </c>
      <c r="EY56" s="229">
        <v>2.8899999999999999E-2</v>
      </c>
      <c r="EZ56" s="229">
        <v>1.2159</v>
      </c>
      <c r="FA56" s="227" t="s">
        <v>555</v>
      </c>
      <c r="FB56" s="161">
        <f t="shared" si="0"/>
        <v>235700</v>
      </c>
    </row>
    <row r="57" spans="1:158" ht="17.25" hidden="1" thickBot="1" x14ac:dyDescent="0.3">
      <c r="A57" s="226">
        <v>46029</v>
      </c>
      <c r="B57" s="227" t="s">
        <v>206</v>
      </c>
      <c r="C57" s="227" t="s">
        <v>207</v>
      </c>
      <c r="D57" s="228">
        <v>825</v>
      </c>
      <c r="E57" s="228">
        <v>706.45</v>
      </c>
      <c r="F57" s="228">
        <v>708.2</v>
      </c>
      <c r="G57" s="228">
        <v>-1.75</v>
      </c>
      <c r="H57" s="229">
        <v>-2.5000000000000001E-3</v>
      </c>
      <c r="I57" s="228">
        <v>703.25</v>
      </c>
      <c r="J57" s="228">
        <v>706.3</v>
      </c>
      <c r="K57" s="228">
        <v>-3.05</v>
      </c>
      <c r="L57" s="229">
        <v>-4.3E-3</v>
      </c>
      <c r="M57" s="228">
        <v>706.45</v>
      </c>
      <c r="N57" s="228">
        <v>708.2</v>
      </c>
      <c r="O57" s="228">
        <v>-1.75</v>
      </c>
      <c r="P57" s="229">
        <v>-2.5000000000000001E-3</v>
      </c>
      <c r="Q57" s="228">
        <v>710.8</v>
      </c>
      <c r="R57" s="228">
        <v>712.8</v>
      </c>
      <c r="S57" s="228">
        <v>-2</v>
      </c>
      <c r="T57" s="229">
        <v>-2.8E-3</v>
      </c>
      <c r="U57" s="228">
        <v>714.75</v>
      </c>
      <c r="V57" s="228">
        <v>716.75</v>
      </c>
      <c r="W57" s="228">
        <v>-2</v>
      </c>
      <c r="X57" s="229">
        <v>-2.8E-3</v>
      </c>
      <c r="Y57" s="228">
        <v>3.2</v>
      </c>
      <c r="Z57" s="228">
        <v>1.9</v>
      </c>
      <c r="AA57" s="228">
        <v>1.3</v>
      </c>
      <c r="AB57" s="229">
        <v>4.5999999999999999E-3</v>
      </c>
      <c r="AC57" s="228">
        <v>3.2</v>
      </c>
      <c r="AD57" s="228">
        <v>1.9</v>
      </c>
      <c r="AE57" s="228">
        <v>1.3</v>
      </c>
      <c r="AF57" s="229">
        <v>4.5999999999999999E-3</v>
      </c>
      <c r="AG57" s="228">
        <v>7.55</v>
      </c>
      <c r="AH57" s="228">
        <v>6.5</v>
      </c>
      <c r="AI57" s="228">
        <v>1.05</v>
      </c>
      <c r="AJ57" s="229">
        <v>1.0699999999999999E-2</v>
      </c>
      <c r="AK57" s="228">
        <v>11.5</v>
      </c>
      <c r="AL57" s="228">
        <v>10.45</v>
      </c>
      <c r="AM57" s="228">
        <v>1.05</v>
      </c>
      <c r="AN57" s="229">
        <v>1.6400000000000001E-2</v>
      </c>
      <c r="AO57" s="228">
        <v>701.94</v>
      </c>
      <c r="AP57" s="228">
        <v>705.6</v>
      </c>
      <c r="AQ57" s="228">
        <v>0</v>
      </c>
      <c r="AR57" s="230">
        <v>5820375</v>
      </c>
      <c r="AS57" s="230">
        <v>5978775</v>
      </c>
      <c r="AT57" s="230">
        <v>-158400</v>
      </c>
      <c r="AU57" s="229">
        <v>-2.6499999999999999E-2</v>
      </c>
      <c r="AV57" s="230">
        <v>5223900</v>
      </c>
      <c r="AW57" s="230">
        <v>5658675</v>
      </c>
      <c r="AX57" s="230">
        <v>-434775</v>
      </c>
      <c r="AY57" s="229">
        <v>-7.6799999999999993E-2</v>
      </c>
      <c r="AZ57" s="230">
        <v>492525</v>
      </c>
      <c r="BA57" s="230">
        <v>291225</v>
      </c>
      <c r="BB57" s="230">
        <v>201300</v>
      </c>
      <c r="BC57" s="229">
        <v>0.69120000000000004</v>
      </c>
      <c r="BD57" s="230">
        <v>103950</v>
      </c>
      <c r="BE57" s="230">
        <v>28875</v>
      </c>
      <c r="BF57" s="230">
        <v>75075</v>
      </c>
      <c r="BG57" s="229">
        <v>2.6</v>
      </c>
      <c r="BH57" s="230">
        <v>16495875</v>
      </c>
      <c r="BI57" s="230">
        <v>19182075</v>
      </c>
      <c r="BJ57" s="230">
        <v>-2686200</v>
      </c>
      <c r="BK57" s="229">
        <v>-0.14000000000000001</v>
      </c>
      <c r="BL57" s="230">
        <v>6331875</v>
      </c>
      <c r="BM57" s="230">
        <v>5479650</v>
      </c>
      <c r="BN57" s="230">
        <v>852225</v>
      </c>
      <c r="BO57" s="229">
        <v>0.1555</v>
      </c>
      <c r="BP57" s="230">
        <v>28648125</v>
      </c>
      <c r="BQ57" s="230">
        <v>30640500</v>
      </c>
      <c r="BR57" s="230">
        <v>-1992375</v>
      </c>
      <c r="BS57" s="229">
        <v>-6.5000000000000002E-2</v>
      </c>
      <c r="BT57" s="230">
        <v>2750549</v>
      </c>
      <c r="BU57" s="230">
        <v>2506438</v>
      </c>
      <c r="BV57" s="230">
        <v>244111</v>
      </c>
      <c r="BW57" s="229">
        <v>9.74E-2</v>
      </c>
      <c r="BX57" s="230">
        <v>50216925</v>
      </c>
      <c r="BY57" s="230">
        <v>50043675</v>
      </c>
      <c r="BZ57" s="230">
        <v>173250</v>
      </c>
      <c r="CA57" s="229">
        <v>3.5000000000000001E-3</v>
      </c>
      <c r="CB57" s="230">
        <v>48862275</v>
      </c>
      <c r="CC57" s="230">
        <v>48904350</v>
      </c>
      <c r="CD57" s="230">
        <v>-42075</v>
      </c>
      <c r="CE57" s="229">
        <v>-8.9999999999999998E-4</v>
      </c>
      <c r="CF57" s="230">
        <v>1255650</v>
      </c>
      <c r="CG57" s="230">
        <v>1079925</v>
      </c>
      <c r="CH57" s="230">
        <v>175725</v>
      </c>
      <c r="CI57" s="229">
        <v>0.16270000000000001</v>
      </c>
      <c r="CJ57" s="230">
        <v>99000</v>
      </c>
      <c r="CK57" s="230">
        <v>59400</v>
      </c>
      <c r="CL57" s="230">
        <v>39600</v>
      </c>
      <c r="CM57" s="229">
        <v>0.66669999999999996</v>
      </c>
      <c r="CN57" s="230">
        <v>14850825</v>
      </c>
      <c r="CO57" s="230">
        <v>13961475</v>
      </c>
      <c r="CP57" s="230">
        <v>889350</v>
      </c>
      <c r="CQ57" s="229">
        <v>6.3700000000000007E-2</v>
      </c>
      <c r="CR57" s="230">
        <v>11162250</v>
      </c>
      <c r="CS57" s="230">
        <v>11150700</v>
      </c>
      <c r="CT57" s="230">
        <v>11550</v>
      </c>
      <c r="CU57" s="229">
        <v>1E-3</v>
      </c>
      <c r="CV57" s="230">
        <v>76230000</v>
      </c>
      <c r="CW57" s="230">
        <v>75155850</v>
      </c>
      <c r="CX57" s="230">
        <v>1074150</v>
      </c>
      <c r="CY57" s="229">
        <v>1.43E-2</v>
      </c>
      <c r="CZ57" s="228">
        <v>26.6</v>
      </c>
      <c r="DA57" s="228">
        <v>26.29</v>
      </c>
      <c r="DB57" s="228">
        <v>0.31</v>
      </c>
      <c r="DC57" s="228">
        <v>0.31</v>
      </c>
      <c r="DD57" s="228">
        <v>34.200000000000003</v>
      </c>
      <c r="DE57" s="228">
        <v>34.28</v>
      </c>
      <c r="DF57" s="228">
        <v>-7.6</v>
      </c>
      <c r="DG57" s="228">
        <v>-0.08</v>
      </c>
      <c r="DH57" s="228">
        <v>26.23</v>
      </c>
      <c r="DI57" s="228">
        <v>26.14</v>
      </c>
      <c r="DJ57" s="228">
        <v>0.09</v>
      </c>
      <c r="DK57" s="228">
        <v>0.09</v>
      </c>
      <c r="DL57" s="228">
        <v>27.54</v>
      </c>
      <c r="DM57" s="228">
        <v>26.82</v>
      </c>
      <c r="DN57" s="228">
        <v>0.72</v>
      </c>
      <c r="DO57" s="228">
        <v>0.72</v>
      </c>
      <c r="DP57" s="228">
        <v>0.75</v>
      </c>
      <c r="DQ57" s="228">
        <v>0.8</v>
      </c>
      <c r="DR57" s="228">
        <v>-0.05</v>
      </c>
      <c r="DS57" s="229">
        <v>-6.25E-2</v>
      </c>
      <c r="DT57" s="228">
        <v>700</v>
      </c>
      <c r="DU57" s="228">
        <v>700</v>
      </c>
      <c r="DV57" s="228">
        <v>0.38</v>
      </c>
      <c r="DW57" s="228">
        <v>0.28999999999999998</v>
      </c>
      <c r="DX57" s="228">
        <v>0.09</v>
      </c>
      <c r="DY57" s="229">
        <v>0.31030000000000002</v>
      </c>
      <c r="DZ57" s="229">
        <v>2.7E-2</v>
      </c>
      <c r="EA57" s="230">
        <v>1139325</v>
      </c>
      <c r="EB57" s="229">
        <v>6.1999999999999998E-3</v>
      </c>
      <c r="EC57" s="229">
        <v>2.7E-2</v>
      </c>
      <c r="ED57" s="228">
        <v>3.66</v>
      </c>
      <c r="EE57" s="229">
        <v>5.1999999999999998E-3</v>
      </c>
      <c r="EF57" s="230">
        <v>1307825</v>
      </c>
      <c r="EG57" s="230">
        <v>1062789</v>
      </c>
      <c r="EH57" s="229">
        <v>0.2306</v>
      </c>
      <c r="EI57" s="229">
        <v>0.47549999999999998</v>
      </c>
      <c r="EJ57" s="231">
        <v>120504.86</v>
      </c>
      <c r="EK57" s="231">
        <v>43877.68</v>
      </c>
      <c r="EL57" s="231">
        <v>40882.080000000002</v>
      </c>
      <c r="EM57" s="231">
        <v>7644</v>
      </c>
      <c r="EN57" s="231">
        <v>205264.62</v>
      </c>
      <c r="EO57" s="231">
        <v>222836.06</v>
      </c>
      <c r="EP57" s="231">
        <v>-17571.439999999999</v>
      </c>
      <c r="EQ57" s="229">
        <v>-7.8899999999999998E-2</v>
      </c>
      <c r="ER57" s="231">
        <v>107367</v>
      </c>
      <c r="ES57" s="231">
        <v>77818</v>
      </c>
      <c r="ET57" s="231">
        <v>354820</v>
      </c>
      <c r="EU57" s="231">
        <v>96058266</v>
      </c>
      <c r="EV57" s="231">
        <v>540005</v>
      </c>
      <c r="EW57" s="231">
        <v>533045</v>
      </c>
      <c r="EX57" s="231">
        <v>6960</v>
      </c>
      <c r="EY57" s="229">
        <v>1.3100000000000001E-2</v>
      </c>
      <c r="EZ57" s="229">
        <v>0.79359999999999997</v>
      </c>
      <c r="FA57" s="227" t="s">
        <v>567</v>
      </c>
      <c r="FB57" s="161">
        <f t="shared" si="0"/>
        <v>1354650</v>
      </c>
    </row>
    <row r="58" spans="1:158" ht="17.25" hidden="1" thickBot="1" x14ac:dyDescent="0.3">
      <c r="A58" s="226">
        <v>46029</v>
      </c>
      <c r="B58" s="227" t="s">
        <v>615</v>
      </c>
      <c r="C58" s="227" t="s">
        <v>583</v>
      </c>
      <c r="D58" s="228">
        <v>150</v>
      </c>
      <c r="E58" s="231">
        <v>3857.7</v>
      </c>
      <c r="F58" s="231">
        <v>3681.6</v>
      </c>
      <c r="G58" s="228">
        <v>176.1</v>
      </c>
      <c r="H58" s="229">
        <v>4.7800000000000002E-2</v>
      </c>
      <c r="I58" s="231">
        <v>3841.6</v>
      </c>
      <c r="J58" s="231">
        <v>3663.7</v>
      </c>
      <c r="K58" s="228">
        <v>177.9</v>
      </c>
      <c r="L58" s="229">
        <v>4.8599999999999997E-2</v>
      </c>
      <c r="M58" s="231">
        <v>3857.7</v>
      </c>
      <c r="N58" s="231">
        <v>3681.6</v>
      </c>
      <c r="O58" s="228">
        <v>176.1</v>
      </c>
      <c r="P58" s="229">
        <v>4.7800000000000002E-2</v>
      </c>
      <c r="Q58" s="231">
        <v>3864.2</v>
      </c>
      <c r="R58" s="231">
        <v>3694.2</v>
      </c>
      <c r="S58" s="228">
        <v>170</v>
      </c>
      <c r="T58" s="229">
        <v>4.5999999999999999E-2</v>
      </c>
      <c r="U58" s="231">
        <v>3871.8</v>
      </c>
      <c r="V58" s="231">
        <v>3705.7</v>
      </c>
      <c r="W58" s="228">
        <v>166.1</v>
      </c>
      <c r="X58" s="229">
        <v>4.48E-2</v>
      </c>
      <c r="Y58" s="228">
        <v>16.100000000000001</v>
      </c>
      <c r="Z58" s="228">
        <v>17.899999999999999</v>
      </c>
      <c r="AA58" s="228">
        <v>-1.8</v>
      </c>
      <c r="AB58" s="229">
        <v>4.1999999999999997E-3</v>
      </c>
      <c r="AC58" s="228">
        <v>16.100000000000001</v>
      </c>
      <c r="AD58" s="228">
        <v>17.899999999999999</v>
      </c>
      <c r="AE58" s="228">
        <v>-1.8</v>
      </c>
      <c r="AF58" s="229">
        <v>4.1999999999999997E-3</v>
      </c>
      <c r="AG58" s="228">
        <v>22.6</v>
      </c>
      <c r="AH58" s="228">
        <v>30.5</v>
      </c>
      <c r="AI58" s="228">
        <v>-7.9</v>
      </c>
      <c r="AJ58" s="229">
        <v>5.8999999999999999E-3</v>
      </c>
      <c r="AK58" s="228">
        <v>30.2</v>
      </c>
      <c r="AL58" s="228">
        <v>42</v>
      </c>
      <c r="AM58" s="228">
        <v>-11.8</v>
      </c>
      <c r="AN58" s="229">
        <v>7.9000000000000008E-3</v>
      </c>
      <c r="AO58" s="231">
        <v>3808.87</v>
      </c>
      <c r="AP58" s="231">
        <v>3813.44</v>
      </c>
      <c r="AQ58" s="228">
        <v>0</v>
      </c>
      <c r="AR58" s="230">
        <v>2152200</v>
      </c>
      <c r="AS58" s="230">
        <v>913650</v>
      </c>
      <c r="AT58" s="230">
        <v>1238550</v>
      </c>
      <c r="AU58" s="229">
        <v>1.3555999999999999</v>
      </c>
      <c r="AV58" s="230">
        <v>1989750</v>
      </c>
      <c r="AW58" s="230">
        <v>861450</v>
      </c>
      <c r="AX58" s="230">
        <v>1128300</v>
      </c>
      <c r="AY58" s="229">
        <v>1.3098000000000001</v>
      </c>
      <c r="AZ58" s="230">
        <v>130950</v>
      </c>
      <c r="BA58" s="230">
        <v>42900</v>
      </c>
      <c r="BB58" s="230">
        <v>88050</v>
      </c>
      <c r="BC58" s="229">
        <v>2.0524</v>
      </c>
      <c r="BD58" s="230">
        <v>31500</v>
      </c>
      <c r="BE58" s="230">
        <v>9300</v>
      </c>
      <c r="BF58" s="230">
        <v>22200</v>
      </c>
      <c r="BG58" s="229">
        <v>2.3871000000000002</v>
      </c>
      <c r="BH58" s="230">
        <v>12336000</v>
      </c>
      <c r="BI58" s="230">
        <v>2963250</v>
      </c>
      <c r="BJ58" s="230">
        <v>9372750</v>
      </c>
      <c r="BK58" s="229">
        <v>3.1629999999999998</v>
      </c>
      <c r="BL58" s="230">
        <v>3475650</v>
      </c>
      <c r="BM58" s="230">
        <v>1541700</v>
      </c>
      <c r="BN58" s="230">
        <v>1933950</v>
      </c>
      <c r="BO58" s="229">
        <v>1.2544</v>
      </c>
      <c r="BP58" s="230">
        <v>17963850</v>
      </c>
      <c r="BQ58" s="230">
        <v>5418600</v>
      </c>
      <c r="BR58" s="230">
        <v>12545250</v>
      </c>
      <c r="BS58" s="229">
        <v>2.3151999999999999</v>
      </c>
      <c r="BT58" s="230">
        <v>1413734</v>
      </c>
      <c r="BU58" s="230">
        <v>626733</v>
      </c>
      <c r="BV58" s="230">
        <v>787001</v>
      </c>
      <c r="BW58" s="229">
        <v>1.2557</v>
      </c>
      <c r="BX58" s="230">
        <v>5510550</v>
      </c>
      <c r="BY58" s="230">
        <v>5730600</v>
      </c>
      <c r="BZ58" s="230">
        <v>-220050</v>
      </c>
      <c r="CA58" s="229">
        <v>-3.8399999999999997E-2</v>
      </c>
      <c r="CB58" s="230">
        <v>5342250</v>
      </c>
      <c r="CC58" s="230">
        <v>5536500</v>
      </c>
      <c r="CD58" s="230">
        <v>-194250</v>
      </c>
      <c r="CE58" s="229">
        <v>-3.5099999999999999E-2</v>
      </c>
      <c r="CF58" s="230">
        <v>148650</v>
      </c>
      <c r="CG58" s="230">
        <v>164100</v>
      </c>
      <c r="CH58" s="230">
        <v>-15450</v>
      </c>
      <c r="CI58" s="229">
        <v>-9.4100000000000003E-2</v>
      </c>
      <c r="CJ58" s="230">
        <v>19650</v>
      </c>
      <c r="CK58" s="230">
        <v>30000</v>
      </c>
      <c r="CL58" s="230">
        <v>-10350</v>
      </c>
      <c r="CM58" s="229">
        <v>-0.34499999999999997</v>
      </c>
      <c r="CN58" s="230">
        <v>2017950</v>
      </c>
      <c r="CO58" s="230">
        <v>1822050</v>
      </c>
      <c r="CP58" s="230">
        <v>195900</v>
      </c>
      <c r="CQ58" s="229">
        <v>0.1075</v>
      </c>
      <c r="CR58" s="230">
        <v>1619250</v>
      </c>
      <c r="CS58" s="230">
        <v>1469400</v>
      </c>
      <c r="CT58" s="230">
        <v>149850</v>
      </c>
      <c r="CU58" s="229">
        <v>0.10199999999999999</v>
      </c>
      <c r="CV58" s="230">
        <v>9147750</v>
      </c>
      <c r="CW58" s="230">
        <v>9022050</v>
      </c>
      <c r="CX58" s="230">
        <v>125700</v>
      </c>
      <c r="CY58" s="229">
        <v>1.3899999999999999E-2</v>
      </c>
      <c r="CZ58" s="228">
        <v>32.58</v>
      </c>
      <c r="DA58" s="228">
        <v>31.84</v>
      </c>
      <c r="DB58" s="228">
        <v>0.74</v>
      </c>
      <c r="DC58" s="228">
        <v>0.74</v>
      </c>
      <c r="DD58" s="228">
        <v>30.8</v>
      </c>
      <c r="DE58" s="228">
        <v>30.2</v>
      </c>
      <c r="DF58" s="228">
        <v>1.78</v>
      </c>
      <c r="DG58" s="228">
        <v>0.6</v>
      </c>
      <c r="DH58" s="228">
        <v>32.270000000000003</v>
      </c>
      <c r="DI58" s="228">
        <v>31.87</v>
      </c>
      <c r="DJ58" s="228">
        <v>0.4</v>
      </c>
      <c r="DK58" s="228">
        <v>0.4</v>
      </c>
      <c r="DL58" s="228">
        <v>33.67</v>
      </c>
      <c r="DM58" s="228">
        <v>31.78</v>
      </c>
      <c r="DN58" s="228">
        <v>1.89</v>
      </c>
      <c r="DO58" s="228">
        <v>1.89</v>
      </c>
      <c r="DP58" s="228">
        <v>0.8</v>
      </c>
      <c r="DQ58" s="228">
        <v>0.81</v>
      </c>
      <c r="DR58" s="228">
        <v>-0.01</v>
      </c>
      <c r="DS58" s="229">
        <v>-1.23E-2</v>
      </c>
      <c r="DT58" s="231">
        <v>3800</v>
      </c>
      <c r="DU58" s="231">
        <v>3800</v>
      </c>
      <c r="DV58" s="228">
        <v>0.28000000000000003</v>
      </c>
      <c r="DW58" s="228">
        <v>0.52</v>
      </c>
      <c r="DX58" s="228">
        <v>-0.24</v>
      </c>
      <c r="DY58" s="229">
        <v>-0.46150000000000002</v>
      </c>
      <c r="DZ58" s="229">
        <v>3.0499999999999999E-2</v>
      </c>
      <c r="EA58" s="230">
        <v>194100</v>
      </c>
      <c r="EB58" s="229">
        <v>1.6999999999999999E-3</v>
      </c>
      <c r="EC58" s="229">
        <v>3.0499999999999999E-2</v>
      </c>
      <c r="ED58" s="228">
        <v>4.57</v>
      </c>
      <c r="EE58" s="229">
        <v>1.1999999999999999E-3</v>
      </c>
      <c r="EF58" s="230">
        <v>423955</v>
      </c>
      <c r="EG58" s="230">
        <v>349784</v>
      </c>
      <c r="EH58" s="229">
        <v>0.21199999999999999</v>
      </c>
      <c r="EI58" s="229">
        <v>0.2999</v>
      </c>
      <c r="EJ58" s="231">
        <v>496282.52</v>
      </c>
      <c r="EK58" s="231">
        <v>128030.16</v>
      </c>
      <c r="EL58" s="231">
        <v>81986.350000000006</v>
      </c>
      <c r="EM58" s="231">
        <v>5728</v>
      </c>
      <c r="EN58" s="231">
        <v>706299.03</v>
      </c>
      <c r="EO58" s="231">
        <v>204233.60000000001</v>
      </c>
      <c r="EP58" s="231">
        <v>502065.43</v>
      </c>
      <c r="EQ58" s="229">
        <v>2.4582999999999999</v>
      </c>
      <c r="ER58" s="231">
        <v>80148</v>
      </c>
      <c r="ES58" s="231">
        <v>58954</v>
      </c>
      <c r="ET58" s="231">
        <v>212593</v>
      </c>
      <c r="EU58" s="231">
        <v>18750186</v>
      </c>
      <c r="EV58" s="231">
        <v>351695</v>
      </c>
      <c r="EW58" s="231">
        <v>335354</v>
      </c>
      <c r="EX58" s="231">
        <v>16341</v>
      </c>
      <c r="EY58" s="229">
        <v>4.87E-2</v>
      </c>
      <c r="EZ58" s="229">
        <v>0.4879</v>
      </c>
      <c r="FA58" s="227" t="s">
        <v>556</v>
      </c>
      <c r="FB58" s="161">
        <f t="shared" si="0"/>
        <v>168300</v>
      </c>
    </row>
    <row r="59" spans="1:158" ht="17.25" hidden="1" thickBot="1" x14ac:dyDescent="0.3">
      <c r="A59" s="226">
        <v>46029</v>
      </c>
      <c r="B59" s="227" t="s">
        <v>170</v>
      </c>
      <c r="C59" s="227" t="s">
        <v>208</v>
      </c>
      <c r="D59" s="228">
        <v>625</v>
      </c>
      <c r="E59" s="231">
        <v>1246.2</v>
      </c>
      <c r="F59" s="231">
        <v>1259</v>
      </c>
      <c r="G59" s="228">
        <v>-12.8</v>
      </c>
      <c r="H59" s="229">
        <v>-1.0200000000000001E-2</v>
      </c>
      <c r="I59" s="231">
        <v>1242.8</v>
      </c>
      <c r="J59" s="231">
        <v>1256.2</v>
      </c>
      <c r="K59" s="228">
        <v>-13.4</v>
      </c>
      <c r="L59" s="229">
        <v>-1.0699999999999999E-2</v>
      </c>
      <c r="M59" s="231">
        <v>1246.2</v>
      </c>
      <c r="N59" s="231">
        <v>1259</v>
      </c>
      <c r="O59" s="228">
        <v>-12.8</v>
      </c>
      <c r="P59" s="229">
        <v>-1.0200000000000001E-2</v>
      </c>
      <c r="Q59" s="231">
        <v>1253</v>
      </c>
      <c r="R59" s="231">
        <v>1263.7</v>
      </c>
      <c r="S59" s="228">
        <v>-10.7</v>
      </c>
      <c r="T59" s="229">
        <v>-8.5000000000000006E-3</v>
      </c>
      <c r="U59" s="231">
        <v>1258.7</v>
      </c>
      <c r="V59" s="231">
        <v>1266.3</v>
      </c>
      <c r="W59" s="228">
        <v>-7.6</v>
      </c>
      <c r="X59" s="229">
        <v>-6.0000000000000001E-3</v>
      </c>
      <c r="Y59" s="228">
        <v>3.4</v>
      </c>
      <c r="Z59" s="228">
        <v>2.8</v>
      </c>
      <c r="AA59" s="228">
        <v>0.6</v>
      </c>
      <c r="AB59" s="229">
        <v>2.7000000000000001E-3</v>
      </c>
      <c r="AC59" s="228">
        <v>3.4</v>
      </c>
      <c r="AD59" s="228">
        <v>2.8</v>
      </c>
      <c r="AE59" s="228">
        <v>0.6</v>
      </c>
      <c r="AF59" s="229">
        <v>2.7000000000000001E-3</v>
      </c>
      <c r="AG59" s="228">
        <v>10.199999999999999</v>
      </c>
      <c r="AH59" s="228">
        <v>7.5</v>
      </c>
      <c r="AI59" s="228">
        <v>2.7</v>
      </c>
      <c r="AJ59" s="229">
        <v>8.2000000000000007E-3</v>
      </c>
      <c r="AK59" s="228">
        <v>15.9</v>
      </c>
      <c r="AL59" s="228">
        <v>10.1</v>
      </c>
      <c r="AM59" s="228">
        <v>5.8</v>
      </c>
      <c r="AN59" s="229">
        <v>1.2800000000000001E-2</v>
      </c>
      <c r="AO59" s="231">
        <v>1252.81</v>
      </c>
      <c r="AP59" s="231">
        <v>1259.96</v>
      </c>
      <c r="AQ59" s="228">
        <v>0</v>
      </c>
      <c r="AR59" s="230">
        <v>2833750</v>
      </c>
      <c r="AS59" s="230">
        <v>1346250</v>
      </c>
      <c r="AT59" s="230">
        <v>1487500</v>
      </c>
      <c r="AU59" s="229">
        <v>1.1049</v>
      </c>
      <c r="AV59" s="230">
        <v>2727500</v>
      </c>
      <c r="AW59" s="230">
        <v>1302500</v>
      </c>
      <c r="AX59" s="230">
        <v>1425000</v>
      </c>
      <c r="AY59" s="229">
        <v>1.0940000000000001</v>
      </c>
      <c r="AZ59" s="230">
        <v>95625</v>
      </c>
      <c r="BA59" s="230">
        <v>40000</v>
      </c>
      <c r="BB59" s="230">
        <v>55625</v>
      </c>
      <c r="BC59" s="229">
        <v>1.3906000000000001</v>
      </c>
      <c r="BD59" s="230">
        <v>10625</v>
      </c>
      <c r="BE59" s="230">
        <v>3750</v>
      </c>
      <c r="BF59" s="230">
        <v>6875</v>
      </c>
      <c r="BG59" s="229">
        <v>1.8332999999999999</v>
      </c>
      <c r="BH59" s="230">
        <v>6950000</v>
      </c>
      <c r="BI59" s="230">
        <v>3386875</v>
      </c>
      <c r="BJ59" s="230">
        <v>3563125</v>
      </c>
      <c r="BK59" s="229">
        <v>1.052</v>
      </c>
      <c r="BL59" s="230">
        <v>2746250</v>
      </c>
      <c r="BM59" s="230">
        <v>1181875</v>
      </c>
      <c r="BN59" s="230">
        <v>1564375</v>
      </c>
      <c r="BO59" s="229">
        <v>1.3236000000000001</v>
      </c>
      <c r="BP59" s="230">
        <v>12530000</v>
      </c>
      <c r="BQ59" s="230">
        <v>5915000</v>
      </c>
      <c r="BR59" s="230">
        <v>6615000</v>
      </c>
      <c r="BS59" s="229">
        <v>1.1183000000000001</v>
      </c>
      <c r="BT59" s="230">
        <v>1232629</v>
      </c>
      <c r="BU59" s="230">
        <v>554219</v>
      </c>
      <c r="BV59" s="230">
        <v>678410</v>
      </c>
      <c r="BW59" s="229">
        <v>1.2241</v>
      </c>
      <c r="BX59" s="230">
        <v>13533750</v>
      </c>
      <c r="BY59" s="230">
        <v>12936875</v>
      </c>
      <c r="BZ59" s="230">
        <v>596875</v>
      </c>
      <c r="CA59" s="229">
        <v>4.6100000000000002E-2</v>
      </c>
      <c r="CB59" s="230">
        <v>13331875</v>
      </c>
      <c r="CC59" s="230">
        <v>12769375</v>
      </c>
      <c r="CD59" s="230">
        <v>562500</v>
      </c>
      <c r="CE59" s="229">
        <v>4.41E-2</v>
      </c>
      <c r="CF59" s="230">
        <v>178125</v>
      </c>
      <c r="CG59" s="230">
        <v>151875</v>
      </c>
      <c r="CH59" s="230">
        <v>26250</v>
      </c>
      <c r="CI59" s="229">
        <v>0.17280000000000001</v>
      </c>
      <c r="CJ59" s="230">
        <v>23750</v>
      </c>
      <c r="CK59" s="230">
        <v>15625</v>
      </c>
      <c r="CL59" s="230">
        <v>8125</v>
      </c>
      <c r="CM59" s="229">
        <v>0.52</v>
      </c>
      <c r="CN59" s="230">
        <v>5410625</v>
      </c>
      <c r="CO59" s="230">
        <v>5032500</v>
      </c>
      <c r="CP59" s="230">
        <v>378125</v>
      </c>
      <c r="CQ59" s="229">
        <v>7.51E-2</v>
      </c>
      <c r="CR59" s="230">
        <v>3545000</v>
      </c>
      <c r="CS59" s="230">
        <v>3473125</v>
      </c>
      <c r="CT59" s="230">
        <v>71875</v>
      </c>
      <c r="CU59" s="229">
        <v>2.07E-2</v>
      </c>
      <c r="CV59" s="230">
        <v>22489375</v>
      </c>
      <c r="CW59" s="230">
        <v>21442500</v>
      </c>
      <c r="CX59" s="230">
        <v>1046875</v>
      </c>
      <c r="CY59" s="229">
        <v>4.8800000000000003E-2</v>
      </c>
      <c r="CZ59" s="228">
        <v>23.05</v>
      </c>
      <c r="DA59" s="228">
        <v>21.35</v>
      </c>
      <c r="DB59" s="228">
        <v>1.7</v>
      </c>
      <c r="DC59" s="228">
        <v>1.7</v>
      </c>
      <c r="DD59" s="228">
        <v>23.44</v>
      </c>
      <c r="DE59" s="228">
        <v>23.46</v>
      </c>
      <c r="DF59" s="228">
        <v>-0.39</v>
      </c>
      <c r="DG59" s="228">
        <v>-0.02</v>
      </c>
      <c r="DH59" s="228">
        <v>22.65</v>
      </c>
      <c r="DI59" s="228">
        <v>20.91</v>
      </c>
      <c r="DJ59" s="228">
        <v>1.74</v>
      </c>
      <c r="DK59" s="228">
        <v>1.74</v>
      </c>
      <c r="DL59" s="228">
        <v>24.05</v>
      </c>
      <c r="DM59" s="228">
        <v>22.59</v>
      </c>
      <c r="DN59" s="228">
        <v>1.46</v>
      </c>
      <c r="DO59" s="228">
        <v>1.46</v>
      </c>
      <c r="DP59" s="228">
        <v>0.66</v>
      </c>
      <c r="DQ59" s="228">
        <v>0.69</v>
      </c>
      <c r="DR59" s="228">
        <v>-0.03</v>
      </c>
      <c r="DS59" s="229">
        <v>-4.3499999999999997E-2</v>
      </c>
      <c r="DT59" s="231">
        <v>1300</v>
      </c>
      <c r="DU59" s="231">
        <v>1250</v>
      </c>
      <c r="DV59" s="228">
        <v>0.4</v>
      </c>
      <c r="DW59" s="228">
        <v>0.35</v>
      </c>
      <c r="DX59" s="228">
        <v>0.05</v>
      </c>
      <c r="DY59" s="229">
        <v>0.1429</v>
      </c>
      <c r="DZ59" s="229">
        <v>1.49E-2</v>
      </c>
      <c r="EA59" s="230">
        <v>167500</v>
      </c>
      <c r="EB59" s="229">
        <v>5.4999999999999997E-3</v>
      </c>
      <c r="EC59" s="229">
        <v>1.49E-2</v>
      </c>
      <c r="ED59" s="228">
        <v>7.15</v>
      </c>
      <c r="EE59" s="229">
        <v>5.7000000000000002E-3</v>
      </c>
      <c r="EF59" s="230">
        <v>748350</v>
      </c>
      <c r="EG59" s="230">
        <v>278794</v>
      </c>
      <c r="EH59" s="229">
        <v>1.6841999999999999</v>
      </c>
      <c r="EI59" s="229">
        <v>0.60709999999999997</v>
      </c>
      <c r="EJ59" s="231">
        <v>90443.41</v>
      </c>
      <c r="EK59" s="231">
        <v>34265.97</v>
      </c>
      <c r="EL59" s="231">
        <v>35509.29</v>
      </c>
      <c r="EM59" s="231">
        <v>2450</v>
      </c>
      <c r="EN59" s="231">
        <v>160218.67000000001</v>
      </c>
      <c r="EO59" s="231">
        <v>75687.23</v>
      </c>
      <c r="EP59" s="231">
        <v>84531.44</v>
      </c>
      <c r="EQ59" s="229">
        <v>1.1169</v>
      </c>
      <c r="ER59" s="231">
        <v>70743</v>
      </c>
      <c r="ES59" s="231">
        <v>42822</v>
      </c>
      <c r="ET59" s="231">
        <v>168673</v>
      </c>
      <c r="EU59" s="231">
        <v>91531454</v>
      </c>
      <c r="EV59" s="231">
        <v>282238</v>
      </c>
      <c r="EW59" s="231">
        <v>270758</v>
      </c>
      <c r="EX59" s="231">
        <v>11480</v>
      </c>
      <c r="EY59" s="229">
        <v>4.24E-2</v>
      </c>
      <c r="EZ59" s="229">
        <v>0.2457</v>
      </c>
      <c r="FA59" s="227" t="s">
        <v>567</v>
      </c>
      <c r="FB59" s="161">
        <f t="shared" si="0"/>
        <v>201875</v>
      </c>
    </row>
    <row r="60" spans="1:158" ht="17.25" hidden="1" thickBot="1" x14ac:dyDescent="0.3">
      <c r="A60" s="226">
        <v>46029</v>
      </c>
      <c r="B60" s="227" t="s">
        <v>162</v>
      </c>
      <c r="C60" s="227" t="s">
        <v>209</v>
      </c>
      <c r="D60" s="228">
        <v>100</v>
      </c>
      <c r="E60" s="231">
        <v>7617</v>
      </c>
      <c r="F60" s="231">
        <v>7557</v>
      </c>
      <c r="G60" s="228">
        <v>60</v>
      </c>
      <c r="H60" s="229">
        <v>7.9000000000000008E-3</v>
      </c>
      <c r="I60" s="231">
        <v>7582.5</v>
      </c>
      <c r="J60" s="231">
        <v>7522.5</v>
      </c>
      <c r="K60" s="228">
        <v>60</v>
      </c>
      <c r="L60" s="229">
        <v>8.0000000000000002E-3</v>
      </c>
      <c r="M60" s="231">
        <v>7617</v>
      </c>
      <c r="N60" s="231">
        <v>7557</v>
      </c>
      <c r="O60" s="228">
        <v>60</v>
      </c>
      <c r="P60" s="229">
        <v>7.9000000000000008E-3</v>
      </c>
      <c r="Q60" s="231">
        <v>7658.5</v>
      </c>
      <c r="R60" s="231">
        <v>7601.5</v>
      </c>
      <c r="S60" s="228">
        <v>57</v>
      </c>
      <c r="T60" s="229">
        <v>7.4999999999999997E-3</v>
      </c>
      <c r="U60" s="231">
        <v>7699.5</v>
      </c>
      <c r="V60" s="231">
        <v>7635.5</v>
      </c>
      <c r="W60" s="228">
        <v>64</v>
      </c>
      <c r="X60" s="229">
        <v>8.3999999999999995E-3</v>
      </c>
      <c r="Y60" s="228">
        <v>34.5</v>
      </c>
      <c r="Z60" s="228">
        <v>34.5</v>
      </c>
      <c r="AA60" s="228">
        <v>0</v>
      </c>
      <c r="AB60" s="229">
        <v>4.4999999999999997E-3</v>
      </c>
      <c r="AC60" s="228">
        <v>34.5</v>
      </c>
      <c r="AD60" s="228">
        <v>34.5</v>
      </c>
      <c r="AE60" s="228">
        <v>0</v>
      </c>
      <c r="AF60" s="229">
        <v>4.4999999999999997E-3</v>
      </c>
      <c r="AG60" s="228">
        <v>76</v>
      </c>
      <c r="AH60" s="228">
        <v>79</v>
      </c>
      <c r="AI60" s="228">
        <v>-3</v>
      </c>
      <c r="AJ60" s="229">
        <v>0.01</v>
      </c>
      <c r="AK60" s="228">
        <v>117</v>
      </c>
      <c r="AL60" s="228">
        <v>113</v>
      </c>
      <c r="AM60" s="228">
        <v>4</v>
      </c>
      <c r="AN60" s="229">
        <v>1.54E-2</v>
      </c>
      <c r="AO60" s="231">
        <v>7583.52</v>
      </c>
      <c r="AP60" s="231">
        <v>7630.25</v>
      </c>
      <c r="AQ60" s="228">
        <v>0</v>
      </c>
      <c r="AR60" s="230">
        <v>383500</v>
      </c>
      <c r="AS60" s="230">
        <v>450600</v>
      </c>
      <c r="AT60" s="230">
        <v>-67100</v>
      </c>
      <c r="AU60" s="229">
        <v>-0.1489</v>
      </c>
      <c r="AV60" s="230">
        <v>367300</v>
      </c>
      <c r="AW60" s="230">
        <v>435300</v>
      </c>
      <c r="AX60" s="230">
        <v>-68000</v>
      </c>
      <c r="AY60" s="229">
        <v>-0.15620000000000001</v>
      </c>
      <c r="AZ60" s="230">
        <v>12100</v>
      </c>
      <c r="BA60" s="230">
        <v>13300</v>
      </c>
      <c r="BB60" s="230">
        <v>-1200</v>
      </c>
      <c r="BC60" s="229">
        <v>-9.0200000000000002E-2</v>
      </c>
      <c r="BD60" s="230">
        <v>4100</v>
      </c>
      <c r="BE60" s="230">
        <v>2000</v>
      </c>
      <c r="BF60" s="230">
        <v>2100</v>
      </c>
      <c r="BG60" s="229">
        <v>1.05</v>
      </c>
      <c r="BH60" s="230">
        <v>1686500</v>
      </c>
      <c r="BI60" s="230">
        <v>2646000</v>
      </c>
      <c r="BJ60" s="230">
        <v>-959500</v>
      </c>
      <c r="BK60" s="229">
        <v>-0.36259999999999998</v>
      </c>
      <c r="BL60" s="230">
        <v>1393500</v>
      </c>
      <c r="BM60" s="230">
        <v>1765300</v>
      </c>
      <c r="BN60" s="230">
        <v>-371800</v>
      </c>
      <c r="BO60" s="229">
        <v>-0.21060000000000001</v>
      </c>
      <c r="BP60" s="230">
        <v>3463500</v>
      </c>
      <c r="BQ60" s="230">
        <v>4861900</v>
      </c>
      <c r="BR60" s="230">
        <v>-1398400</v>
      </c>
      <c r="BS60" s="229">
        <v>-0.28760000000000002</v>
      </c>
      <c r="BT60" s="230">
        <v>417705</v>
      </c>
      <c r="BU60" s="230">
        <v>404727</v>
      </c>
      <c r="BV60" s="230">
        <v>12978</v>
      </c>
      <c r="BW60" s="229">
        <v>3.2099999999999997E-2</v>
      </c>
      <c r="BX60" s="230">
        <v>3045800</v>
      </c>
      <c r="BY60" s="230">
        <v>3016900</v>
      </c>
      <c r="BZ60" s="230">
        <v>28900</v>
      </c>
      <c r="CA60" s="229">
        <v>9.5999999999999992E-3</v>
      </c>
      <c r="CB60" s="230">
        <v>2974200</v>
      </c>
      <c r="CC60" s="230">
        <v>2951400</v>
      </c>
      <c r="CD60" s="230">
        <v>22800</v>
      </c>
      <c r="CE60" s="229">
        <v>7.7000000000000002E-3</v>
      </c>
      <c r="CF60" s="230">
        <v>53600</v>
      </c>
      <c r="CG60" s="230">
        <v>49500</v>
      </c>
      <c r="CH60" s="230">
        <v>4100</v>
      </c>
      <c r="CI60" s="229">
        <v>8.2799999999999999E-2</v>
      </c>
      <c r="CJ60" s="230">
        <v>18000</v>
      </c>
      <c r="CK60" s="230">
        <v>16000</v>
      </c>
      <c r="CL60" s="230">
        <v>2000</v>
      </c>
      <c r="CM60" s="229">
        <v>0.125</v>
      </c>
      <c r="CN60" s="230">
        <v>1292600</v>
      </c>
      <c r="CO60" s="230">
        <v>1205200</v>
      </c>
      <c r="CP60" s="230">
        <v>87400</v>
      </c>
      <c r="CQ60" s="229">
        <v>7.2499999999999995E-2</v>
      </c>
      <c r="CR60" s="230">
        <v>1430600</v>
      </c>
      <c r="CS60" s="230">
        <v>1259000</v>
      </c>
      <c r="CT60" s="230">
        <v>171600</v>
      </c>
      <c r="CU60" s="229">
        <v>0.1363</v>
      </c>
      <c r="CV60" s="230">
        <v>5769000</v>
      </c>
      <c r="CW60" s="230">
        <v>5481100</v>
      </c>
      <c r="CX60" s="230">
        <v>287900</v>
      </c>
      <c r="CY60" s="229">
        <v>5.2499999999999998E-2</v>
      </c>
      <c r="CZ60" s="228">
        <v>21.22</v>
      </c>
      <c r="DA60" s="228">
        <v>20.41</v>
      </c>
      <c r="DB60" s="228">
        <v>0.81</v>
      </c>
      <c r="DC60" s="228">
        <v>0.81</v>
      </c>
      <c r="DD60" s="228">
        <v>26.66</v>
      </c>
      <c r="DE60" s="228">
        <v>26.7</v>
      </c>
      <c r="DF60" s="228">
        <v>-5.44</v>
      </c>
      <c r="DG60" s="228">
        <v>-0.04</v>
      </c>
      <c r="DH60" s="228">
        <v>20.36</v>
      </c>
      <c r="DI60" s="228">
        <v>19.829999999999998</v>
      </c>
      <c r="DJ60" s="228">
        <v>0.53</v>
      </c>
      <c r="DK60" s="228">
        <v>0.53</v>
      </c>
      <c r="DL60" s="228">
        <v>22.26</v>
      </c>
      <c r="DM60" s="228">
        <v>21.28</v>
      </c>
      <c r="DN60" s="228">
        <v>0.98</v>
      </c>
      <c r="DO60" s="228">
        <v>0.98</v>
      </c>
      <c r="DP60" s="228">
        <v>1.1100000000000001</v>
      </c>
      <c r="DQ60" s="228">
        <v>1.04</v>
      </c>
      <c r="DR60" s="228">
        <v>7.0000000000000007E-2</v>
      </c>
      <c r="DS60" s="229">
        <v>6.7299999999999999E-2</v>
      </c>
      <c r="DT60" s="231">
        <v>8100</v>
      </c>
      <c r="DU60" s="231">
        <v>7000</v>
      </c>
      <c r="DV60" s="228">
        <v>0.83</v>
      </c>
      <c r="DW60" s="228">
        <v>0.67</v>
      </c>
      <c r="DX60" s="228">
        <v>0.16</v>
      </c>
      <c r="DY60" s="229">
        <v>0.23880000000000001</v>
      </c>
      <c r="DZ60" s="229">
        <v>2.35E-2</v>
      </c>
      <c r="EA60" s="230">
        <v>65500</v>
      </c>
      <c r="EB60" s="229">
        <v>5.4000000000000003E-3</v>
      </c>
      <c r="EC60" s="229">
        <v>2.35E-2</v>
      </c>
      <c r="ED60" s="228">
        <v>46.73</v>
      </c>
      <c r="EE60" s="229">
        <v>6.1999999999999998E-3</v>
      </c>
      <c r="EF60" s="230">
        <v>284719</v>
      </c>
      <c r="EG60" s="230">
        <v>216677</v>
      </c>
      <c r="EH60" s="229">
        <v>0.314</v>
      </c>
      <c r="EI60" s="229">
        <v>0.68159999999999998</v>
      </c>
      <c r="EJ60" s="231">
        <v>131879.47</v>
      </c>
      <c r="EK60" s="231">
        <v>103610.19</v>
      </c>
      <c r="EL60" s="231">
        <v>29091.67</v>
      </c>
      <c r="EM60" s="231">
        <v>5108</v>
      </c>
      <c r="EN60" s="231">
        <v>264581.33</v>
      </c>
      <c r="EO60" s="231">
        <v>370699.17</v>
      </c>
      <c r="EP60" s="231">
        <v>-106117.84</v>
      </c>
      <c r="EQ60" s="229">
        <v>-0.2863</v>
      </c>
      <c r="ER60" s="231">
        <v>98442</v>
      </c>
      <c r="ES60" s="231">
        <v>103051</v>
      </c>
      <c r="ET60" s="231">
        <v>232036</v>
      </c>
      <c r="EU60" s="231">
        <v>19199175</v>
      </c>
      <c r="EV60" s="231">
        <v>433529</v>
      </c>
      <c r="EW60" s="231">
        <v>409788</v>
      </c>
      <c r="EX60" s="231">
        <v>23741</v>
      </c>
      <c r="EY60" s="229">
        <v>5.79E-2</v>
      </c>
      <c r="EZ60" s="229">
        <v>0.30049999999999999</v>
      </c>
      <c r="FA60" s="227" t="s">
        <v>555</v>
      </c>
      <c r="FB60" s="161">
        <f t="shared" si="0"/>
        <v>71600</v>
      </c>
    </row>
    <row r="61" spans="1:158" ht="17.25" hidden="1" thickBot="1" x14ac:dyDescent="0.3">
      <c r="A61" s="226">
        <v>46029</v>
      </c>
      <c r="B61" s="227" t="s">
        <v>615</v>
      </c>
      <c r="C61" s="227" t="s">
        <v>667</v>
      </c>
      <c r="D61" s="228">
        <v>2425</v>
      </c>
      <c r="E61" s="228">
        <v>282.39999999999998</v>
      </c>
      <c r="F61" s="228">
        <v>279.60000000000002</v>
      </c>
      <c r="G61" s="228">
        <v>2.8</v>
      </c>
      <c r="H61" s="229">
        <v>0.01</v>
      </c>
      <c r="I61" s="228">
        <v>280.95</v>
      </c>
      <c r="J61" s="228">
        <v>279.05</v>
      </c>
      <c r="K61" s="228">
        <v>1.9</v>
      </c>
      <c r="L61" s="229">
        <v>6.7999999999999996E-3</v>
      </c>
      <c r="M61" s="228">
        <v>282.39999999999998</v>
      </c>
      <c r="N61" s="228">
        <v>279.60000000000002</v>
      </c>
      <c r="O61" s="228">
        <v>2.8</v>
      </c>
      <c r="P61" s="229">
        <v>0.01</v>
      </c>
      <c r="Q61" s="228">
        <v>284</v>
      </c>
      <c r="R61" s="228">
        <v>281.2</v>
      </c>
      <c r="S61" s="228">
        <v>2.8</v>
      </c>
      <c r="T61" s="229">
        <v>0.01</v>
      </c>
      <c r="U61" s="228">
        <v>285.64999999999998</v>
      </c>
      <c r="V61" s="228">
        <v>282.7</v>
      </c>
      <c r="W61" s="228">
        <v>2.95</v>
      </c>
      <c r="X61" s="229">
        <v>1.04E-2</v>
      </c>
      <c r="Y61" s="228">
        <v>1.45</v>
      </c>
      <c r="Z61" s="228">
        <v>0.55000000000000004</v>
      </c>
      <c r="AA61" s="228">
        <v>0.9</v>
      </c>
      <c r="AB61" s="229">
        <v>5.1999999999999998E-3</v>
      </c>
      <c r="AC61" s="228">
        <v>1.45</v>
      </c>
      <c r="AD61" s="228">
        <v>0.55000000000000004</v>
      </c>
      <c r="AE61" s="228">
        <v>0.9</v>
      </c>
      <c r="AF61" s="229">
        <v>5.1999999999999998E-3</v>
      </c>
      <c r="AG61" s="228">
        <v>3.05</v>
      </c>
      <c r="AH61" s="228">
        <v>2.15</v>
      </c>
      <c r="AI61" s="228">
        <v>0.9</v>
      </c>
      <c r="AJ61" s="229">
        <v>1.09E-2</v>
      </c>
      <c r="AK61" s="228">
        <v>4.7</v>
      </c>
      <c r="AL61" s="228">
        <v>3.65</v>
      </c>
      <c r="AM61" s="228">
        <v>1.05</v>
      </c>
      <c r="AN61" s="229">
        <v>1.67E-2</v>
      </c>
      <c r="AO61" s="228">
        <v>282.8</v>
      </c>
      <c r="AP61" s="228">
        <v>284.48</v>
      </c>
      <c r="AQ61" s="228">
        <v>0</v>
      </c>
      <c r="AR61" s="230">
        <v>35671750</v>
      </c>
      <c r="AS61" s="230">
        <v>19564900</v>
      </c>
      <c r="AT61" s="230">
        <v>16106850</v>
      </c>
      <c r="AU61" s="229">
        <v>0.82330000000000003</v>
      </c>
      <c r="AV61" s="230">
        <v>33452875</v>
      </c>
      <c r="AW61" s="230">
        <v>18068675</v>
      </c>
      <c r="AX61" s="230">
        <v>15384200</v>
      </c>
      <c r="AY61" s="229">
        <v>0.85140000000000005</v>
      </c>
      <c r="AZ61" s="230">
        <v>1935150</v>
      </c>
      <c r="BA61" s="230">
        <v>1241600</v>
      </c>
      <c r="BB61" s="230">
        <v>693550</v>
      </c>
      <c r="BC61" s="229">
        <v>0.55859999999999999</v>
      </c>
      <c r="BD61" s="230">
        <v>283725</v>
      </c>
      <c r="BE61" s="230">
        <v>254625</v>
      </c>
      <c r="BF61" s="230">
        <v>29100</v>
      </c>
      <c r="BG61" s="229">
        <v>0.1143</v>
      </c>
      <c r="BH61" s="230">
        <v>82944700</v>
      </c>
      <c r="BI61" s="230">
        <v>51523975</v>
      </c>
      <c r="BJ61" s="230">
        <v>31420725</v>
      </c>
      <c r="BK61" s="229">
        <v>0.60980000000000001</v>
      </c>
      <c r="BL61" s="230">
        <v>48936500</v>
      </c>
      <c r="BM61" s="230">
        <v>36253750</v>
      </c>
      <c r="BN61" s="230">
        <v>12682750</v>
      </c>
      <c r="BO61" s="229">
        <v>0.3498</v>
      </c>
      <c r="BP61" s="230">
        <v>167552950</v>
      </c>
      <c r="BQ61" s="230">
        <v>107342625</v>
      </c>
      <c r="BR61" s="230">
        <v>60210325</v>
      </c>
      <c r="BS61" s="229">
        <v>0.56089999999999995</v>
      </c>
      <c r="BT61" s="230">
        <v>38787927</v>
      </c>
      <c r="BU61" s="230">
        <v>39289548</v>
      </c>
      <c r="BV61" s="230">
        <v>-501621</v>
      </c>
      <c r="BW61" s="229">
        <v>-1.2800000000000001E-2</v>
      </c>
      <c r="BX61" s="230">
        <v>288393125</v>
      </c>
      <c r="BY61" s="230">
        <v>280419725</v>
      </c>
      <c r="BZ61" s="230">
        <v>7973400</v>
      </c>
      <c r="CA61" s="229">
        <v>2.8400000000000002E-2</v>
      </c>
      <c r="CB61" s="230">
        <v>282750150</v>
      </c>
      <c r="CC61" s="230">
        <v>275130800</v>
      </c>
      <c r="CD61" s="230">
        <v>7619350</v>
      </c>
      <c r="CE61" s="229">
        <v>2.7699999999999999E-2</v>
      </c>
      <c r="CF61" s="230">
        <v>5259825</v>
      </c>
      <c r="CG61" s="230">
        <v>4910625</v>
      </c>
      <c r="CH61" s="230">
        <v>349200</v>
      </c>
      <c r="CI61" s="229">
        <v>7.1099999999999997E-2</v>
      </c>
      <c r="CJ61" s="230">
        <v>383150</v>
      </c>
      <c r="CK61" s="230">
        <v>378300</v>
      </c>
      <c r="CL61" s="230">
        <v>4850</v>
      </c>
      <c r="CM61" s="229">
        <v>1.2800000000000001E-2</v>
      </c>
      <c r="CN61" s="230">
        <v>46538175</v>
      </c>
      <c r="CO61" s="230">
        <v>43366275</v>
      </c>
      <c r="CP61" s="230">
        <v>3171900</v>
      </c>
      <c r="CQ61" s="229">
        <v>7.3099999999999998E-2</v>
      </c>
      <c r="CR61" s="230">
        <v>34022750</v>
      </c>
      <c r="CS61" s="230">
        <v>32298575</v>
      </c>
      <c r="CT61" s="230">
        <v>1724175</v>
      </c>
      <c r="CU61" s="229">
        <v>5.3400000000000003E-2</v>
      </c>
      <c r="CV61" s="230">
        <v>368954050</v>
      </c>
      <c r="CW61" s="230">
        <v>356084575</v>
      </c>
      <c r="CX61" s="230">
        <v>12869475</v>
      </c>
      <c r="CY61" s="229">
        <v>3.61E-2</v>
      </c>
      <c r="CZ61" s="228">
        <v>32.83</v>
      </c>
      <c r="DA61" s="228">
        <v>32.29</v>
      </c>
      <c r="DB61" s="228">
        <v>0.54</v>
      </c>
      <c r="DC61" s="228">
        <v>0.54</v>
      </c>
      <c r="DD61" s="228">
        <v>42.7</v>
      </c>
      <c r="DE61" s="228">
        <v>42.79</v>
      </c>
      <c r="DF61" s="228">
        <v>-9.8699999999999992</v>
      </c>
      <c r="DG61" s="228">
        <v>-0.09</v>
      </c>
      <c r="DH61" s="228">
        <v>32.81</v>
      </c>
      <c r="DI61" s="228">
        <v>32.28</v>
      </c>
      <c r="DJ61" s="228">
        <v>0.53</v>
      </c>
      <c r="DK61" s="228">
        <v>0.53</v>
      </c>
      <c r="DL61" s="228">
        <v>32.869999999999997</v>
      </c>
      <c r="DM61" s="228">
        <v>32.299999999999997</v>
      </c>
      <c r="DN61" s="228">
        <v>0.56999999999999995</v>
      </c>
      <c r="DO61" s="228">
        <v>0.56999999999999995</v>
      </c>
      <c r="DP61" s="228">
        <v>0.73</v>
      </c>
      <c r="DQ61" s="228">
        <v>0.74</v>
      </c>
      <c r="DR61" s="228">
        <v>-0.01</v>
      </c>
      <c r="DS61" s="229">
        <v>-1.35E-2</v>
      </c>
      <c r="DT61" s="228">
        <v>300</v>
      </c>
      <c r="DU61" s="228">
        <v>280</v>
      </c>
      <c r="DV61" s="228">
        <v>0.59</v>
      </c>
      <c r="DW61" s="228">
        <v>0.7</v>
      </c>
      <c r="DX61" s="228">
        <v>-0.11</v>
      </c>
      <c r="DY61" s="229">
        <v>-0.15709999999999999</v>
      </c>
      <c r="DZ61" s="229">
        <v>1.9599999999999999E-2</v>
      </c>
      <c r="EA61" s="230">
        <v>5288925</v>
      </c>
      <c r="EB61" s="229">
        <v>5.7000000000000002E-3</v>
      </c>
      <c r="EC61" s="229">
        <v>1.9599999999999999E-2</v>
      </c>
      <c r="ED61" s="228">
        <v>1.68</v>
      </c>
      <c r="EE61" s="229">
        <v>5.8999999999999999E-3</v>
      </c>
      <c r="EF61" s="230">
        <v>24259820</v>
      </c>
      <c r="EG61" s="230">
        <v>28329135</v>
      </c>
      <c r="EH61" s="229">
        <v>-0.14360000000000001</v>
      </c>
      <c r="EI61" s="229">
        <v>0.62539999999999996</v>
      </c>
      <c r="EJ61" s="231">
        <v>248230.04</v>
      </c>
      <c r="EK61" s="231">
        <v>136969.94</v>
      </c>
      <c r="EL61" s="231">
        <v>100921.77</v>
      </c>
      <c r="EM61" s="231">
        <v>6960</v>
      </c>
      <c r="EN61" s="231">
        <v>486121.75</v>
      </c>
      <c r="EO61" s="231">
        <v>308011.3</v>
      </c>
      <c r="EP61" s="231">
        <v>178110.45</v>
      </c>
      <c r="EQ61" s="229">
        <v>0.57830000000000004</v>
      </c>
      <c r="ER61" s="231">
        <v>138890</v>
      </c>
      <c r="ES61" s="231">
        <v>94369</v>
      </c>
      <c r="ET61" s="231">
        <v>814519</v>
      </c>
      <c r="EU61" s="231">
        <v>1251309857</v>
      </c>
      <c r="EV61" s="231">
        <v>1047778</v>
      </c>
      <c r="EW61" s="231">
        <v>1003420</v>
      </c>
      <c r="EX61" s="231">
        <v>44358</v>
      </c>
      <c r="EY61" s="229">
        <v>4.4200000000000003E-2</v>
      </c>
      <c r="EZ61" s="229">
        <v>0.2949</v>
      </c>
      <c r="FA61" s="227" t="s">
        <v>555</v>
      </c>
      <c r="FB61" s="161">
        <f t="shared" si="0"/>
        <v>5642975</v>
      </c>
    </row>
    <row r="62" spans="1:158" ht="17.25" hidden="1" thickBot="1" x14ac:dyDescent="0.3">
      <c r="A62" s="226">
        <v>46029</v>
      </c>
      <c r="B62" s="227" t="s">
        <v>162</v>
      </c>
      <c r="C62" s="227" t="s">
        <v>211</v>
      </c>
      <c r="D62" s="228">
        <v>1800</v>
      </c>
      <c r="E62" s="228">
        <v>360.35</v>
      </c>
      <c r="F62" s="228">
        <v>364.9</v>
      </c>
      <c r="G62" s="228">
        <v>-4.55</v>
      </c>
      <c r="H62" s="229">
        <v>-1.2500000000000001E-2</v>
      </c>
      <c r="I62" s="228">
        <v>359.4</v>
      </c>
      <c r="J62" s="228">
        <v>363.8</v>
      </c>
      <c r="K62" s="228">
        <v>-4.4000000000000004</v>
      </c>
      <c r="L62" s="229">
        <v>-1.21E-2</v>
      </c>
      <c r="M62" s="228">
        <v>360.35</v>
      </c>
      <c r="N62" s="228">
        <v>364.9</v>
      </c>
      <c r="O62" s="228">
        <v>-4.55</v>
      </c>
      <c r="P62" s="229">
        <v>-1.2500000000000001E-2</v>
      </c>
      <c r="Q62" s="228">
        <v>362.9</v>
      </c>
      <c r="R62" s="228">
        <v>367.1</v>
      </c>
      <c r="S62" s="228">
        <v>-4.2</v>
      </c>
      <c r="T62" s="229">
        <v>-1.14E-2</v>
      </c>
      <c r="U62" s="228">
        <v>364.75</v>
      </c>
      <c r="V62" s="228">
        <v>369.65</v>
      </c>
      <c r="W62" s="228">
        <v>-4.9000000000000004</v>
      </c>
      <c r="X62" s="229">
        <v>-1.3299999999999999E-2</v>
      </c>
      <c r="Y62" s="228">
        <v>0.95</v>
      </c>
      <c r="Z62" s="228">
        <v>1.1000000000000001</v>
      </c>
      <c r="AA62" s="228">
        <v>-0.15</v>
      </c>
      <c r="AB62" s="229">
        <v>2.5999999999999999E-3</v>
      </c>
      <c r="AC62" s="228">
        <v>0.95</v>
      </c>
      <c r="AD62" s="228">
        <v>1.1000000000000001</v>
      </c>
      <c r="AE62" s="228">
        <v>-0.15</v>
      </c>
      <c r="AF62" s="229">
        <v>2.5999999999999999E-3</v>
      </c>
      <c r="AG62" s="228">
        <v>3.5</v>
      </c>
      <c r="AH62" s="228">
        <v>3.3</v>
      </c>
      <c r="AI62" s="228">
        <v>0.2</v>
      </c>
      <c r="AJ62" s="229">
        <v>9.7000000000000003E-3</v>
      </c>
      <c r="AK62" s="228">
        <v>5.35</v>
      </c>
      <c r="AL62" s="228">
        <v>5.85</v>
      </c>
      <c r="AM62" s="228">
        <v>-0.5</v>
      </c>
      <c r="AN62" s="229">
        <v>1.49E-2</v>
      </c>
      <c r="AO62" s="228">
        <v>361.11</v>
      </c>
      <c r="AP62" s="228">
        <v>363.66</v>
      </c>
      <c r="AQ62" s="228">
        <v>0</v>
      </c>
      <c r="AR62" s="230">
        <v>5392800</v>
      </c>
      <c r="AS62" s="230">
        <v>3979800</v>
      </c>
      <c r="AT62" s="230">
        <v>1413000</v>
      </c>
      <c r="AU62" s="229">
        <v>0.35499999999999998</v>
      </c>
      <c r="AV62" s="230">
        <v>4455000</v>
      </c>
      <c r="AW62" s="230">
        <v>3468600</v>
      </c>
      <c r="AX62" s="230">
        <v>986400</v>
      </c>
      <c r="AY62" s="229">
        <v>0.28439999999999999</v>
      </c>
      <c r="AZ62" s="230">
        <v>867600</v>
      </c>
      <c r="BA62" s="230">
        <v>480600</v>
      </c>
      <c r="BB62" s="230">
        <v>387000</v>
      </c>
      <c r="BC62" s="229">
        <v>0.80520000000000003</v>
      </c>
      <c r="BD62" s="230">
        <v>70200</v>
      </c>
      <c r="BE62" s="230">
        <v>30600</v>
      </c>
      <c r="BF62" s="230">
        <v>39600</v>
      </c>
      <c r="BG62" s="229">
        <v>1.2941</v>
      </c>
      <c r="BH62" s="230">
        <v>11284200</v>
      </c>
      <c r="BI62" s="230">
        <v>11235600</v>
      </c>
      <c r="BJ62" s="230">
        <v>48600</v>
      </c>
      <c r="BK62" s="229">
        <v>4.3E-3</v>
      </c>
      <c r="BL62" s="230">
        <v>4752000</v>
      </c>
      <c r="BM62" s="230">
        <v>4329000</v>
      </c>
      <c r="BN62" s="230">
        <v>423000</v>
      </c>
      <c r="BO62" s="229">
        <v>9.7699999999999995E-2</v>
      </c>
      <c r="BP62" s="230">
        <v>21429000</v>
      </c>
      <c r="BQ62" s="230">
        <v>19544400</v>
      </c>
      <c r="BR62" s="230">
        <v>1884600</v>
      </c>
      <c r="BS62" s="229">
        <v>9.64E-2</v>
      </c>
      <c r="BT62" s="230">
        <v>1178201</v>
      </c>
      <c r="BU62" s="230">
        <v>1002588</v>
      </c>
      <c r="BV62" s="230">
        <v>175613</v>
      </c>
      <c r="BW62" s="229">
        <v>0.17519999999999999</v>
      </c>
      <c r="BX62" s="230">
        <v>32976000</v>
      </c>
      <c r="BY62" s="230">
        <v>31762800</v>
      </c>
      <c r="BZ62" s="230">
        <v>1213200</v>
      </c>
      <c r="CA62" s="229">
        <v>3.8199999999999998E-2</v>
      </c>
      <c r="CB62" s="230">
        <v>30625200</v>
      </c>
      <c r="CC62" s="230">
        <v>29921400</v>
      </c>
      <c r="CD62" s="230">
        <v>703800</v>
      </c>
      <c r="CE62" s="229">
        <v>2.35E-2</v>
      </c>
      <c r="CF62" s="230">
        <v>2185200</v>
      </c>
      <c r="CG62" s="230">
        <v>1719000</v>
      </c>
      <c r="CH62" s="230">
        <v>466200</v>
      </c>
      <c r="CI62" s="229">
        <v>0.2712</v>
      </c>
      <c r="CJ62" s="230">
        <v>165600</v>
      </c>
      <c r="CK62" s="230">
        <v>122400</v>
      </c>
      <c r="CL62" s="230">
        <v>43200</v>
      </c>
      <c r="CM62" s="229">
        <v>0.35289999999999999</v>
      </c>
      <c r="CN62" s="230">
        <v>15026400</v>
      </c>
      <c r="CO62" s="230">
        <v>13107600</v>
      </c>
      <c r="CP62" s="230">
        <v>1918800</v>
      </c>
      <c r="CQ62" s="229">
        <v>0.1464</v>
      </c>
      <c r="CR62" s="230">
        <v>9563400</v>
      </c>
      <c r="CS62" s="230">
        <v>8328600</v>
      </c>
      <c r="CT62" s="230">
        <v>1234800</v>
      </c>
      <c r="CU62" s="229">
        <v>0.14829999999999999</v>
      </c>
      <c r="CV62" s="230">
        <v>57565800</v>
      </c>
      <c r="CW62" s="230">
        <v>53199000</v>
      </c>
      <c r="CX62" s="230">
        <v>4366800</v>
      </c>
      <c r="CY62" s="229">
        <v>8.2100000000000006E-2</v>
      </c>
      <c r="CZ62" s="228">
        <v>24.75</v>
      </c>
      <c r="DA62" s="228">
        <v>23.82</v>
      </c>
      <c r="DB62" s="228">
        <v>0.93</v>
      </c>
      <c r="DC62" s="228">
        <v>0.93</v>
      </c>
      <c r="DD62" s="228">
        <v>32.72</v>
      </c>
      <c r="DE62" s="228">
        <v>32.76</v>
      </c>
      <c r="DF62" s="228">
        <v>-7.97</v>
      </c>
      <c r="DG62" s="228">
        <v>-0.04</v>
      </c>
      <c r="DH62" s="228">
        <v>24.91</v>
      </c>
      <c r="DI62" s="228">
        <v>23.95</v>
      </c>
      <c r="DJ62" s="228">
        <v>0.96</v>
      </c>
      <c r="DK62" s="228">
        <v>0.96</v>
      </c>
      <c r="DL62" s="228">
        <v>24.38</v>
      </c>
      <c r="DM62" s="228">
        <v>23.47</v>
      </c>
      <c r="DN62" s="228">
        <v>0.91</v>
      </c>
      <c r="DO62" s="228">
        <v>0.91</v>
      </c>
      <c r="DP62" s="228">
        <v>0.64</v>
      </c>
      <c r="DQ62" s="228">
        <v>0.64</v>
      </c>
      <c r="DR62" s="228">
        <v>0</v>
      </c>
      <c r="DS62" s="229">
        <v>0</v>
      </c>
      <c r="DT62" s="228">
        <v>380</v>
      </c>
      <c r="DU62" s="228">
        <v>360</v>
      </c>
      <c r="DV62" s="228">
        <v>0.42</v>
      </c>
      <c r="DW62" s="228">
        <v>0.39</v>
      </c>
      <c r="DX62" s="228">
        <v>0.03</v>
      </c>
      <c r="DY62" s="229">
        <v>7.6899999999999996E-2</v>
      </c>
      <c r="DZ62" s="229">
        <v>7.1300000000000002E-2</v>
      </c>
      <c r="EA62" s="230">
        <v>1841400</v>
      </c>
      <c r="EB62" s="229">
        <v>7.1000000000000004E-3</v>
      </c>
      <c r="EC62" s="229">
        <v>7.1300000000000002E-2</v>
      </c>
      <c r="ED62" s="228">
        <v>2.5499999999999998</v>
      </c>
      <c r="EE62" s="229">
        <v>7.1000000000000004E-3</v>
      </c>
      <c r="EF62" s="230">
        <v>529719</v>
      </c>
      <c r="EG62" s="230">
        <v>352410</v>
      </c>
      <c r="EH62" s="229">
        <v>0.50309999999999999</v>
      </c>
      <c r="EI62" s="229">
        <v>0.4496</v>
      </c>
      <c r="EJ62" s="231">
        <v>42639.53</v>
      </c>
      <c r="EK62" s="231">
        <v>17272.02</v>
      </c>
      <c r="EL62" s="231">
        <v>19499.52</v>
      </c>
      <c r="EM62" s="231">
        <v>2188</v>
      </c>
      <c r="EN62" s="231">
        <v>79411.070000000007</v>
      </c>
      <c r="EO62" s="231">
        <v>73248.789999999994</v>
      </c>
      <c r="EP62" s="231">
        <v>6162.28</v>
      </c>
      <c r="EQ62" s="229">
        <v>8.4099999999999994E-2</v>
      </c>
      <c r="ER62" s="231">
        <v>57257</v>
      </c>
      <c r="ES62" s="231">
        <v>34960</v>
      </c>
      <c r="ET62" s="231">
        <v>118892</v>
      </c>
      <c r="EU62" s="231">
        <v>68856800</v>
      </c>
      <c r="EV62" s="231">
        <v>211109</v>
      </c>
      <c r="EW62" s="231">
        <v>196643</v>
      </c>
      <c r="EX62" s="231">
        <v>14466</v>
      </c>
      <c r="EY62" s="229">
        <v>7.3599999999999999E-2</v>
      </c>
      <c r="EZ62" s="229">
        <v>0.83599999999999997</v>
      </c>
      <c r="FA62" s="227" t="s">
        <v>567</v>
      </c>
      <c r="FB62" s="161">
        <f t="shared" si="0"/>
        <v>2350800</v>
      </c>
    </row>
    <row r="63" spans="1:158" ht="17.25" hidden="1" thickBot="1" x14ac:dyDescent="0.3">
      <c r="A63" s="226">
        <v>46029</v>
      </c>
      <c r="B63" s="227" t="s">
        <v>172</v>
      </c>
      <c r="C63" s="227" t="s">
        <v>212</v>
      </c>
      <c r="D63" s="228">
        <v>5000</v>
      </c>
      <c r="E63" s="228">
        <v>258.89999999999998</v>
      </c>
      <c r="F63" s="228">
        <v>258.05</v>
      </c>
      <c r="G63" s="228">
        <v>0.85</v>
      </c>
      <c r="H63" s="229">
        <v>3.3E-3</v>
      </c>
      <c r="I63" s="228">
        <v>258.55</v>
      </c>
      <c r="J63" s="228">
        <v>256.7</v>
      </c>
      <c r="K63" s="228">
        <v>1.85</v>
      </c>
      <c r="L63" s="229">
        <v>7.1999999999999998E-3</v>
      </c>
      <c r="M63" s="228">
        <v>258.89999999999998</v>
      </c>
      <c r="N63" s="228">
        <v>258.05</v>
      </c>
      <c r="O63" s="228">
        <v>0.85</v>
      </c>
      <c r="P63" s="229">
        <v>3.3E-3</v>
      </c>
      <c r="Q63" s="228">
        <v>260.05</v>
      </c>
      <c r="R63" s="228">
        <v>259.55</v>
      </c>
      <c r="S63" s="228">
        <v>0.5</v>
      </c>
      <c r="T63" s="229">
        <v>1.9E-3</v>
      </c>
      <c r="U63" s="228">
        <v>260.85000000000002</v>
      </c>
      <c r="V63" s="228">
        <v>260.05</v>
      </c>
      <c r="W63" s="228">
        <v>0.8</v>
      </c>
      <c r="X63" s="229">
        <v>3.0999999999999999E-3</v>
      </c>
      <c r="Y63" s="228">
        <v>0.35</v>
      </c>
      <c r="Z63" s="228">
        <v>1.35</v>
      </c>
      <c r="AA63" s="228">
        <v>-1</v>
      </c>
      <c r="AB63" s="229">
        <v>1.4E-3</v>
      </c>
      <c r="AC63" s="228">
        <v>0.35</v>
      </c>
      <c r="AD63" s="228">
        <v>1.35</v>
      </c>
      <c r="AE63" s="228">
        <v>-1</v>
      </c>
      <c r="AF63" s="229">
        <v>1.4E-3</v>
      </c>
      <c r="AG63" s="228">
        <v>1.5</v>
      </c>
      <c r="AH63" s="228">
        <v>2.85</v>
      </c>
      <c r="AI63" s="228">
        <v>-1.35</v>
      </c>
      <c r="AJ63" s="229">
        <v>5.7999999999999996E-3</v>
      </c>
      <c r="AK63" s="228">
        <v>2.2999999999999998</v>
      </c>
      <c r="AL63" s="228">
        <v>3.35</v>
      </c>
      <c r="AM63" s="228">
        <v>-1.05</v>
      </c>
      <c r="AN63" s="229">
        <v>8.8999999999999999E-3</v>
      </c>
      <c r="AO63" s="228">
        <v>257.37</v>
      </c>
      <c r="AP63" s="228">
        <v>258.27999999999997</v>
      </c>
      <c r="AQ63" s="228">
        <v>0</v>
      </c>
      <c r="AR63" s="230">
        <v>19245000</v>
      </c>
      <c r="AS63" s="230">
        <v>37700000</v>
      </c>
      <c r="AT63" s="230">
        <v>-18455000</v>
      </c>
      <c r="AU63" s="229">
        <v>-0.48949999999999999</v>
      </c>
      <c r="AV63" s="230">
        <v>18025000</v>
      </c>
      <c r="AW63" s="230">
        <v>35085000</v>
      </c>
      <c r="AX63" s="230">
        <v>-17060000</v>
      </c>
      <c r="AY63" s="229">
        <v>-0.48620000000000002</v>
      </c>
      <c r="AZ63" s="230">
        <v>1005000</v>
      </c>
      <c r="BA63" s="230">
        <v>2100000</v>
      </c>
      <c r="BB63" s="230">
        <v>-1095000</v>
      </c>
      <c r="BC63" s="229">
        <v>-0.52139999999999997</v>
      </c>
      <c r="BD63" s="230">
        <v>215000</v>
      </c>
      <c r="BE63" s="230">
        <v>515000</v>
      </c>
      <c r="BF63" s="230">
        <v>-300000</v>
      </c>
      <c r="BG63" s="229">
        <v>-0.58250000000000002</v>
      </c>
      <c r="BH63" s="230">
        <v>49150000</v>
      </c>
      <c r="BI63" s="230">
        <v>72420000</v>
      </c>
      <c r="BJ63" s="230">
        <v>-23270000</v>
      </c>
      <c r="BK63" s="229">
        <v>-0.32129999999999997</v>
      </c>
      <c r="BL63" s="230">
        <v>22160000</v>
      </c>
      <c r="BM63" s="230">
        <v>41380000</v>
      </c>
      <c r="BN63" s="230">
        <v>-19220000</v>
      </c>
      <c r="BO63" s="229">
        <v>-0.46450000000000002</v>
      </c>
      <c r="BP63" s="230">
        <v>90555000</v>
      </c>
      <c r="BQ63" s="230">
        <v>151500000</v>
      </c>
      <c r="BR63" s="230">
        <v>-60945000</v>
      </c>
      <c r="BS63" s="229">
        <v>-0.40229999999999999</v>
      </c>
      <c r="BT63" s="230">
        <v>7148378</v>
      </c>
      <c r="BU63" s="230">
        <v>10949514</v>
      </c>
      <c r="BV63" s="230">
        <v>-3801136</v>
      </c>
      <c r="BW63" s="229">
        <v>-0.34720000000000001</v>
      </c>
      <c r="BX63" s="230">
        <v>56180000</v>
      </c>
      <c r="BY63" s="230">
        <v>57650000</v>
      </c>
      <c r="BZ63" s="230">
        <v>-1470000</v>
      </c>
      <c r="CA63" s="229">
        <v>-2.5499999999999998E-2</v>
      </c>
      <c r="CB63" s="230">
        <v>53090000</v>
      </c>
      <c r="CC63" s="230">
        <v>54780000</v>
      </c>
      <c r="CD63" s="230">
        <v>-1690000</v>
      </c>
      <c r="CE63" s="229">
        <v>-3.09E-2</v>
      </c>
      <c r="CF63" s="230">
        <v>2165000</v>
      </c>
      <c r="CG63" s="230">
        <v>2005000</v>
      </c>
      <c r="CH63" s="230">
        <v>160000</v>
      </c>
      <c r="CI63" s="229">
        <v>7.9799999999999996E-2</v>
      </c>
      <c r="CJ63" s="230">
        <v>925000</v>
      </c>
      <c r="CK63" s="230">
        <v>865000</v>
      </c>
      <c r="CL63" s="230">
        <v>60000</v>
      </c>
      <c r="CM63" s="229">
        <v>6.9400000000000003E-2</v>
      </c>
      <c r="CN63" s="230">
        <v>32000000</v>
      </c>
      <c r="CO63" s="230">
        <v>30815000</v>
      </c>
      <c r="CP63" s="230">
        <v>1185000</v>
      </c>
      <c r="CQ63" s="229">
        <v>3.85E-2</v>
      </c>
      <c r="CR63" s="230">
        <v>24370000</v>
      </c>
      <c r="CS63" s="230">
        <v>22985000</v>
      </c>
      <c r="CT63" s="230">
        <v>1385000</v>
      </c>
      <c r="CU63" s="229">
        <v>6.0299999999999999E-2</v>
      </c>
      <c r="CV63" s="230">
        <v>112550000</v>
      </c>
      <c r="CW63" s="230">
        <v>111450000</v>
      </c>
      <c r="CX63" s="230">
        <v>1100000</v>
      </c>
      <c r="CY63" s="229">
        <v>9.9000000000000008E-3</v>
      </c>
      <c r="CZ63" s="228">
        <v>25.8</v>
      </c>
      <c r="DA63" s="228">
        <v>25.65</v>
      </c>
      <c r="DB63" s="228">
        <v>0.15</v>
      </c>
      <c r="DC63" s="228">
        <v>0.15</v>
      </c>
      <c r="DD63" s="228">
        <v>27.98</v>
      </c>
      <c r="DE63" s="228">
        <v>28.03</v>
      </c>
      <c r="DF63" s="228">
        <v>-2.1800000000000002</v>
      </c>
      <c r="DG63" s="228">
        <v>-0.05</v>
      </c>
      <c r="DH63" s="228">
        <v>25.87</v>
      </c>
      <c r="DI63" s="228">
        <v>25.62</v>
      </c>
      <c r="DJ63" s="228">
        <v>0.25</v>
      </c>
      <c r="DK63" s="228">
        <v>0.25</v>
      </c>
      <c r="DL63" s="228">
        <v>25.66</v>
      </c>
      <c r="DM63" s="228">
        <v>25.7</v>
      </c>
      <c r="DN63" s="228">
        <v>-0.04</v>
      </c>
      <c r="DO63" s="228">
        <v>-0.04</v>
      </c>
      <c r="DP63" s="228">
        <v>0.76</v>
      </c>
      <c r="DQ63" s="228">
        <v>0.75</v>
      </c>
      <c r="DR63" s="228">
        <v>0.01</v>
      </c>
      <c r="DS63" s="229">
        <v>1.3299999999999999E-2</v>
      </c>
      <c r="DT63" s="228">
        <v>270</v>
      </c>
      <c r="DU63" s="228">
        <v>260</v>
      </c>
      <c r="DV63" s="228">
        <v>0.45</v>
      </c>
      <c r="DW63" s="228">
        <v>0.56999999999999995</v>
      </c>
      <c r="DX63" s="228">
        <v>-0.12</v>
      </c>
      <c r="DY63" s="229">
        <v>-0.21049999999999999</v>
      </c>
      <c r="DZ63" s="229">
        <v>5.5E-2</v>
      </c>
      <c r="EA63" s="230">
        <v>2870000</v>
      </c>
      <c r="EB63" s="229">
        <v>4.4000000000000003E-3</v>
      </c>
      <c r="EC63" s="229">
        <v>5.5E-2</v>
      </c>
      <c r="ED63" s="228">
        <v>0.91</v>
      </c>
      <c r="EE63" s="229">
        <v>3.5000000000000001E-3</v>
      </c>
      <c r="EF63" s="230">
        <v>3842213</v>
      </c>
      <c r="EG63" s="230">
        <v>6876556</v>
      </c>
      <c r="EH63" s="229">
        <v>-0.44130000000000003</v>
      </c>
      <c r="EI63" s="229">
        <v>0.53749999999999998</v>
      </c>
      <c r="EJ63" s="231">
        <v>133622.94</v>
      </c>
      <c r="EK63" s="231">
        <v>57059.43</v>
      </c>
      <c r="EL63" s="231">
        <v>49545.55</v>
      </c>
      <c r="EM63" s="231">
        <v>3678</v>
      </c>
      <c r="EN63" s="231">
        <v>240227.92</v>
      </c>
      <c r="EO63" s="231">
        <v>402780.19</v>
      </c>
      <c r="EP63" s="231">
        <v>-162552.26999999999</v>
      </c>
      <c r="EQ63" s="229">
        <v>-0.40360000000000001</v>
      </c>
      <c r="ER63" s="231">
        <v>87005</v>
      </c>
      <c r="ES63" s="231">
        <v>61848</v>
      </c>
      <c r="ET63" s="231">
        <v>145493</v>
      </c>
      <c r="EU63" s="231">
        <v>320636733</v>
      </c>
      <c r="EV63" s="231">
        <v>294346</v>
      </c>
      <c r="EW63" s="231">
        <v>291124</v>
      </c>
      <c r="EX63" s="231">
        <v>3222</v>
      </c>
      <c r="EY63" s="229">
        <v>1.11E-2</v>
      </c>
      <c r="EZ63" s="229">
        <v>0.35099999999999998</v>
      </c>
      <c r="FA63" s="227" t="s">
        <v>556</v>
      </c>
      <c r="FB63" s="161">
        <f t="shared" si="0"/>
        <v>3090000</v>
      </c>
    </row>
    <row r="64" spans="1:158" ht="17.25" hidden="1" thickBot="1" x14ac:dyDescent="0.3">
      <c r="A64" s="226">
        <v>46029</v>
      </c>
      <c r="B64" s="227" t="s">
        <v>181</v>
      </c>
      <c r="C64" s="227" t="s">
        <v>480</v>
      </c>
      <c r="D64" s="228">
        <v>60</v>
      </c>
      <c r="E64" s="231">
        <v>27955.3</v>
      </c>
      <c r="F64" s="231">
        <v>28041.1</v>
      </c>
      <c r="G64" s="228">
        <v>-85.8</v>
      </c>
      <c r="H64" s="229">
        <v>-3.0999999999999999E-3</v>
      </c>
      <c r="I64" s="231">
        <v>27853.35</v>
      </c>
      <c r="J64" s="231">
        <v>27945.1</v>
      </c>
      <c r="K64" s="228">
        <v>-91.75</v>
      </c>
      <c r="L64" s="229">
        <v>-3.3E-3</v>
      </c>
      <c r="M64" s="231">
        <v>27955.3</v>
      </c>
      <c r="N64" s="231">
        <v>28041.1</v>
      </c>
      <c r="O64" s="228">
        <v>-85.8</v>
      </c>
      <c r="P64" s="229">
        <v>-3.0999999999999999E-3</v>
      </c>
      <c r="Q64" s="231">
        <v>28000</v>
      </c>
      <c r="R64" s="231">
        <v>28000</v>
      </c>
      <c r="S64" s="228">
        <v>0</v>
      </c>
      <c r="T64" s="229">
        <v>0</v>
      </c>
      <c r="U64" s="228">
        <v>0</v>
      </c>
      <c r="V64" s="228">
        <v>0</v>
      </c>
      <c r="W64" s="228">
        <v>0</v>
      </c>
      <c r="X64" s="229">
        <v>0</v>
      </c>
      <c r="Y64" s="228">
        <v>101.95</v>
      </c>
      <c r="Z64" s="228">
        <v>96</v>
      </c>
      <c r="AA64" s="228">
        <v>5.95</v>
      </c>
      <c r="AB64" s="229">
        <v>3.7000000000000002E-3</v>
      </c>
      <c r="AC64" s="228">
        <v>101.95</v>
      </c>
      <c r="AD64" s="228">
        <v>96</v>
      </c>
      <c r="AE64" s="228">
        <v>5.95</v>
      </c>
      <c r="AF64" s="229">
        <v>3.7000000000000002E-3</v>
      </c>
      <c r="AG64" s="228">
        <v>146.65</v>
      </c>
      <c r="AH64" s="228">
        <v>54.9</v>
      </c>
      <c r="AI64" s="228">
        <v>91.75</v>
      </c>
      <c r="AJ64" s="229">
        <v>5.3E-3</v>
      </c>
      <c r="AK64" s="228">
        <v>0</v>
      </c>
      <c r="AL64" s="228">
        <v>0</v>
      </c>
      <c r="AM64" s="228">
        <v>0</v>
      </c>
      <c r="AN64" s="229">
        <v>0</v>
      </c>
      <c r="AO64" s="231">
        <v>27929.09</v>
      </c>
      <c r="AP64" s="231">
        <v>28000</v>
      </c>
      <c r="AQ64" s="228">
        <v>0</v>
      </c>
      <c r="AR64" s="230">
        <v>12720</v>
      </c>
      <c r="AS64" s="230">
        <v>14820</v>
      </c>
      <c r="AT64" s="230">
        <v>-2100</v>
      </c>
      <c r="AU64" s="229">
        <v>-0.14169999999999999</v>
      </c>
      <c r="AV64" s="230">
        <v>12720</v>
      </c>
      <c r="AW64" s="230">
        <v>14760</v>
      </c>
      <c r="AX64" s="230">
        <v>-2040</v>
      </c>
      <c r="AY64" s="229">
        <v>-0.13819999999999999</v>
      </c>
      <c r="AZ64" s="228">
        <v>0</v>
      </c>
      <c r="BA64" s="228">
        <v>60</v>
      </c>
      <c r="BB64" s="228">
        <v>-60</v>
      </c>
      <c r="BC64" s="229">
        <v>-1</v>
      </c>
      <c r="BD64" s="228">
        <v>0</v>
      </c>
      <c r="BE64" s="228">
        <v>0</v>
      </c>
      <c r="BF64" s="228">
        <v>0</v>
      </c>
      <c r="BG64" s="229">
        <v>0</v>
      </c>
      <c r="BH64" s="230">
        <v>802440</v>
      </c>
      <c r="BI64" s="230">
        <v>1687560</v>
      </c>
      <c r="BJ64" s="230">
        <v>-885120</v>
      </c>
      <c r="BK64" s="229">
        <v>-0.52449999999999997</v>
      </c>
      <c r="BL64" s="230">
        <v>833460</v>
      </c>
      <c r="BM64" s="230">
        <v>1284660</v>
      </c>
      <c r="BN64" s="230">
        <v>-451200</v>
      </c>
      <c r="BO64" s="229">
        <v>-0.35120000000000001</v>
      </c>
      <c r="BP64" s="230">
        <v>1648620</v>
      </c>
      <c r="BQ64" s="230">
        <v>2987040</v>
      </c>
      <c r="BR64" s="230">
        <v>-1338420</v>
      </c>
      <c r="BS64" s="229">
        <v>-0.4481</v>
      </c>
      <c r="BT64" s="228">
        <v>0</v>
      </c>
      <c r="BU64" s="228">
        <v>0</v>
      </c>
      <c r="BV64" s="228">
        <v>0</v>
      </c>
      <c r="BW64" s="229">
        <v>0</v>
      </c>
      <c r="BX64" s="230">
        <v>32040</v>
      </c>
      <c r="BY64" s="230">
        <v>31980</v>
      </c>
      <c r="BZ64" s="228">
        <v>60</v>
      </c>
      <c r="CA64" s="229">
        <v>1.9E-3</v>
      </c>
      <c r="CB64" s="230">
        <v>31860</v>
      </c>
      <c r="CC64" s="230">
        <v>31800</v>
      </c>
      <c r="CD64" s="228">
        <v>60</v>
      </c>
      <c r="CE64" s="229">
        <v>1.9E-3</v>
      </c>
      <c r="CF64" s="228">
        <v>180</v>
      </c>
      <c r="CG64" s="228">
        <v>180</v>
      </c>
      <c r="CH64" s="228">
        <v>0</v>
      </c>
      <c r="CI64" s="229">
        <v>0</v>
      </c>
      <c r="CJ64" s="228">
        <v>0</v>
      </c>
      <c r="CK64" s="228">
        <v>0</v>
      </c>
      <c r="CL64" s="228">
        <v>0</v>
      </c>
      <c r="CM64" s="229">
        <v>0</v>
      </c>
      <c r="CN64" s="230">
        <v>499980</v>
      </c>
      <c r="CO64" s="230">
        <v>541680</v>
      </c>
      <c r="CP64" s="230">
        <v>-41700</v>
      </c>
      <c r="CQ64" s="229">
        <v>-7.6999999999999999E-2</v>
      </c>
      <c r="CR64" s="230">
        <v>377220</v>
      </c>
      <c r="CS64" s="230">
        <v>405720</v>
      </c>
      <c r="CT64" s="230">
        <v>-28500</v>
      </c>
      <c r="CU64" s="229">
        <v>-7.0199999999999999E-2</v>
      </c>
      <c r="CV64" s="230">
        <v>909240</v>
      </c>
      <c r="CW64" s="230">
        <v>979380</v>
      </c>
      <c r="CX64" s="230">
        <v>-70140</v>
      </c>
      <c r="CY64" s="229">
        <v>-7.1599999999999997E-2</v>
      </c>
      <c r="CZ64" s="228">
        <v>10.210000000000001</v>
      </c>
      <c r="DA64" s="228">
        <v>10.56</v>
      </c>
      <c r="DB64" s="228">
        <v>-0.35</v>
      </c>
      <c r="DC64" s="228">
        <v>-0.35</v>
      </c>
      <c r="DD64" s="228">
        <v>16.190000000000001</v>
      </c>
      <c r="DE64" s="228">
        <v>16.22</v>
      </c>
      <c r="DF64" s="228">
        <v>-5.98</v>
      </c>
      <c r="DG64" s="228">
        <v>-0.03</v>
      </c>
      <c r="DH64" s="228">
        <v>9.9499999999999993</v>
      </c>
      <c r="DI64" s="228">
        <v>10.39</v>
      </c>
      <c r="DJ64" s="228">
        <v>-0.44</v>
      </c>
      <c r="DK64" s="228">
        <v>-0.44</v>
      </c>
      <c r="DL64" s="228">
        <v>10.45</v>
      </c>
      <c r="DM64" s="228">
        <v>10.77</v>
      </c>
      <c r="DN64" s="228">
        <v>-0.32</v>
      </c>
      <c r="DO64" s="228">
        <v>-0.32</v>
      </c>
      <c r="DP64" s="228">
        <v>0.75</v>
      </c>
      <c r="DQ64" s="228">
        <v>0.75</v>
      </c>
      <c r="DR64" s="228">
        <v>0</v>
      </c>
      <c r="DS64" s="229">
        <v>0</v>
      </c>
      <c r="DT64" s="231">
        <v>28200</v>
      </c>
      <c r="DU64" s="231">
        <v>28000</v>
      </c>
      <c r="DV64" s="228">
        <v>1.04</v>
      </c>
      <c r="DW64" s="228">
        <v>0.76</v>
      </c>
      <c r="DX64" s="228">
        <v>0.28000000000000003</v>
      </c>
      <c r="DY64" s="229">
        <v>0.36840000000000001</v>
      </c>
      <c r="DZ64" s="229">
        <v>5.5999999999999999E-3</v>
      </c>
      <c r="EA64" s="228">
        <v>180</v>
      </c>
      <c r="EB64" s="229">
        <v>1.6000000000000001E-3</v>
      </c>
      <c r="EC64" s="229">
        <v>5.5999999999999999E-3</v>
      </c>
      <c r="ED64" s="228">
        <v>70.91</v>
      </c>
      <c r="EE64" s="229">
        <v>2.5000000000000001E-3</v>
      </c>
      <c r="EF64" s="228">
        <v>0</v>
      </c>
      <c r="EG64" s="228">
        <v>0</v>
      </c>
      <c r="EH64" s="229">
        <v>0</v>
      </c>
      <c r="EI64" s="229">
        <v>0</v>
      </c>
      <c r="EJ64" s="231">
        <v>227441.44</v>
      </c>
      <c r="EK64" s="231">
        <v>232266.95</v>
      </c>
      <c r="EL64" s="231">
        <v>3552.58</v>
      </c>
      <c r="EM64" s="228">
        <v>0</v>
      </c>
      <c r="EN64" s="231">
        <v>463260.97</v>
      </c>
      <c r="EO64" s="231">
        <v>844381.54</v>
      </c>
      <c r="EP64" s="231">
        <v>-381120.57</v>
      </c>
      <c r="EQ64" s="229">
        <v>-0.45140000000000002</v>
      </c>
      <c r="ER64" s="231">
        <v>141402</v>
      </c>
      <c r="ES64" s="231">
        <v>103947</v>
      </c>
      <c r="ET64" s="231">
        <v>8957</v>
      </c>
      <c r="EU64" s="228">
        <v>0</v>
      </c>
      <c r="EV64" s="231">
        <v>254306</v>
      </c>
      <c r="EW64" s="231">
        <v>274025</v>
      </c>
      <c r="EX64" s="231">
        <v>-19719</v>
      </c>
      <c r="EY64" s="229">
        <v>-7.1999999999999995E-2</v>
      </c>
      <c r="EZ64" s="229">
        <v>0</v>
      </c>
      <c r="FA64" s="227" t="s">
        <v>567</v>
      </c>
      <c r="FB64" s="161">
        <f t="shared" si="0"/>
        <v>180</v>
      </c>
    </row>
    <row r="65" spans="1:158" ht="17.25" hidden="1" thickBot="1" x14ac:dyDescent="0.3">
      <c r="A65" s="226">
        <v>46029</v>
      </c>
      <c r="B65" s="227" t="s">
        <v>170</v>
      </c>
      <c r="C65" s="227" t="s">
        <v>677</v>
      </c>
      <c r="D65" s="228">
        <v>775</v>
      </c>
      <c r="E65" s="228">
        <v>942.6</v>
      </c>
      <c r="F65" s="228">
        <v>947.5</v>
      </c>
      <c r="G65" s="228">
        <v>-4.9000000000000004</v>
      </c>
      <c r="H65" s="229">
        <v>-5.1999999999999998E-3</v>
      </c>
      <c r="I65" s="228">
        <v>940.85</v>
      </c>
      <c r="J65" s="228">
        <v>945</v>
      </c>
      <c r="K65" s="228">
        <v>-4.1500000000000004</v>
      </c>
      <c r="L65" s="229">
        <v>-4.4000000000000003E-3</v>
      </c>
      <c r="M65" s="228">
        <v>942.6</v>
      </c>
      <c r="N65" s="228">
        <v>947.5</v>
      </c>
      <c r="O65" s="228">
        <v>-4.9000000000000004</v>
      </c>
      <c r="P65" s="229">
        <v>-5.1999999999999998E-3</v>
      </c>
      <c r="Q65" s="228">
        <v>948.3</v>
      </c>
      <c r="R65" s="228">
        <v>952.55</v>
      </c>
      <c r="S65" s="228">
        <v>-4.25</v>
      </c>
      <c r="T65" s="229">
        <v>-4.4999999999999997E-3</v>
      </c>
      <c r="U65" s="228">
        <v>955.9</v>
      </c>
      <c r="V65" s="228">
        <v>958.35</v>
      </c>
      <c r="W65" s="228">
        <v>-2.4500000000000002</v>
      </c>
      <c r="X65" s="229">
        <v>-2.5999999999999999E-3</v>
      </c>
      <c r="Y65" s="228">
        <v>1.75</v>
      </c>
      <c r="Z65" s="228">
        <v>2.5</v>
      </c>
      <c r="AA65" s="228">
        <v>-0.75</v>
      </c>
      <c r="AB65" s="229">
        <v>1.9E-3</v>
      </c>
      <c r="AC65" s="228">
        <v>1.75</v>
      </c>
      <c r="AD65" s="228">
        <v>2.5</v>
      </c>
      <c r="AE65" s="228">
        <v>-0.75</v>
      </c>
      <c r="AF65" s="229">
        <v>1.9E-3</v>
      </c>
      <c r="AG65" s="228">
        <v>7.45</v>
      </c>
      <c r="AH65" s="228">
        <v>7.55</v>
      </c>
      <c r="AI65" s="228">
        <v>-0.1</v>
      </c>
      <c r="AJ65" s="229">
        <v>7.9000000000000008E-3</v>
      </c>
      <c r="AK65" s="228">
        <v>15.05</v>
      </c>
      <c r="AL65" s="228">
        <v>13.35</v>
      </c>
      <c r="AM65" s="228">
        <v>1.7</v>
      </c>
      <c r="AN65" s="229">
        <v>1.6E-2</v>
      </c>
      <c r="AO65" s="228">
        <v>944.69</v>
      </c>
      <c r="AP65" s="228">
        <v>951.05</v>
      </c>
      <c r="AQ65" s="228">
        <v>0</v>
      </c>
      <c r="AR65" s="230">
        <v>2382350</v>
      </c>
      <c r="AS65" s="230">
        <v>5021225</v>
      </c>
      <c r="AT65" s="230">
        <v>-2638875</v>
      </c>
      <c r="AU65" s="229">
        <v>-0.52549999999999997</v>
      </c>
      <c r="AV65" s="230">
        <v>2238975</v>
      </c>
      <c r="AW65" s="230">
        <v>4758500</v>
      </c>
      <c r="AX65" s="230">
        <v>-2519525</v>
      </c>
      <c r="AY65" s="229">
        <v>-0.52949999999999997</v>
      </c>
      <c r="AZ65" s="230">
        <v>105400</v>
      </c>
      <c r="BA65" s="230">
        <v>210025</v>
      </c>
      <c r="BB65" s="230">
        <v>-104625</v>
      </c>
      <c r="BC65" s="229">
        <v>-0.49819999999999998</v>
      </c>
      <c r="BD65" s="230">
        <v>37975</v>
      </c>
      <c r="BE65" s="230">
        <v>52700</v>
      </c>
      <c r="BF65" s="230">
        <v>-14725</v>
      </c>
      <c r="BG65" s="229">
        <v>-0.27939999999999998</v>
      </c>
      <c r="BH65" s="230">
        <v>5191725</v>
      </c>
      <c r="BI65" s="230">
        <v>15462800</v>
      </c>
      <c r="BJ65" s="230">
        <v>-10271075</v>
      </c>
      <c r="BK65" s="229">
        <v>-0.66420000000000001</v>
      </c>
      <c r="BL65" s="230">
        <v>1622850</v>
      </c>
      <c r="BM65" s="230">
        <v>2978325</v>
      </c>
      <c r="BN65" s="230">
        <v>-1355475</v>
      </c>
      <c r="BO65" s="229">
        <v>-0.4551</v>
      </c>
      <c r="BP65" s="230">
        <v>9196925</v>
      </c>
      <c r="BQ65" s="230">
        <v>23462350</v>
      </c>
      <c r="BR65" s="230">
        <v>-14265425</v>
      </c>
      <c r="BS65" s="229">
        <v>-0.60799999999999998</v>
      </c>
      <c r="BT65" s="230">
        <v>2090584</v>
      </c>
      <c r="BU65" s="230">
        <v>3983966</v>
      </c>
      <c r="BV65" s="230">
        <v>-1893382</v>
      </c>
      <c r="BW65" s="229">
        <v>-0.4753</v>
      </c>
      <c r="BX65" s="230">
        <v>11459150</v>
      </c>
      <c r="BY65" s="230">
        <v>11552925</v>
      </c>
      <c r="BZ65" s="230">
        <v>-93775</v>
      </c>
      <c r="CA65" s="229">
        <v>-8.0999999999999996E-3</v>
      </c>
      <c r="CB65" s="230">
        <v>11254550</v>
      </c>
      <c r="CC65" s="230">
        <v>11359175</v>
      </c>
      <c r="CD65" s="230">
        <v>-104625</v>
      </c>
      <c r="CE65" s="229">
        <v>-9.1999999999999998E-3</v>
      </c>
      <c r="CF65" s="230">
        <v>183675</v>
      </c>
      <c r="CG65" s="230">
        <v>152675</v>
      </c>
      <c r="CH65" s="230">
        <v>31000</v>
      </c>
      <c r="CI65" s="229">
        <v>0.20300000000000001</v>
      </c>
      <c r="CJ65" s="230">
        <v>20925</v>
      </c>
      <c r="CK65" s="230">
        <v>41075</v>
      </c>
      <c r="CL65" s="230">
        <v>-20150</v>
      </c>
      <c r="CM65" s="229">
        <v>-0.49059999999999998</v>
      </c>
      <c r="CN65" s="230">
        <v>3214700</v>
      </c>
      <c r="CO65" s="230">
        <v>3005450</v>
      </c>
      <c r="CP65" s="230">
        <v>209250</v>
      </c>
      <c r="CQ65" s="229">
        <v>6.9599999999999995E-2</v>
      </c>
      <c r="CR65" s="230">
        <v>2101025</v>
      </c>
      <c r="CS65" s="230">
        <v>1935175</v>
      </c>
      <c r="CT65" s="230">
        <v>165850</v>
      </c>
      <c r="CU65" s="229">
        <v>8.5699999999999998E-2</v>
      </c>
      <c r="CV65" s="230">
        <v>16774875</v>
      </c>
      <c r="CW65" s="230">
        <v>16493550</v>
      </c>
      <c r="CX65" s="230">
        <v>281325</v>
      </c>
      <c r="CY65" s="229">
        <v>1.7100000000000001E-2</v>
      </c>
      <c r="CZ65" s="228">
        <v>25.72</v>
      </c>
      <c r="DA65" s="228">
        <v>26.02</v>
      </c>
      <c r="DB65" s="228">
        <v>-0.3</v>
      </c>
      <c r="DC65" s="228">
        <v>-0.3</v>
      </c>
      <c r="DD65" s="228">
        <v>35.020000000000003</v>
      </c>
      <c r="DE65" s="228">
        <v>35.1</v>
      </c>
      <c r="DF65" s="228">
        <v>-9.3000000000000007</v>
      </c>
      <c r="DG65" s="228">
        <v>-0.08</v>
      </c>
      <c r="DH65" s="228">
        <v>25.83</v>
      </c>
      <c r="DI65" s="228">
        <v>25.96</v>
      </c>
      <c r="DJ65" s="228">
        <v>-0.13</v>
      </c>
      <c r="DK65" s="228">
        <v>-0.13</v>
      </c>
      <c r="DL65" s="228">
        <v>25.38</v>
      </c>
      <c r="DM65" s="228">
        <v>26.32</v>
      </c>
      <c r="DN65" s="228">
        <v>-0.94</v>
      </c>
      <c r="DO65" s="228">
        <v>-0.94</v>
      </c>
      <c r="DP65" s="228">
        <v>0.65</v>
      </c>
      <c r="DQ65" s="228">
        <v>0.64</v>
      </c>
      <c r="DR65" s="228">
        <v>0.01</v>
      </c>
      <c r="DS65" s="229">
        <v>1.5599999999999999E-2</v>
      </c>
      <c r="DT65" s="231">
        <v>1000</v>
      </c>
      <c r="DU65" s="228">
        <v>900</v>
      </c>
      <c r="DV65" s="228">
        <v>0.31</v>
      </c>
      <c r="DW65" s="228">
        <v>0.19</v>
      </c>
      <c r="DX65" s="228">
        <v>0.12</v>
      </c>
      <c r="DY65" s="229">
        <v>0.63160000000000005</v>
      </c>
      <c r="DZ65" s="229">
        <v>1.7899999999999999E-2</v>
      </c>
      <c r="EA65" s="230">
        <v>193750</v>
      </c>
      <c r="EB65" s="229">
        <v>6.0000000000000001E-3</v>
      </c>
      <c r="EC65" s="229">
        <v>1.7899999999999999E-2</v>
      </c>
      <c r="ED65" s="228">
        <v>6.36</v>
      </c>
      <c r="EE65" s="229">
        <v>6.7000000000000002E-3</v>
      </c>
      <c r="EF65" s="230">
        <v>1203393</v>
      </c>
      <c r="EG65" s="230">
        <v>2472393</v>
      </c>
      <c r="EH65" s="229">
        <v>-0.51329999999999998</v>
      </c>
      <c r="EI65" s="229">
        <v>0.5756</v>
      </c>
      <c r="EJ65" s="231">
        <v>51158.58</v>
      </c>
      <c r="EK65" s="231">
        <v>14859.61</v>
      </c>
      <c r="EL65" s="231">
        <v>22516.42</v>
      </c>
      <c r="EM65" s="231">
        <v>3602</v>
      </c>
      <c r="EN65" s="231">
        <v>88534.61</v>
      </c>
      <c r="EO65" s="231">
        <v>224489.76</v>
      </c>
      <c r="EP65" s="231">
        <v>-135955.15</v>
      </c>
      <c r="EQ65" s="229">
        <v>-0.60560000000000003</v>
      </c>
      <c r="ER65" s="231">
        <v>30994</v>
      </c>
      <c r="ES65" s="231">
        <v>18883</v>
      </c>
      <c r="ET65" s="231">
        <v>108027</v>
      </c>
      <c r="EU65" s="231">
        <v>77949604</v>
      </c>
      <c r="EV65" s="231">
        <v>157905</v>
      </c>
      <c r="EW65" s="231">
        <v>155730</v>
      </c>
      <c r="EX65" s="231">
        <v>2175</v>
      </c>
      <c r="EY65" s="229">
        <v>1.4E-2</v>
      </c>
      <c r="EZ65" s="229">
        <v>0.2152</v>
      </c>
      <c r="FA65" s="227" t="s">
        <v>568</v>
      </c>
      <c r="FB65" s="161">
        <f t="shared" si="0"/>
        <v>204600</v>
      </c>
    </row>
    <row r="66" spans="1:158" ht="17.25" hidden="1" thickBot="1" x14ac:dyDescent="0.3">
      <c r="A66" s="226">
        <v>46029</v>
      </c>
      <c r="B66" s="227" t="s">
        <v>193</v>
      </c>
      <c r="C66" s="227" t="s">
        <v>213</v>
      </c>
      <c r="D66" s="228">
        <v>3150</v>
      </c>
      <c r="E66" s="228">
        <v>169.05</v>
      </c>
      <c r="F66" s="228">
        <v>170.07</v>
      </c>
      <c r="G66" s="228">
        <v>-1.02</v>
      </c>
      <c r="H66" s="229">
        <v>-6.0000000000000001E-3</v>
      </c>
      <c r="I66" s="228">
        <v>168.48</v>
      </c>
      <c r="J66" s="228">
        <v>169.39</v>
      </c>
      <c r="K66" s="228">
        <v>-0.91</v>
      </c>
      <c r="L66" s="229">
        <v>-5.4000000000000003E-3</v>
      </c>
      <c r="M66" s="228">
        <v>169.05</v>
      </c>
      <c r="N66" s="228">
        <v>170.07</v>
      </c>
      <c r="O66" s="228">
        <v>-1.02</v>
      </c>
      <c r="P66" s="229">
        <v>-6.0000000000000001E-3</v>
      </c>
      <c r="Q66" s="228">
        <v>170.05</v>
      </c>
      <c r="R66" s="228">
        <v>171.13</v>
      </c>
      <c r="S66" s="228">
        <v>-1.08</v>
      </c>
      <c r="T66" s="229">
        <v>-6.3E-3</v>
      </c>
      <c r="U66" s="228">
        <v>170.93</v>
      </c>
      <c r="V66" s="228">
        <v>172.12</v>
      </c>
      <c r="W66" s="228">
        <v>-1.19</v>
      </c>
      <c r="X66" s="229">
        <v>-6.8999999999999999E-3</v>
      </c>
      <c r="Y66" s="228">
        <v>0.56999999999999995</v>
      </c>
      <c r="Z66" s="228">
        <v>0.68</v>
      </c>
      <c r="AA66" s="228">
        <v>-0.11</v>
      </c>
      <c r="AB66" s="229">
        <v>3.3999999999999998E-3</v>
      </c>
      <c r="AC66" s="228">
        <v>0.56999999999999995</v>
      </c>
      <c r="AD66" s="228">
        <v>0.68</v>
      </c>
      <c r="AE66" s="228">
        <v>-0.11</v>
      </c>
      <c r="AF66" s="229">
        <v>3.3999999999999998E-3</v>
      </c>
      <c r="AG66" s="228">
        <v>1.57</v>
      </c>
      <c r="AH66" s="228">
        <v>1.74</v>
      </c>
      <c r="AI66" s="228">
        <v>-0.17</v>
      </c>
      <c r="AJ66" s="229">
        <v>9.2999999999999992E-3</v>
      </c>
      <c r="AK66" s="228">
        <v>2.4500000000000002</v>
      </c>
      <c r="AL66" s="228">
        <v>2.73</v>
      </c>
      <c r="AM66" s="228">
        <v>-0.28000000000000003</v>
      </c>
      <c r="AN66" s="229">
        <v>1.4500000000000001E-2</v>
      </c>
      <c r="AO66" s="228">
        <v>169.01</v>
      </c>
      <c r="AP66" s="228">
        <v>169.88</v>
      </c>
      <c r="AQ66" s="228">
        <v>0</v>
      </c>
      <c r="AR66" s="230">
        <v>12483450</v>
      </c>
      <c r="AS66" s="230">
        <v>14256900</v>
      </c>
      <c r="AT66" s="230">
        <v>-1773450</v>
      </c>
      <c r="AU66" s="229">
        <v>-0.1244</v>
      </c>
      <c r="AV66" s="230">
        <v>10971450</v>
      </c>
      <c r="AW66" s="230">
        <v>12836250</v>
      </c>
      <c r="AX66" s="230">
        <v>-1864800</v>
      </c>
      <c r="AY66" s="229">
        <v>-0.14530000000000001</v>
      </c>
      <c r="AZ66" s="230">
        <v>1231650</v>
      </c>
      <c r="BA66" s="230">
        <v>1200150</v>
      </c>
      <c r="BB66" s="230">
        <v>31500</v>
      </c>
      <c r="BC66" s="229">
        <v>2.6200000000000001E-2</v>
      </c>
      <c r="BD66" s="230">
        <v>280350</v>
      </c>
      <c r="BE66" s="230">
        <v>220500</v>
      </c>
      <c r="BF66" s="230">
        <v>59850</v>
      </c>
      <c r="BG66" s="229">
        <v>0.27139999999999997</v>
      </c>
      <c r="BH66" s="230">
        <v>26107200</v>
      </c>
      <c r="BI66" s="230">
        <v>25713450</v>
      </c>
      <c r="BJ66" s="230">
        <v>393750</v>
      </c>
      <c r="BK66" s="229">
        <v>1.5299999999999999E-2</v>
      </c>
      <c r="BL66" s="230">
        <v>14367150</v>
      </c>
      <c r="BM66" s="230">
        <v>14430150</v>
      </c>
      <c r="BN66" s="230">
        <v>-63000</v>
      </c>
      <c r="BO66" s="229">
        <v>-4.4000000000000003E-3</v>
      </c>
      <c r="BP66" s="230">
        <v>52957800</v>
      </c>
      <c r="BQ66" s="230">
        <v>54400500</v>
      </c>
      <c r="BR66" s="230">
        <v>-1442700</v>
      </c>
      <c r="BS66" s="229">
        <v>-2.6499999999999999E-2</v>
      </c>
      <c r="BT66" s="230">
        <v>8830104</v>
      </c>
      <c r="BU66" s="230">
        <v>10919565</v>
      </c>
      <c r="BV66" s="230">
        <v>-2089461</v>
      </c>
      <c r="BW66" s="229">
        <v>-0.19139999999999999</v>
      </c>
      <c r="BX66" s="230">
        <v>90666450</v>
      </c>
      <c r="BY66" s="230">
        <v>87245550</v>
      </c>
      <c r="BZ66" s="230">
        <v>3420900</v>
      </c>
      <c r="CA66" s="229">
        <v>3.9199999999999999E-2</v>
      </c>
      <c r="CB66" s="230">
        <v>85661100</v>
      </c>
      <c r="CC66" s="230">
        <v>83122200</v>
      </c>
      <c r="CD66" s="230">
        <v>2538900</v>
      </c>
      <c r="CE66" s="229">
        <v>3.0499999999999999E-2</v>
      </c>
      <c r="CF66" s="230">
        <v>4491900</v>
      </c>
      <c r="CG66" s="230">
        <v>3789450</v>
      </c>
      <c r="CH66" s="230">
        <v>702450</v>
      </c>
      <c r="CI66" s="229">
        <v>0.18540000000000001</v>
      </c>
      <c r="CJ66" s="230">
        <v>513450</v>
      </c>
      <c r="CK66" s="230">
        <v>333900</v>
      </c>
      <c r="CL66" s="230">
        <v>179550</v>
      </c>
      <c r="CM66" s="229">
        <v>0.53769999999999996</v>
      </c>
      <c r="CN66" s="230">
        <v>37047150</v>
      </c>
      <c r="CO66" s="230">
        <v>34130250</v>
      </c>
      <c r="CP66" s="230">
        <v>2916900</v>
      </c>
      <c r="CQ66" s="229">
        <v>8.5500000000000007E-2</v>
      </c>
      <c r="CR66" s="230">
        <v>32142600</v>
      </c>
      <c r="CS66" s="230">
        <v>30340800</v>
      </c>
      <c r="CT66" s="230">
        <v>1801800</v>
      </c>
      <c r="CU66" s="229">
        <v>5.9400000000000001E-2</v>
      </c>
      <c r="CV66" s="230">
        <v>159856200</v>
      </c>
      <c r="CW66" s="230">
        <v>151716600</v>
      </c>
      <c r="CX66" s="230">
        <v>8139600</v>
      </c>
      <c r="CY66" s="229">
        <v>5.3699999999999998E-2</v>
      </c>
      <c r="CZ66" s="228">
        <v>23.38</v>
      </c>
      <c r="DA66" s="228">
        <v>23</v>
      </c>
      <c r="DB66" s="228">
        <v>0.38</v>
      </c>
      <c r="DC66" s="228">
        <v>0.38</v>
      </c>
      <c r="DD66" s="228">
        <v>33.75</v>
      </c>
      <c r="DE66" s="228">
        <v>33.83</v>
      </c>
      <c r="DF66" s="228">
        <v>-10.37</v>
      </c>
      <c r="DG66" s="228">
        <v>-0.08</v>
      </c>
      <c r="DH66" s="228">
        <v>23.53</v>
      </c>
      <c r="DI66" s="228">
        <v>23.07</v>
      </c>
      <c r="DJ66" s="228">
        <v>0.46</v>
      </c>
      <c r="DK66" s="228">
        <v>0.46</v>
      </c>
      <c r="DL66" s="228">
        <v>23.09</v>
      </c>
      <c r="DM66" s="228">
        <v>22.87</v>
      </c>
      <c r="DN66" s="228">
        <v>0.22</v>
      </c>
      <c r="DO66" s="228">
        <v>0.22</v>
      </c>
      <c r="DP66" s="228">
        <v>0.87</v>
      </c>
      <c r="DQ66" s="228">
        <v>0.89</v>
      </c>
      <c r="DR66" s="228">
        <v>-0.02</v>
      </c>
      <c r="DS66" s="229">
        <v>-2.2499999999999999E-2</v>
      </c>
      <c r="DT66" s="228">
        <v>175</v>
      </c>
      <c r="DU66" s="228">
        <v>170</v>
      </c>
      <c r="DV66" s="228">
        <v>0.55000000000000004</v>
      </c>
      <c r="DW66" s="228">
        <v>0.56000000000000005</v>
      </c>
      <c r="DX66" s="228">
        <v>-0.01</v>
      </c>
      <c r="DY66" s="229">
        <v>-1.7899999999999999E-2</v>
      </c>
      <c r="DZ66" s="229">
        <v>5.5199999999999999E-2</v>
      </c>
      <c r="EA66" s="230">
        <v>4123350</v>
      </c>
      <c r="EB66" s="229">
        <v>5.8999999999999999E-3</v>
      </c>
      <c r="EC66" s="229">
        <v>5.5199999999999999E-2</v>
      </c>
      <c r="ED66" s="228">
        <v>0.87</v>
      </c>
      <c r="EE66" s="229">
        <v>5.1000000000000004E-3</v>
      </c>
      <c r="EF66" s="230">
        <v>5119557</v>
      </c>
      <c r="EG66" s="230">
        <v>6835230</v>
      </c>
      <c r="EH66" s="229">
        <v>-0.251</v>
      </c>
      <c r="EI66" s="229">
        <v>0.57979999999999998</v>
      </c>
      <c r="EJ66" s="231">
        <v>46186.49</v>
      </c>
      <c r="EK66" s="231">
        <v>24270.57</v>
      </c>
      <c r="EL66" s="231">
        <v>21115.07</v>
      </c>
      <c r="EM66" s="231">
        <v>3519</v>
      </c>
      <c r="EN66" s="231">
        <v>91572.13</v>
      </c>
      <c r="EO66" s="231">
        <v>95187.06</v>
      </c>
      <c r="EP66" s="231">
        <v>-3614.93</v>
      </c>
      <c r="EQ66" s="229">
        <v>-3.7999999999999999E-2</v>
      </c>
      <c r="ER66" s="231">
        <v>66243</v>
      </c>
      <c r="ES66" s="231">
        <v>55720</v>
      </c>
      <c r="ET66" s="231">
        <v>153326</v>
      </c>
      <c r="EU66" s="231">
        <v>435694919</v>
      </c>
      <c r="EV66" s="231">
        <v>275289</v>
      </c>
      <c r="EW66" s="231">
        <v>262438</v>
      </c>
      <c r="EX66" s="231">
        <v>12851</v>
      </c>
      <c r="EY66" s="229">
        <v>4.9000000000000002E-2</v>
      </c>
      <c r="EZ66" s="229">
        <v>0.3669</v>
      </c>
      <c r="FA66" s="227" t="s">
        <v>567</v>
      </c>
      <c r="FB66" s="161">
        <f t="shared" si="0"/>
        <v>5005350</v>
      </c>
    </row>
    <row r="67" spans="1:158" ht="17.25" hidden="1" thickBot="1" x14ac:dyDescent="0.3">
      <c r="A67" s="226">
        <v>46029</v>
      </c>
      <c r="B67" s="227" t="s">
        <v>170</v>
      </c>
      <c r="C67" s="227" t="s">
        <v>214</v>
      </c>
      <c r="D67" s="228">
        <v>375</v>
      </c>
      <c r="E67" s="231">
        <v>2122.5</v>
      </c>
      <c r="F67" s="231">
        <v>2085.5</v>
      </c>
      <c r="G67" s="228">
        <v>37</v>
      </c>
      <c r="H67" s="229">
        <v>1.77E-2</v>
      </c>
      <c r="I67" s="231">
        <v>2113.1</v>
      </c>
      <c r="J67" s="231">
        <v>2074.6</v>
      </c>
      <c r="K67" s="228">
        <v>38.5</v>
      </c>
      <c r="L67" s="229">
        <v>1.8599999999999998E-2</v>
      </c>
      <c r="M67" s="231">
        <v>2122.5</v>
      </c>
      <c r="N67" s="231">
        <v>2085.5</v>
      </c>
      <c r="O67" s="228">
        <v>37</v>
      </c>
      <c r="P67" s="229">
        <v>1.77E-2</v>
      </c>
      <c r="Q67" s="231">
        <v>2134.1</v>
      </c>
      <c r="R67" s="231">
        <v>2095.9</v>
      </c>
      <c r="S67" s="228">
        <v>38.200000000000003</v>
      </c>
      <c r="T67" s="229">
        <v>1.8200000000000001E-2</v>
      </c>
      <c r="U67" s="231">
        <v>2149.1</v>
      </c>
      <c r="V67" s="231">
        <v>2102.1999999999998</v>
      </c>
      <c r="W67" s="228">
        <v>46.9</v>
      </c>
      <c r="X67" s="229">
        <v>2.23E-2</v>
      </c>
      <c r="Y67" s="228">
        <v>9.4</v>
      </c>
      <c r="Z67" s="228">
        <v>10.9</v>
      </c>
      <c r="AA67" s="228">
        <v>-1.5</v>
      </c>
      <c r="AB67" s="229">
        <v>4.4000000000000003E-3</v>
      </c>
      <c r="AC67" s="228">
        <v>9.4</v>
      </c>
      <c r="AD67" s="228">
        <v>10.9</v>
      </c>
      <c r="AE67" s="228">
        <v>-1.5</v>
      </c>
      <c r="AF67" s="229">
        <v>4.4000000000000003E-3</v>
      </c>
      <c r="AG67" s="228">
        <v>21</v>
      </c>
      <c r="AH67" s="228">
        <v>21.3</v>
      </c>
      <c r="AI67" s="228">
        <v>-0.3</v>
      </c>
      <c r="AJ67" s="229">
        <v>9.9000000000000008E-3</v>
      </c>
      <c r="AK67" s="228">
        <v>36</v>
      </c>
      <c r="AL67" s="228">
        <v>27.6</v>
      </c>
      <c r="AM67" s="228">
        <v>8.4</v>
      </c>
      <c r="AN67" s="229">
        <v>1.7000000000000001E-2</v>
      </c>
      <c r="AO67" s="231">
        <v>2129.21</v>
      </c>
      <c r="AP67" s="231">
        <v>2138.37</v>
      </c>
      <c r="AQ67" s="228">
        <v>0</v>
      </c>
      <c r="AR67" s="230">
        <v>4146000</v>
      </c>
      <c r="AS67" s="230">
        <v>1312125</v>
      </c>
      <c r="AT67" s="230">
        <v>2833875</v>
      </c>
      <c r="AU67" s="229">
        <v>2.1598000000000002</v>
      </c>
      <c r="AV67" s="230">
        <v>4052625</v>
      </c>
      <c r="AW67" s="230">
        <v>1282875</v>
      </c>
      <c r="AX67" s="230">
        <v>2769750</v>
      </c>
      <c r="AY67" s="229">
        <v>2.1589999999999998</v>
      </c>
      <c r="AZ67" s="230">
        <v>80250</v>
      </c>
      <c r="BA67" s="230">
        <v>26625</v>
      </c>
      <c r="BB67" s="230">
        <v>53625</v>
      </c>
      <c r="BC67" s="229">
        <v>2.0141</v>
      </c>
      <c r="BD67" s="230">
        <v>13125</v>
      </c>
      <c r="BE67" s="230">
        <v>2625</v>
      </c>
      <c r="BF67" s="230">
        <v>10500</v>
      </c>
      <c r="BG67" s="229">
        <v>4</v>
      </c>
      <c r="BH67" s="230">
        <v>16692375</v>
      </c>
      <c r="BI67" s="230">
        <v>2728500</v>
      </c>
      <c r="BJ67" s="230">
        <v>13963875</v>
      </c>
      <c r="BK67" s="229">
        <v>5.1177999999999999</v>
      </c>
      <c r="BL67" s="230">
        <v>5479500</v>
      </c>
      <c r="BM67" s="230">
        <v>1205625</v>
      </c>
      <c r="BN67" s="230">
        <v>4273875</v>
      </c>
      <c r="BO67" s="229">
        <v>3.5449000000000002</v>
      </c>
      <c r="BP67" s="230">
        <v>26317875</v>
      </c>
      <c r="BQ67" s="230">
        <v>5246250</v>
      </c>
      <c r="BR67" s="230">
        <v>21071625</v>
      </c>
      <c r="BS67" s="229">
        <v>4.0164999999999997</v>
      </c>
      <c r="BT67" s="230">
        <v>1308768</v>
      </c>
      <c r="BU67" s="230">
        <v>228808</v>
      </c>
      <c r="BV67" s="230">
        <v>1079960</v>
      </c>
      <c r="BW67" s="229">
        <v>4.7199</v>
      </c>
      <c r="BX67" s="230">
        <v>11320125</v>
      </c>
      <c r="BY67" s="230">
        <v>11449875</v>
      </c>
      <c r="BZ67" s="230">
        <v>-129750</v>
      </c>
      <c r="CA67" s="229">
        <v>-1.1299999999999999E-2</v>
      </c>
      <c r="CB67" s="230">
        <v>11259375</v>
      </c>
      <c r="CC67" s="230">
        <v>11393625</v>
      </c>
      <c r="CD67" s="230">
        <v>-134250</v>
      </c>
      <c r="CE67" s="229">
        <v>-1.18E-2</v>
      </c>
      <c r="CF67" s="230">
        <v>49125</v>
      </c>
      <c r="CG67" s="230">
        <v>48000</v>
      </c>
      <c r="CH67" s="230">
        <v>1125</v>
      </c>
      <c r="CI67" s="229">
        <v>2.3400000000000001E-2</v>
      </c>
      <c r="CJ67" s="230">
        <v>11625</v>
      </c>
      <c r="CK67" s="230">
        <v>8250</v>
      </c>
      <c r="CL67" s="230">
        <v>3375</v>
      </c>
      <c r="CM67" s="229">
        <v>0.40910000000000002</v>
      </c>
      <c r="CN67" s="230">
        <v>3172500</v>
      </c>
      <c r="CO67" s="230">
        <v>2373375</v>
      </c>
      <c r="CP67" s="230">
        <v>799125</v>
      </c>
      <c r="CQ67" s="229">
        <v>0.3367</v>
      </c>
      <c r="CR67" s="230">
        <v>1655625</v>
      </c>
      <c r="CS67" s="230">
        <v>1345500</v>
      </c>
      <c r="CT67" s="230">
        <v>310125</v>
      </c>
      <c r="CU67" s="229">
        <v>0.23050000000000001</v>
      </c>
      <c r="CV67" s="230">
        <v>16148250</v>
      </c>
      <c r="CW67" s="230">
        <v>15168750</v>
      </c>
      <c r="CX67" s="230">
        <v>979500</v>
      </c>
      <c r="CY67" s="229">
        <v>6.4600000000000005E-2</v>
      </c>
      <c r="CZ67" s="228">
        <v>26.4</v>
      </c>
      <c r="DA67" s="228">
        <v>25.25</v>
      </c>
      <c r="DB67" s="228">
        <v>1.1499999999999999</v>
      </c>
      <c r="DC67" s="228">
        <v>1.1499999999999999</v>
      </c>
      <c r="DD67" s="228">
        <v>35.299999999999997</v>
      </c>
      <c r="DE67" s="228">
        <v>35.31</v>
      </c>
      <c r="DF67" s="228">
        <v>-8.9</v>
      </c>
      <c r="DG67" s="228">
        <v>-0.01</v>
      </c>
      <c r="DH67" s="228">
        <v>26.46</v>
      </c>
      <c r="DI67" s="228">
        <v>25.11</v>
      </c>
      <c r="DJ67" s="228">
        <v>1.35</v>
      </c>
      <c r="DK67" s="228">
        <v>1.35</v>
      </c>
      <c r="DL67" s="228">
        <v>26.2</v>
      </c>
      <c r="DM67" s="228">
        <v>25.56</v>
      </c>
      <c r="DN67" s="228">
        <v>0.64</v>
      </c>
      <c r="DO67" s="228">
        <v>0.64</v>
      </c>
      <c r="DP67" s="228">
        <v>0.52</v>
      </c>
      <c r="DQ67" s="228">
        <v>0.56999999999999995</v>
      </c>
      <c r="DR67" s="228">
        <v>-0.05</v>
      </c>
      <c r="DS67" s="229">
        <v>-8.77E-2</v>
      </c>
      <c r="DT67" s="231">
        <v>2200</v>
      </c>
      <c r="DU67" s="231">
        <v>2000</v>
      </c>
      <c r="DV67" s="228">
        <v>0.33</v>
      </c>
      <c r="DW67" s="228">
        <v>0.44</v>
      </c>
      <c r="DX67" s="228">
        <v>-0.11</v>
      </c>
      <c r="DY67" s="229">
        <v>-0.25</v>
      </c>
      <c r="DZ67" s="229">
        <v>5.4000000000000003E-3</v>
      </c>
      <c r="EA67" s="230">
        <v>56250</v>
      </c>
      <c r="EB67" s="229">
        <v>5.4999999999999997E-3</v>
      </c>
      <c r="EC67" s="229">
        <v>5.4000000000000003E-3</v>
      </c>
      <c r="ED67" s="228">
        <v>9.16</v>
      </c>
      <c r="EE67" s="229">
        <v>4.3E-3</v>
      </c>
      <c r="EF67" s="230">
        <v>386848</v>
      </c>
      <c r="EG67" s="230">
        <v>95055</v>
      </c>
      <c r="EH67" s="229">
        <v>3.0697000000000001</v>
      </c>
      <c r="EI67" s="229">
        <v>0.29559999999999997</v>
      </c>
      <c r="EJ67" s="231">
        <v>367317.06</v>
      </c>
      <c r="EK67" s="231">
        <v>113895.86</v>
      </c>
      <c r="EL67" s="231">
        <v>88286.95</v>
      </c>
      <c r="EM67" s="231">
        <v>3120</v>
      </c>
      <c r="EN67" s="231">
        <v>569499.87</v>
      </c>
      <c r="EO67" s="231">
        <v>110510.73</v>
      </c>
      <c r="EP67" s="231">
        <v>458989.14</v>
      </c>
      <c r="EQ67" s="229">
        <v>4.1532999999999998</v>
      </c>
      <c r="ER67" s="231">
        <v>68254</v>
      </c>
      <c r="ES67" s="231">
        <v>32862</v>
      </c>
      <c r="ET67" s="231">
        <v>240278</v>
      </c>
      <c r="EU67" s="231">
        <v>22585180</v>
      </c>
      <c r="EV67" s="231">
        <v>341395</v>
      </c>
      <c r="EW67" s="231">
        <v>315440</v>
      </c>
      <c r="EX67" s="231">
        <v>25955</v>
      </c>
      <c r="EY67" s="229">
        <v>8.2299999999999998E-2</v>
      </c>
      <c r="EZ67" s="229">
        <v>0.71499999999999997</v>
      </c>
      <c r="FA67" s="227" t="s">
        <v>556</v>
      </c>
      <c r="FB67" s="161">
        <f t="shared" ref="FB67:FB130" si="1">BX67-CB67</f>
        <v>60750</v>
      </c>
    </row>
    <row r="68" spans="1:158" ht="17.25" hidden="1" thickBot="1" x14ac:dyDescent="0.3">
      <c r="A68" s="226">
        <v>46029</v>
      </c>
      <c r="B68" s="227" t="s">
        <v>215</v>
      </c>
      <c r="C68" s="227" t="s">
        <v>631</v>
      </c>
      <c r="D68" s="228">
        <v>6975</v>
      </c>
      <c r="E68" s="228">
        <v>105.03</v>
      </c>
      <c r="F68" s="228">
        <v>105</v>
      </c>
      <c r="G68" s="228">
        <v>0.03</v>
      </c>
      <c r="H68" s="229">
        <v>2.9999999999999997E-4</v>
      </c>
      <c r="I68" s="228">
        <v>104.51</v>
      </c>
      <c r="J68" s="228">
        <v>104.52</v>
      </c>
      <c r="K68" s="228">
        <v>-0.01</v>
      </c>
      <c r="L68" s="229">
        <v>-1E-4</v>
      </c>
      <c r="M68" s="228">
        <v>105.03</v>
      </c>
      <c r="N68" s="228">
        <v>105</v>
      </c>
      <c r="O68" s="228">
        <v>0.03</v>
      </c>
      <c r="P68" s="229">
        <v>2.9999999999999997E-4</v>
      </c>
      <c r="Q68" s="228">
        <v>105.67</v>
      </c>
      <c r="R68" s="228">
        <v>105.58</v>
      </c>
      <c r="S68" s="228">
        <v>0.09</v>
      </c>
      <c r="T68" s="229">
        <v>8.9999999999999998E-4</v>
      </c>
      <c r="U68" s="228">
        <v>106.6</v>
      </c>
      <c r="V68" s="228">
        <v>106.22</v>
      </c>
      <c r="W68" s="228">
        <v>0.38</v>
      </c>
      <c r="X68" s="229">
        <v>3.5999999999999999E-3</v>
      </c>
      <c r="Y68" s="228">
        <v>0.52</v>
      </c>
      <c r="Z68" s="228">
        <v>0.48</v>
      </c>
      <c r="AA68" s="228">
        <v>0.04</v>
      </c>
      <c r="AB68" s="229">
        <v>5.0000000000000001E-3</v>
      </c>
      <c r="AC68" s="228">
        <v>0.52</v>
      </c>
      <c r="AD68" s="228">
        <v>0.48</v>
      </c>
      <c r="AE68" s="228">
        <v>0.04</v>
      </c>
      <c r="AF68" s="229">
        <v>5.0000000000000001E-3</v>
      </c>
      <c r="AG68" s="228">
        <v>1.1599999999999999</v>
      </c>
      <c r="AH68" s="228">
        <v>1.06</v>
      </c>
      <c r="AI68" s="228">
        <v>0.1</v>
      </c>
      <c r="AJ68" s="229">
        <v>1.11E-2</v>
      </c>
      <c r="AK68" s="228">
        <v>2.09</v>
      </c>
      <c r="AL68" s="228">
        <v>1.7</v>
      </c>
      <c r="AM68" s="228">
        <v>0.39</v>
      </c>
      <c r="AN68" s="229">
        <v>0.02</v>
      </c>
      <c r="AO68" s="228">
        <v>104.91</v>
      </c>
      <c r="AP68" s="228">
        <v>105.45</v>
      </c>
      <c r="AQ68" s="228">
        <v>0</v>
      </c>
      <c r="AR68" s="230">
        <v>26128350</v>
      </c>
      <c r="AS68" s="230">
        <v>24914700</v>
      </c>
      <c r="AT68" s="230">
        <v>1213650</v>
      </c>
      <c r="AU68" s="229">
        <v>4.87E-2</v>
      </c>
      <c r="AV68" s="230">
        <v>24817050</v>
      </c>
      <c r="AW68" s="230">
        <v>23331375</v>
      </c>
      <c r="AX68" s="230">
        <v>1485675</v>
      </c>
      <c r="AY68" s="229">
        <v>6.3700000000000007E-2</v>
      </c>
      <c r="AZ68" s="230">
        <v>1234575</v>
      </c>
      <c r="BA68" s="230">
        <v>1485675</v>
      </c>
      <c r="BB68" s="230">
        <v>-251100</v>
      </c>
      <c r="BC68" s="229">
        <v>-0.16900000000000001</v>
      </c>
      <c r="BD68" s="230">
        <v>76725</v>
      </c>
      <c r="BE68" s="230">
        <v>97650</v>
      </c>
      <c r="BF68" s="230">
        <v>-20925</v>
      </c>
      <c r="BG68" s="229">
        <v>-0.21429999999999999</v>
      </c>
      <c r="BH68" s="230">
        <v>54495675</v>
      </c>
      <c r="BI68" s="230">
        <v>51887025</v>
      </c>
      <c r="BJ68" s="230">
        <v>2608650</v>
      </c>
      <c r="BK68" s="229">
        <v>5.0299999999999997E-2</v>
      </c>
      <c r="BL68" s="230">
        <v>15407775</v>
      </c>
      <c r="BM68" s="230">
        <v>17988525</v>
      </c>
      <c r="BN68" s="230">
        <v>-2580750</v>
      </c>
      <c r="BO68" s="229">
        <v>-0.14349999999999999</v>
      </c>
      <c r="BP68" s="230">
        <v>96031800</v>
      </c>
      <c r="BQ68" s="230">
        <v>94790250</v>
      </c>
      <c r="BR68" s="230">
        <v>1241550</v>
      </c>
      <c r="BS68" s="229">
        <v>1.3100000000000001E-2</v>
      </c>
      <c r="BT68" s="230">
        <v>11690565</v>
      </c>
      <c r="BU68" s="230">
        <v>5695438</v>
      </c>
      <c r="BV68" s="230">
        <v>5995127</v>
      </c>
      <c r="BW68" s="229">
        <v>1.0526</v>
      </c>
      <c r="BX68" s="230">
        <v>172101150</v>
      </c>
      <c r="BY68" s="230">
        <v>169527375</v>
      </c>
      <c r="BZ68" s="230">
        <v>2573775</v>
      </c>
      <c r="CA68" s="229">
        <v>1.52E-2</v>
      </c>
      <c r="CB68" s="230">
        <v>167100075</v>
      </c>
      <c r="CC68" s="230">
        <v>164889000</v>
      </c>
      <c r="CD68" s="230">
        <v>2211075</v>
      </c>
      <c r="CE68" s="229">
        <v>1.34E-2</v>
      </c>
      <c r="CF68" s="230">
        <v>4464000</v>
      </c>
      <c r="CG68" s="230">
        <v>4164075</v>
      </c>
      <c r="CH68" s="230">
        <v>299925</v>
      </c>
      <c r="CI68" s="229">
        <v>7.1999999999999995E-2</v>
      </c>
      <c r="CJ68" s="230">
        <v>537075</v>
      </c>
      <c r="CK68" s="230">
        <v>474300</v>
      </c>
      <c r="CL68" s="230">
        <v>62775</v>
      </c>
      <c r="CM68" s="229">
        <v>0.13239999999999999</v>
      </c>
      <c r="CN68" s="230">
        <v>95159925</v>
      </c>
      <c r="CO68" s="230">
        <v>89949600</v>
      </c>
      <c r="CP68" s="230">
        <v>5210325</v>
      </c>
      <c r="CQ68" s="229">
        <v>5.79E-2</v>
      </c>
      <c r="CR68" s="230">
        <v>53519175</v>
      </c>
      <c r="CS68" s="230">
        <v>51615000</v>
      </c>
      <c r="CT68" s="230">
        <v>1904175</v>
      </c>
      <c r="CU68" s="229">
        <v>3.6900000000000002E-2</v>
      </c>
      <c r="CV68" s="230">
        <v>320780250</v>
      </c>
      <c r="CW68" s="230">
        <v>311091975</v>
      </c>
      <c r="CX68" s="230">
        <v>9688275</v>
      </c>
      <c r="CY68" s="229">
        <v>3.1099999999999999E-2</v>
      </c>
      <c r="CZ68" s="228">
        <v>29.98</v>
      </c>
      <c r="DA68" s="228">
        <v>29.85</v>
      </c>
      <c r="DB68" s="228">
        <v>0.13</v>
      </c>
      <c r="DC68" s="228">
        <v>0.13</v>
      </c>
      <c r="DD68" s="228">
        <v>36.32</v>
      </c>
      <c r="DE68" s="228">
        <v>36.409999999999997</v>
      </c>
      <c r="DF68" s="228">
        <v>-6.34</v>
      </c>
      <c r="DG68" s="228">
        <v>-0.09</v>
      </c>
      <c r="DH68" s="228">
        <v>30.25</v>
      </c>
      <c r="DI68" s="228">
        <v>30.05</v>
      </c>
      <c r="DJ68" s="228">
        <v>0.2</v>
      </c>
      <c r="DK68" s="228">
        <v>0.2</v>
      </c>
      <c r="DL68" s="228">
        <v>29.05</v>
      </c>
      <c r="DM68" s="228">
        <v>29.28</v>
      </c>
      <c r="DN68" s="228">
        <v>-0.23</v>
      </c>
      <c r="DO68" s="228">
        <v>-0.23</v>
      </c>
      <c r="DP68" s="228">
        <v>0.56000000000000005</v>
      </c>
      <c r="DQ68" s="228">
        <v>0.56999999999999995</v>
      </c>
      <c r="DR68" s="228">
        <v>-0.01</v>
      </c>
      <c r="DS68" s="229">
        <v>-1.7500000000000002E-2</v>
      </c>
      <c r="DT68" s="228">
        <v>110</v>
      </c>
      <c r="DU68" s="228">
        <v>98</v>
      </c>
      <c r="DV68" s="228">
        <v>0.28000000000000003</v>
      </c>
      <c r="DW68" s="228">
        <v>0.35</v>
      </c>
      <c r="DX68" s="228">
        <v>-7.0000000000000007E-2</v>
      </c>
      <c r="DY68" s="229">
        <v>-0.2</v>
      </c>
      <c r="DZ68" s="229">
        <v>2.9100000000000001E-2</v>
      </c>
      <c r="EA68" s="230">
        <v>4638375</v>
      </c>
      <c r="EB68" s="229">
        <v>6.1000000000000004E-3</v>
      </c>
      <c r="EC68" s="229">
        <v>2.9100000000000001E-2</v>
      </c>
      <c r="ED68" s="228">
        <v>0.54</v>
      </c>
      <c r="EE68" s="229">
        <v>5.1000000000000004E-3</v>
      </c>
      <c r="EF68" s="230">
        <v>6170933</v>
      </c>
      <c r="EG68" s="230">
        <v>2671950</v>
      </c>
      <c r="EH68" s="229">
        <v>1.3095000000000001</v>
      </c>
      <c r="EI68" s="229">
        <v>0.52790000000000004</v>
      </c>
      <c r="EJ68" s="231">
        <v>59836.29</v>
      </c>
      <c r="EK68" s="231">
        <v>16045.59</v>
      </c>
      <c r="EL68" s="231">
        <v>27418.11</v>
      </c>
      <c r="EM68" s="231">
        <v>3651</v>
      </c>
      <c r="EN68" s="231">
        <v>103299.99</v>
      </c>
      <c r="EO68" s="231">
        <v>102021.13</v>
      </c>
      <c r="EP68" s="231">
        <v>1278.8599999999999</v>
      </c>
      <c r="EQ68" s="229">
        <v>1.2500000000000001E-2</v>
      </c>
      <c r="ER68" s="231">
        <v>103538</v>
      </c>
      <c r="ES68" s="231">
        <v>53692</v>
      </c>
      <c r="ET68" s="231">
        <v>180795</v>
      </c>
      <c r="EU68" s="231">
        <v>534704421</v>
      </c>
      <c r="EV68" s="231">
        <v>338025</v>
      </c>
      <c r="EW68" s="231">
        <v>327615</v>
      </c>
      <c r="EX68" s="231">
        <v>10410</v>
      </c>
      <c r="EY68" s="229">
        <v>3.1800000000000002E-2</v>
      </c>
      <c r="EZ68" s="229">
        <v>0.59989999999999999</v>
      </c>
      <c r="FA68" s="227" t="s">
        <v>555</v>
      </c>
      <c r="FB68" s="161">
        <f t="shared" si="1"/>
        <v>5001075</v>
      </c>
    </row>
    <row r="69" spans="1:158" ht="17.25" hidden="1" thickBot="1" x14ac:dyDescent="0.3">
      <c r="A69" s="226">
        <v>46029</v>
      </c>
      <c r="B69" s="227" t="s">
        <v>168</v>
      </c>
      <c r="C69" s="227" t="s">
        <v>217</v>
      </c>
      <c r="D69" s="228">
        <v>500</v>
      </c>
      <c r="E69" s="231">
        <v>1250.5999999999999</v>
      </c>
      <c r="F69" s="231">
        <v>1260.2</v>
      </c>
      <c r="G69" s="228">
        <v>-9.6</v>
      </c>
      <c r="H69" s="229">
        <v>-7.6E-3</v>
      </c>
      <c r="I69" s="231">
        <v>1247.7</v>
      </c>
      <c r="J69" s="231">
        <v>1254</v>
      </c>
      <c r="K69" s="228">
        <v>-6.3</v>
      </c>
      <c r="L69" s="229">
        <v>-5.0000000000000001E-3</v>
      </c>
      <c r="M69" s="231">
        <v>1250.5999999999999</v>
      </c>
      <c r="N69" s="231">
        <v>1260.2</v>
      </c>
      <c r="O69" s="228">
        <v>-9.6</v>
      </c>
      <c r="P69" s="229">
        <v>-7.6E-3</v>
      </c>
      <c r="Q69" s="231">
        <v>1252.5999999999999</v>
      </c>
      <c r="R69" s="231">
        <v>1261</v>
      </c>
      <c r="S69" s="228">
        <v>-8.4</v>
      </c>
      <c r="T69" s="229">
        <v>-6.7000000000000002E-3</v>
      </c>
      <c r="U69" s="231">
        <v>1260.5999999999999</v>
      </c>
      <c r="V69" s="231">
        <v>1235.5999999999999</v>
      </c>
      <c r="W69" s="228">
        <v>25</v>
      </c>
      <c r="X69" s="229">
        <v>2.0199999999999999E-2</v>
      </c>
      <c r="Y69" s="228">
        <v>2.9</v>
      </c>
      <c r="Z69" s="228">
        <v>6.2</v>
      </c>
      <c r="AA69" s="228">
        <v>-3.3</v>
      </c>
      <c r="AB69" s="229">
        <v>2.3E-3</v>
      </c>
      <c r="AC69" s="228">
        <v>2.9</v>
      </c>
      <c r="AD69" s="228">
        <v>6.2</v>
      </c>
      <c r="AE69" s="228">
        <v>-3.3</v>
      </c>
      <c r="AF69" s="229">
        <v>2.3E-3</v>
      </c>
      <c r="AG69" s="228">
        <v>4.9000000000000004</v>
      </c>
      <c r="AH69" s="228">
        <v>7</v>
      </c>
      <c r="AI69" s="228">
        <v>-2.1</v>
      </c>
      <c r="AJ69" s="229">
        <v>3.8999999999999998E-3</v>
      </c>
      <c r="AK69" s="228">
        <v>12.9</v>
      </c>
      <c r="AL69" s="228">
        <v>-18.399999999999999</v>
      </c>
      <c r="AM69" s="228">
        <v>31.3</v>
      </c>
      <c r="AN69" s="229">
        <v>1.03E-2</v>
      </c>
      <c r="AO69" s="231">
        <v>1255.75</v>
      </c>
      <c r="AP69" s="231">
        <v>1257.79</v>
      </c>
      <c r="AQ69" s="228">
        <v>0</v>
      </c>
      <c r="AR69" s="230">
        <v>3191000</v>
      </c>
      <c r="AS69" s="230">
        <v>1153500</v>
      </c>
      <c r="AT69" s="230">
        <v>2037500</v>
      </c>
      <c r="AU69" s="229">
        <v>1.7664</v>
      </c>
      <c r="AV69" s="230">
        <v>3112000</v>
      </c>
      <c r="AW69" s="230">
        <v>1128000</v>
      </c>
      <c r="AX69" s="230">
        <v>1984000</v>
      </c>
      <c r="AY69" s="229">
        <v>1.7588999999999999</v>
      </c>
      <c r="AZ69" s="230">
        <v>74500</v>
      </c>
      <c r="BA69" s="230">
        <v>25500</v>
      </c>
      <c r="BB69" s="230">
        <v>49000</v>
      </c>
      <c r="BC69" s="229">
        <v>1.9216</v>
      </c>
      <c r="BD69" s="230">
        <v>4500</v>
      </c>
      <c r="BE69" s="228">
        <v>0</v>
      </c>
      <c r="BF69" s="230">
        <v>4500</v>
      </c>
      <c r="BG69" s="229">
        <v>0</v>
      </c>
      <c r="BH69" s="230">
        <v>6250000</v>
      </c>
      <c r="BI69" s="230">
        <v>1627500</v>
      </c>
      <c r="BJ69" s="230">
        <v>4622500</v>
      </c>
      <c r="BK69" s="229">
        <v>2.8401999999999998</v>
      </c>
      <c r="BL69" s="230">
        <v>1861500</v>
      </c>
      <c r="BM69" s="230">
        <v>661500</v>
      </c>
      <c r="BN69" s="230">
        <v>1200000</v>
      </c>
      <c r="BO69" s="229">
        <v>1.8141</v>
      </c>
      <c r="BP69" s="230">
        <v>11302500</v>
      </c>
      <c r="BQ69" s="230">
        <v>3442500</v>
      </c>
      <c r="BR69" s="230">
        <v>7860000</v>
      </c>
      <c r="BS69" s="229">
        <v>2.2831999999999999</v>
      </c>
      <c r="BT69" s="230">
        <v>1690128</v>
      </c>
      <c r="BU69" s="230">
        <v>615200</v>
      </c>
      <c r="BV69" s="230">
        <v>1074928</v>
      </c>
      <c r="BW69" s="229">
        <v>1.7473000000000001</v>
      </c>
      <c r="BX69" s="230">
        <v>9282500</v>
      </c>
      <c r="BY69" s="230">
        <v>9648000</v>
      </c>
      <c r="BZ69" s="230">
        <v>-365500</v>
      </c>
      <c r="CA69" s="229">
        <v>-3.7900000000000003E-2</v>
      </c>
      <c r="CB69" s="230">
        <v>9221500</v>
      </c>
      <c r="CC69" s="230">
        <v>9610000</v>
      </c>
      <c r="CD69" s="230">
        <v>-388500</v>
      </c>
      <c r="CE69" s="229">
        <v>-4.0399999999999998E-2</v>
      </c>
      <c r="CF69" s="230">
        <v>57000</v>
      </c>
      <c r="CG69" s="230">
        <v>37500</v>
      </c>
      <c r="CH69" s="230">
        <v>19500</v>
      </c>
      <c r="CI69" s="229">
        <v>0.52</v>
      </c>
      <c r="CJ69" s="230">
        <v>4000</v>
      </c>
      <c r="CK69" s="228">
        <v>500</v>
      </c>
      <c r="CL69" s="230">
        <v>3500</v>
      </c>
      <c r="CM69" s="229">
        <v>7</v>
      </c>
      <c r="CN69" s="230">
        <v>1916500</v>
      </c>
      <c r="CO69" s="230">
        <v>1267000</v>
      </c>
      <c r="CP69" s="230">
        <v>649500</v>
      </c>
      <c r="CQ69" s="229">
        <v>0.51259999999999994</v>
      </c>
      <c r="CR69" s="230">
        <v>1253000</v>
      </c>
      <c r="CS69" s="230">
        <v>1043000</v>
      </c>
      <c r="CT69" s="230">
        <v>210000</v>
      </c>
      <c r="CU69" s="229">
        <v>0.20130000000000001</v>
      </c>
      <c r="CV69" s="230">
        <v>12452000</v>
      </c>
      <c r="CW69" s="230">
        <v>11958000</v>
      </c>
      <c r="CX69" s="230">
        <v>494000</v>
      </c>
      <c r="CY69" s="229">
        <v>4.1300000000000003E-2</v>
      </c>
      <c r="CZ69" s="228">
        <v>26.65</v>
      </c>
      <c r="DA69" s="228">
        <v>26.86</v>
      </c>
      <c r="DB69" s="228">
        <v>-0.21</v>
      </c>
      <c r="DC69" s="228">
        <v>-0.21</v>
      </c>
      <c r="DD69" s="228">
        <v>28.13</v>
      </c>
      <c r="DE69" s="228">
        <v>28.2</v>
      </c>
      <c r="DF69" s="228">
        <v>-1.48</v>
      </c>
      <c r="DG69" s="228">
        <v>-7.0000000000000007E-2</v>
      </c>
      <c r="DH69" s="228">
        <v>26.61</v>
      </c>
      <c r="DI69" s="228">
        <v>26.5</v>
      </c>
      <c r="DJ69" s="228">
        <v>0.11</v>
      </c>
      <c r="DK69" s="228">
        <v>0.11</v>
      </c>
      <c r="DL69" s="228">
        <v>26.77</v>
      </c>
      <c r="DM69" s="228">
        <v>27.74</v>
      </c>
      <c r="DN69" s="228">
        <v>-0.97</v>
      </c>
      <c r="DO69" s="228">
        <v>-0.97</v>
      </c>
      <c r="DP69" s="228">
        <v>0.65</v>
      </c>
      <c r="DQ69" s="228">
        <v>0.82</v>
      </c>
      <c r="DR69" s="228">
        <v>-0.17</v>
      </c>
      <c r="DS69" s="229">
        <v>-0.20730000000000001</v>
      </c>
      <c r="DT69" s="231">
        <v>1260</v>
      </c>
      <c r="DU69" s="231">
        <v>1200</v>
      </c>
      <c r="DV69" s="228">
        <v>0.3</v>
      </c>
      <c r="DW69" s="228">
        <v>0.41</v>
      </c>
      <c r="DX69" s="228">
        <v>-0.11</v>
      </c>
      <c r="DY69" s="229">
        <v>-0.26829999999999998</v>
      </c>
      <c r="DZ69" s="229">
        <v>6.6E-3</v>
      </c>
      <c r="EA69" s="230">
        <v>38000</v>
      </c>
      <c r="EB69" s="229">
        <v>1.6000000000000001E-3</v>
      </c>
      <c r="EC69" s="229">
        <v>6.6E-3</v>
      </c>
      <c r="ED69" s="228">
        <v>2.04</v>
      </c>
      <c r="EE69" s="229">
        <v>1.6000000000000001E-3</v>
      </c>
      <c r="EF69" s="230">
        <v>859593</v>
      </c>
      <c r="EG69" s="230">
        <v>382797</v>
      </c>
      <c r="EH69" s="229">
        <v>1.2456</v>
      </c>
      <c r="EI69" s="229">
        <v>0.50860000000000005</v>
      </c>
      <c r="EJ69" s="231">
        <v>81777</v>
      </c>
      <c r="EK69" s="231">
        <v>23200.36</v>
      </c>
      <c r="EL69" s="231">
        <v>40072.75</v>
      </c>
      <c r="EM69" s="231">
        <v>2394</v>
      </c>
      <c r="EN69" s="231">
        <v>145050.10999999999</v>
      </c>
      <c r="EO69" s="231">
        <v>43702.92</v>
      </c>
      <c r="EP69" s="231">
        <v>101347.19</v>
      </c>
      <c r="EQ69" s="229">
        <v>2.319</v>
      </c>
      <c r="ER69" s="231">
        <v>24569</v>
      </c>
      <c r="ES69" s="231">
        <v>14915</v>
      </c>
      <c r="ET69" s="231">
        <v>116088</v>
      </c>
      <c r="EU69" s="231">
        <v>72031016</v>
      </c>
      <c r="EV69" s="231">
        <v>155573</v>
      </c>
      <c r="EW69" s="231">
        <v>150189</v>
      </c>
      <c r="EX69" s="231">
        <v>5384</v>
      </c>
      <c r="EY69" s="229">
        <v>3.5799999999999998E-2</v>
      </c>
      <c r="EZ69" s="229">
        <v>0.1729</v>
      </c>
      <c r="FA69" s="227" t="s">
        <v>568</v>
      </c>
      <c r="FB69" s="161">
        <f t="shared" si="1"/>
        <v>61000</v>
      </c>
    </row>
    <row r="70" spans="1:158" ht="17.25" hidden="1" thickBot="1" x14ac:dyDescent="0.3">
      <c r="A70" s="226">
        <v>46029</v>
      </c>
      <c r="B70" s="227" t="s">
        <v>206</v>
      </c>
      <c r="C70" s="227" t="s">
        <v>218</v>
      </c>
      <c r="D70" s="228">
        <v>275</v>
      </c>
      <c r="E70" s="231">
        <v>2148.6999999999998</v>
      </c>
      <c r="F70" s="231">
        <v>2134.9</v>
      </c>
      <c r="G70" s="228">
        <v>13.8</v>
      </c>
      <c r="H70" s="229">
        <v>6.4999999999999997E-3</v>
      </c>
      <c r="I70" s="231">
        <v>2138.1999999999998</v>
      </c>
      <c r="J70" s="231">
        <v>2127.9</v>
      </c>
      <c r="K70" s="228">
        <v>10.3</v>
      </c>
      <c r="L70" s="229">
        <v>4.7999999999999996E-3</v>
      </c>
      <c r="M70" s="231">
        <v>2148.6999999999998</v>
      </c>
      <c r="N70" s="231">
        <v>2134.9</v>
      </c>
      <c r="O70" s="228">
        <v>13.8</v>
      </c>
      <c r="P70" s="229">
        <v>6.4999999999999997E-3</v>
      </c>
      <c r="Q70" s="231">
        <v>2160.6999999999998</v>
      </c>
      <c r="R70" s="231">
        <v>2147.4</v>
      </c>
      <c r="S70" s="228">
        <v>13.3</v>
      </c>
      <c r="T70" s="229">
        <v>6.1999999999999998E-3</v>
      </c>
      <c r="U70" s="231">
        <v>2171.8000000000002</v>
      </c>
      <c r="V70" s="231">
        <v>2155.6999999999998</v>
      </c>
      <c r="W70" s="228">
        <v>16.100000000000001</v>
      </c>
      <c r="X70" s="229">
        <v>7.4999999999999997E-3</v>
      </c>
      <c r="Y70" s="228">
        <v>10.5</v>
      </c>
      <c r="Z70" s="228">
        <v>7</v>
      </c>
      <c r="AA70" s="228">
        <v>3.5</v>
      </c>
      <c r="AB70" s="229">
        <v>4.8999999999999998E-3</v>
      </c>
      <c r="AC70" s="228">
        <v>10.5</v>
      </c>
      <c r="AD70" s="228">
        <v>7</v>
      </c>
      <c r="AE70" s="228">
        <v>3.5</v>
      </c>
      <c r="AF70" s="229">
        <v>4.8999999999999998E-3</v>
      </c>
      <c r="AG70" s="228">
        <v>22.5</v>
      </c>
      <c r="AH70" s="228">
        <v>19.5</v>
      </c>
      <c r="AI70" s="228">
        <v>3</v>
      </c>
      <c r="AJ70" s="229">
        <v>1.0500000000000001E-2</v>
      </c>
      <c r="AK70" s="228">
        <v>33.6</v>
      </c>
      <c r="AL70" s="228">
        <v>27.8</v>
      </c>
      <c r="AM70" s="228">
        <v>5.8</v>
      </c>
      <c r="AN70" s="229">
        <v>1.5699999999999999E-2</v>
      </c>
      <c r="AO70" s="231">
        <v>2143.44</v>
      </c>
      <c r="AP70" s="231">
        <v>2154.9899999999998</v>
      </c>
      <c r="AQ70" s="228">
        <v>0</v>
      </c>
      <c r="AR70" s="230">
        <v>1768525</v>
      </c>
      <c r="AS70" s="230">
        <v>844250</v>
      </c>
      <c r="AT70" s="230">
        <v>924275</v>
      </c>
      <c r="AU70" s="229">
        <v>1.0948</v>
      </c>
      <c r="AV70" s="230">
        <v>1716000</v>
      </c>
      <c r="AW70" s="230">
        <v>803275</v>
      </c>
      <c r="AX70" s="230">
        <v>912725</v>
      </c>
      <c r="AY70" s="229">
        <v>1.1363000000000001</v>
      </c>
      <c r="AZ70" s="230">
        <v>42900</v>
      </c>
      <c r="BA70" s="230">
        <v>37125</v>
      </c>
      <c r="BB70" s="230">
        <v>5775</v>
      </c>
      <c r="BC70" s="229">
        <v>0.15559999999999999</v>
      </c>
      <c r="BD70" s="230">
        <v>9625</v>
      </c>
      <c r="BE70" s="230">
        <v>3850</v>
      </c>
      <c r="BF70" s="230">
        <v>5775</v>
      </c>
      <c r="BG70" s="229">
        <v>1.5</v>
      </c>
      <c r="BH70" s="230">
        <v>2767325</v>
      </c>
      <c r="BI70" s="230">
        <v>2080375</v>
      </c>
      <c r="BJ70" s="230">
        <v>686950</v>
      </c>
      <c r="BK70" s="229">
        <v>0.33019999999999999</v>
      </c>
      <c r="BL70" s="230">
        <v>1129425</v>
      </c>
      <c r="BM70" s="230">
        <v>898975</v>
      </c>
      <c r="BN70" s="230">
        <v>230450</v>
      </c>
      <c r="BO70" s="229">
        <v>0.25629999999999997</v>
      </c>
      <c r="BP70" s="230">
        <v>5665275</v>
      </c>
      <c r="BQ70" s="230">
        <v>3823600</v>
      </c>
      <c r="BR70" s="230">
        <v>1841675</v>
      </c>
      <c r="BS70" s="229">
        <v>0.48170000000000002</v>
      </c>
      <c r="BT70" s="230">
        <v>577103</v>
      </c>
      <c r="BU70" s="230">
        <v>431807</v>
      </c>
      <c r="BV70" s="230">
        <v>145296</v>
      </c>
      <c r="BW70" s="229">
        <v>0.33650000000000002</v>
      </c>
      <c r="BX70" s="230">
        <v>9185825</v>
      </c>
      <c r="BY70" s="230">
        <v>8817875</v>
      </c>
      <c r="BZ70" s="230">
        <v>367950</v>
      </c>
      <c r="CA70" s="229">
        <v>4.1700000000000001E-2</v>
      </c>
      <c r="CB70" s="230">
        <v>8998000</v>
      </c>
      <c r="CC70" s="230">
        <v>8629775</v>
      </c>
      <c r="CD70" s="230">
        <v>368225</v>
      </c>
      <c r="CE70" s="229">
        <v>4.2700000000000002E-2</v>
      </c>
      <c r="CF70" s="230">
        <v>171050</v>
      </c>
      <c r="CG70" s="230">
        <v>171875</v>
      </c>
      <c r="CH70" s="228">
        <v>-825</v>
      </c>
      <c r="CI70" s="229">
        <v>-4.7999999999999996E-3</v>
      </c>
      <c r="CJ70" s="230">
        <v>16775</v>
      </c>
      <c r="CK70" s="230">
        <v>16225</v>
      </c>
      <c r="CL70" s="228">
        <v>550</v>
      </c>
      <c r="CM70" s="229">
        <v>3.39E-2</v>
      </c>
      <c r="CN70" s="230">
        <v>2265175</v>
      </c>
      <c r="CO70" s="230">
        <v>2198625</v>
      </c>
      <c r="CP70" s="230">
        <v>66550</v>
      </c>
      <c r="CQ70" s="229">
        <v>3.0300000000000001E-2</v>
      </c>
      <c r="CR70" s="230">
        <v>2237400</v>
      </c>
      <c r="CS70" s="230">
        <v>2150225</v>
      </c>
      <c r="CT70" s="230">
        <v>87175</v>
      </c>
      <c r="CU70" s="229">
        <v>4.0500000000000001E-2</v>
      </c>
      <c r="CV70" s="230">
        <v>13688400</v>
      </c>
      <c r="CW70" s="230">
        <v>13166725</v>
      </c>
      <c r="CX70" s="230">
        <v>521675</v>
      </c>
      <c r="CY70" s="229">
        <v>3.9600000000000003E-2</v>
      </c>
      <c r="CZ70" s="228">
        <v>27.5</v>
      </c>
      <c r="DA70" s="228">
        <v>27.5</v>
      </c>
      <c r="DB70" s="228">
        <v>0</v>
      </c>
      <c r="DC70" s="228">
        <v>0</v>
      </c>
      <c r="DD70" s="228">
        <v>41.5</v>
      </c>
      <c r="DE70" s="228">
        <v>41.59</v>
      </c>
      <c r="DF70" s="228">
        <v>-14</v>
      </c>
      <c r="DG70" s="228">
        <v>-0.09</v>
      </c>
      <c r="DH70" s="228">
        <v>27.18</v>
      </c>
      <c r="DI70" s="228">
        <v>26.91</v>
      </c>
      <c r="DJ70" s="228">
        <v>0.27</v>
      </c>
      <c r="DK70" s="228">
        <v>0.27</v>
      </c>
      <c r="DL70" s="228">
        <v>28.29</v>
      </c>
      <c r="DM70" s="228">
        <v>28.86</v>
      </c>
      <c r="DN70" s="228">
        <v>-0.56999999999999995</v>
      </c>
      <c r="DO70" s="228">
        <v>-0.56999999999999995</v>
      </c>
      <c r="DP70" s="228">
        <v>0.99</v>
      </c>
      <c r="DQ70" s="228">
        <v>0.98</v>
      </c>
      <c r="DR70" s="228">
        <v>0.01</v>
      </c>
      <c r="DS70" s="229">
        <v>1.0200000000000001E-2</v>
      </c>
      <c r="DT70" s="231">
        <v>2200</v>
      </c>
      <c r="DU70" s="231">
        <v>2000</v>
      </c>
      <c r="DV70" s="228">
        <v>0.41</v>
      </c>
      <c r="DW70" s="228">
        <v>0.43</v>
      </c>
      <c r="DX70" s="228">
        <v>-0.02</v>
      </c>
      <c r="DY70" s="229">
        <v>-4.65E-2</v>
      </c>
      <c r="DZ70" s="229">
        <v>2.0400000000000001E-2</v>
      </c>
      <c r="EA70" s="230">
        <v>188100</v>
      </c>
      <c r="EB70" s="229">
        <v>5.5999999999999999E-3</v>
      </c>
      <c r="EC70" s="229">
        <v>2.0400000000000001E-2</v>
      </c>
      <c r="ED70" s="228">
        <v>11.55</v>
      </c>
      <c r="EE70" s="229">
        <v>5.4000000000000003E-3</v>
      </c>
      <c r="EF70" s="230">
        <v>246683</v>
      </c>
      <c r="EG70" s="230">
        <v>205490</v>
      </c>
      <c r="EH70" s="229">
        <v>0.20050000000000001</v>
      </c>
      <c r="EI70" s="229">
        <v>0.42749999999999999</v>
      </c>
      <c r="EJ70" s="231">
        <v>61441.77</v>
      </c>
      <c r="EK70" s="231">
        <v>23707.33</v>
      </c>
      <c r="EL70" s="231">
        <v>37914.03</v>
      </c>
      <c r="EM70" s="231">
        <v>7658</v>
      </c>
      <c r="EN70" s="231">
        <v>123063.13</v>
      </c>
      <c r="EO70" s="231">
        <v>82674.990000000005</v>
      </c>
      <c r="EP70" s="231">
        <v>40388.14</v>
      </c>
      <c r="EQ70" s="229">
        <v>0.48849999999999999</v>
      </c>
      <c r="ER70" s="231">
        <v>48192</v>
      </c>
      <c r="ES70" s="231">
        <v>45893</v>
      </c>
      <c r="ET70" s="231">
        <v>197400</v>
      </c>
      <c r="EU70" s="231">
        <v>17263909</v>
      </c>
      <c r="EV70" s="231">
        <v>291485</v>
      </c>
      <c r="EW70" s="231">
        <v>278932</v>
      </c>
      <c r="EX70" s="231">
        <v>12553</v>
      </c>
      <c r="EY70" s="229">
        <v>4.4999999999999998E-2</v>
      </c>
      <c r="EZ70" s="229">
        <v>0.79290000000000005</v>
      </c>
      <c r="FA70" s="227" t="s">
        <v>555</v>
      </c>
      <c r="FB70" s="161">
        <f t="shared" si="1"/>
        <v>187825</v>
      </c>
    </row>
    <row r="71" spans="1:158" ht="17.25" hidden="1" thickBot="1" x14ac:dyDescent="0.3">
      <c r="A71" s="226">
        <v>46029</v>
      </c>
      <c r="B71" s="227" t="s">
        <v>157</v>
      </c>
      <c r="C71" s="227" t="s">
        <v>219</v>
      </c>
      <c r="D71" s="228">
        <v>250</v>
      </c>
      <c r="E71" s="231">
        <v>2848.6</v>
      </c>
      <c r="F71" s="231">
        <v>2879.7</v>
      </c>
      <c r="G71" s="228">
        <v>-31.1</v>
      </c>
      <c r="H71" s="229">
        <v>-1.0800000000000001E-2</v>
      </c>
      <c r="I71" s="231">
        <v>2837.1</v>
      </c>
      <c r="J71" s="231">
        <v>2865.3</v>
      </c>
      <c r="K71" s="228">
        <v>-28.2</v>
      </c>
      <c r="L71" s="229">
        <v>-9.7999999999999997E-3</v>
      </c>
      <c r="M71" s="231">
        <v>2848.6</v>
      </c>
      <c r="N71" s="231">
        <v>2879.7</v>
      </c>
      <c r="O71" s="228">
        <v>-31.1</v>
      </c>
      <c r="P71" s="229">
        <v>-1.0800000000000001E-2</v>
      </c>
      <c r="Q71" s="231">
        <v>2867.7</v>
      </c>
      <c r="R71" s="231">
        <v>2896.4</v>
      </c>
      <c r="S71" s="228">
        <v>-28.7</v>
      </c>
      <c r="T71" s="229">
        <v>-9.9000000000000008E-3</v>
      </c>
      <c r="U71" s="231">
        <v>2907.4</v>
      </c>
      <c r="V71" s="231">
        <v>2907.4</v>
      </c>
      <c r="W71" s="228">
        <v>0</v>
      </c>
      <c r="X71" s="229">
        <v>0</v>
      </c>
      <c r="Y71" s="228">
        <v>11.5</v>
      </c>
      <c r="Z71" s="228">
        <v>14.4</v>
      </c>
      <c r="AA71" s="228">
        <v>-2.9</v>
      </c>
      <c r="AB71" s="229">
        <v>4.1000000000000003E-3</v>
      </c>
      <c r="AC71" s="228">
        <v>11.5</v>
      </c>
      <c r="AD71" s="228">
        <v>14.4</v>
      </c>
      <c r="AE71" s="228">
        <v>-2.9</v>
      </c>
      <c r="AF71" s="229">
        <v>4.1000000000000003E-3</v>
      </c>
      <c r="AG71" s="228">
        <v>30.6</v>
      </c>
      <c r="AH71" s="228">
        <v>31.1</v>
      </c>
      <c r="AI71" s="228">
        <v>-0.5</v>
      </c>
      <c r="AJ71" s="229">
        <v>1.0800000000000001E-2</v>
      </c>
      <c r="AK71" s="228">
        <v>70.3</v>
      </c>
      <c r="AL71" s="228">
        <v>42.1</v>
      </c>
      <c r="AM71" s="228">
        <v>28.2</v>
      </c>
      <c r="AN71" s="229">
        <v>2.4799999999999999E-2</v>
      </c>
      <c r="AO71" s="231">
        <v>2858.08</v>
      </c>
      <c r="AP71" s="231">
        <v>2872.89</v>
      </c>
      <c r="AQ71" s="228">
        <v>0</v>
      </c>
      <c r="AR71" s="230">
        <v>707500</v>
      </c>
      <c r="AS71" s="230">
        <v>1308750</v>
      </c>
      <c r="AT71" s="230">
        <v>-601250</v>
      </c>
      <c r="AU71" s="229">
        <v>-0.45939999999999998</v>
      </c>
      <c r="AV71" s="230">
        <v>689500</v>
      </c>
      <c r="AW71" s="230">
        <v>1282750</v>
      </c>
      <c r="AX71" s="230">
        <v>-593250</v>
      </c>
      <c r="AY71" s="229">
        <v>-0.46250000000000002</v>
      </c>
      <c r="AZ71" s="230">
        <v>18000</v>
      </c>
      <c r="BA71" s="230">
        <v>25250</v>
      </c>
      <c r="BB71" s="230">
        <v>-7250</v>
      </c>
      <c r="BC71" s="229">
        <v>-0.28710000000000002</v>
      </c>
      <c r="BD71" s="228">
        <v>0</v>
      </c>
      <c r="BE71" s="228">
        <v>750</v>
      </c>
      <c r="BF71" s="228">
        <v>-750</v>
      </c>
      <c r="BG71" s="229">
        <v>-1</v>
      </c>
      <c r="BH71" s="230">
        <v>962500</v>
      </c>
      <c r="BI71" s="230">
        <v>1574000</v>
      </c>
      <c r="BJ71" s="230">
        <v>-611500</v>
      </c>
      <c r="BK71" s="229">
        <v>-0.38850000000000001</v>
      </c>
      <c r="BL71" s="230">
        <v>859000</v>
      </c>
      <c r="BM71" s="230">
        <v>811750</v>
      </c>
      <c r="BN71" s="230">
        <v>47250</v>
      </c>
      <c r="BO71" s="229">
        <v>5.8200000000000002E-2</v>
      </c>
      <c r="BP71" s="230">
        <v>2529000</v>
      </c>
      <c r="BQ71" s="230">
        <v>3694500</v>
      </c>
      <c r="BR71" s="230">
        <v>-1165500</v>
      </c>
      <c r="BS71" s="229">
        <v>-0.3155</v>
      </c>
      <c r="BT71" s="230">
        <v>291685</v>
      </c>
      <c r="BU71" s="230">
        <v>769171</v>
      </c>
      <c r="BV71" s="230">
        <v>-477486</v>
      </c>
      <c r="BW71" s="229">
        <v>-0.62080000000000002</v>
      </c>
      <c r="BX71" s="230">
        <v>16261500</v>
      </c>
      <c r="BY71" s="230">
        <v>16159500</v>
      </c>
      <c r="BZ71" s="230">
        <v>102000</v>
      </c>
      <c r="CA71" s="229">
        <v>6.3E-3</v>
      </c>
      <c r="CB71" s="230">
        <v>16194000</v>
      </c>
      <c r="CC71" s="230">
        <v>16094250</v>
      </c>
      <c r="CD71" s="230">
        <v>99750</v>
      </c>
      <c r="CE71" s="229">
        <v>6.1999999999999998E-3</v>
      </c>
      <c r="CF71" s="230">
        <v>60250</v>
      </c>
      <c r="CG71" s="230">
        <v>58000</v>
      </c>
      <c r="CH71" s="230">
        <v>2250</v>
      </c>
      <c r="CI71" s="229">
        <v>3.8800000000000001E-2</v>
      </c>
      <c r="CJ71" s="230">
        <v>7250</v>
      </c>
      <c r="CK71" s="230">
        <v>7250</v>
      </c>
      <c r="CL71" s="228">
        <v>0</v>
      </c>
      <c r="CM71" s="229">
        <v>0</v>
      </c>
      <c r="CN71" s="230">
        <v>1295500</v>
      </c>
      <c r="CO71" s="230">
        <v>1204750</v>
      </c>
      <c r="CP71" s="230">
        <v>90750</v>
      </c>
      <c r="CQ71" s="229">
        <v>7.5300000000000006E-2</v>
      </c>
      <c r="CR71" s="230">
        <v>1339250</v>
      </c>
      <c r="CS71" s="230">
        <v>1298000</v>
      </c>
      <c r="CT71" s="230">
        <v>41250</v>
      </c>
      <c r="CU71" s="229">
        <v>3.1800000000000002E-2</v>
      </c>
      <c r="CV71" s="230">
        <v>18896250</v>
      </c>
      <c r="CW71" s="230">
        <v>18662250</v>
      </c>
      <c r="CX71" s="230">
        <v>234000</v>
      </c>
      <c r="CY71" s="229">
        <v>1.2500000000000001E-2</v>
      </c>
      <c r="CZ71" s="228">
        <v>18.899999999999999</v>
      </c>
      <c r="DA71" s="228">
        <v>18.63</v>
      </c>
      <c r="DB71" s="228">
        <v>0.27</v>
      </c>
      <c r="DC71" s="228">
        <v>0.27</v>
      </c>
      <c r="DD71" s="228">
        <v>24.81</v>
      </c>
      <c r="DE71" s="228">
        <v>24.83</v>
      </c>
      <c r="DF71" s="228">
        <v>-5.91</v>
      </c>
      <c r="DG71" s="228">
        <v>-0.02</v>
      </c>
      <c r="DH71" s="228">
        <v>19.14</v>
      </c>
      <c r="DI71" s="228">
        <v>18.62</v>
      </c>
      <c r="DJ71" s="228">
        <v>0.52</v>
      </c>
      <c r="DK71" s="228">
        <v>0.52</v>
      </c>
      <c r="DL71" s="228">
        <v>18.63</v>
      </c>
      <c r="DM71" s="228">
        <v>18.66</v>
      </c>
      <c r="DN71" s="228">
        <v>-0.03</v>
      </c>
      <c r="DO71" s="228">
        <v>-0.03</v>
      </c>
      <c r="DP71" s="228">
        <v>1.03</v>
      </c>
      <c r="DQ71" s="228">
        <v>1.08</v>
      </c>
      <c r="DR71" s="228">
        <v>-0.05</v>
      </c>
      <c r="DS71" s="229">
        <v>-4.6300000000000001E-2</v>
      </c>
      <c r="DT71" s="231">
        <v>2900</v>
      </c>
      <c r="DU71" s="231">
        <v>2740</v>
      </c>
      <c r="DV71" s="228">
        <v>0.89</v>
      </c>
      <c r="DW71" s="228">
        <v>0.52</v>
      </c>
      <c r="DX71" s="228">
        <v>0.37</v>
      </c>
      <c r="DY71" s="229">
        <v>0.71150000000000002</v>
      </c>
      <c r="DZ71" s="229">
        <v>4.1999999999999997E-3</v>
      </c>
      <c r="EA71" s="230">
        <v>65250</v>
      </c>
      <c r="EB71" s="229">
        <v>6.7000000000000002E-3</v>
      </c>
      <c r="EC71" s="229">
        <v>4.1999999999999997E-3</v>
      </c>
      <c r="ED71" s="228">
        <v>14.81</v>
      </c>
      <c r="EE71" s="229">
        <v>5.1999999999999998E-3</v>
      </c>
      <c r="EF71" s="230">
        <v>176309</v>
      </c>
      <c r="EG71" s="230">
        <v>531496</v>
      </c>
      <c r="EH71" s="229">
        <v>-0.66830000000000001</v>
      </c>
      <c r="EI71" s="229">
        <v>0.60450000000000004</v>
      </c>
      <c r="EJ71" s="231">
        <v>28275.06</v>
      </c>
      <c r="EK71" s="231">
        <v>24294.25</v>
      </c>
      <c r="EL71" s="231">
        <v>20223.57</v>
      </c>
      <c r="EM71" s="231">
        <v>4156</v>
      </c>
      <c r="EN71" s="231">
        <v>72792.88</v>
      </c>
      <c r="EO71" s="231">
        <v>107464.5</v>
      </c>
      <c r="EP71" s="231">
        <v>-34671.620000000003</v>
      </c>
      <c r="EQ71" s="229">
        <v>-0.3226</v>
      </c>
      <c r="ER71" s="231">
        <v>37981</v>
      </c>
      <c r="ES71" s="231">
        <v>36861</v>
      </c>
      <c r="ET71" s="231">
        <v>463241</v>
      </c>
      <c r="EU71" s="231">
        <v>38505832</v>
      </c>
      <c r="EV71" s="231">
        <v>538083</v>
      </c>
      <c r="EW71" s="231">
        <v>536449</v>
      </c>
      <c r="EX71" s="231">
        <v>1634</v>
      </c>
      <c r="EY71" s="229">
        <v>3.0000000000000001E-3</v>
      </c>
      <c r="EZ71" s="229">
        <v>0.49070000000000003</v>
      </c>
      <c r="FA71" s="227" t="s">
        <v>567</v>
      </c>
      <c r="FB71" s="161">
        <f t="shared" si="1"/>
        <v>67500</v>
      </c>
    </row>
    <row r="72" spans="1:158" ht="17.25" hidden="1" thickBot="1" x14ac:dyDescent="0.3">
      <c r="A72" s="226">
        <v>46029</v>
      </c>
      <c r="B72" s="227" t="s">
        <v>184</v>
      </c>
      <c r="C72" s="227" t="s">
        <v>513</v>
      </c>
      <c r="D72" s="228">
        <v>150</v>
      </c>
      <c r="E72" s="231">
        <v>4535.1000000000004</v>
      </c>
      <c r="F72" s="231">
        <v>4528.3</v>
      </c>
      <c r="G72" s="228">
        <v>6.8</v>
      </c>
      <c r="H72" s="229">
        <v>1.5E-3</v>
      </c>
      <c r="I72" s="231">
        <v>4525.1000000000004</v>
      </c>
      <c r="J72" s="231">
        <v>4516</v>
      </c>
      <c r="K72" s="228">
        <v>9.1</v>
      </c>
      <c r="L72" s="229">
        <v>2E-3</v>
      </c>
      <c r="M72" s="231">
        <v>4535.1000000000004</v>
      </c>
      <c r="N72" s="231">
        <v>4528.3</v>
      </c>
      <c r="O72" s="228">
        <v>6.8</v>
      </c>
      <c r="P72" s="229">
        <v>1.5E-3</v>
      </c>
      <c r="Q72" s="231">
        <v>4544.7</v>
      </c>
      <c r="R72" s="231">
        <v>4538.3999999999996</v>
      </c>
      <c r="S72" s="228">
        <v>6.3</v>
      </c>
      <c r="T72" s="229">
        <v>1.4E-3</v>
      </c>
      <c r="U72" s="231">
        <v>4562.3999999999996</v>
      </c>
      <c r="V72" s="231">
        <v>4558.8</v>
      </c>
      <c r="W72" s="228">
        <v>3.6</v>
      </c>
      <c r="X72" s="229">
        <v>8.0000000000000004E-4</v>
      </c>
      <c r="Y72" s="228">
        <v>10</v>
      </c>
      <c r="Z72" s="228">
        <v>12.3</v>
      </c>
      <c r="AA72" s="228">
        <v>-2.2999999999999998</v>
      </c>
      <c r="AB72" s="229">
        <v>2.2000000000000001E-3</v>
      </c>
      <c r="AC72" s="228">
        <v>10</v>
      </c>
      <c r="AD72" s="228">
        <v>12.3</v>
      </c>
      <c r="AE72" s="228">
        <v>-2.2999999999999998</v>
      </c>
      <c r="AF72" s="229">
        <v>2.2000000000000001E-3</v>
      </c>
      <c r="AG72" s="228">
        <v>19.600000000000001</v>
      </c>
      <c r="AH72" s="228">
        <v>22.4</v>
      </c>
      <c r="AI72" s="228">
        <v>-2.8</v>
      </c>
      <c r="AJ72" s="229">
        <v>4.3E-3</v>
      </c>
      <c r="AK72" s="228">
        <v>37.299999999999997</v>
      </c>
      <c r="AL72" s="228">
        <v>42.8</v>
      </c>
      <c r="AM72" s="228">
        <v>-5.5</v>
      </c>
      <c r="AN72" s="229">
        <v>8.2000000000000007E-3</v>
      </c>
      <c r="AO72" s="231">
        <v>4523.41</v>
      </c>
      <c r="AP72" s="231">
        <v>4529.41</v>
      </c>
      <c r="AQ72" s="228">
        <v>0</v>
      </c>
      <c r="AR72" s="230">
        <v>674850</v>
      </c>
      <c r="AS72" s="230">
        <v>964050</v>
      </c>
      <c r="AT72" s="230">
        <v>-289200</v>
      </c>
      <c r="AU72" s="229">
        <v>-0.3</v>
      </c>
      <c r="AV72" s="230">
        <v>566550</v>
      </c>
      <c r="AW72" s="230">
        <v>830550</v>
      </c>
      <c r="AX72" s="230">
        <v>-264000</v>
      </c>
      <c r="AY72" s="229">
        <v>-0.31790000000000002</v>
      </c>
      <c r="AZ72" s="230">
        <v>96150</v>
      </c>
      <c r="BA72" s="230">
        <v>113850</v>
      </c>
      <c r="BB72" s="230">
        <v>-17700</v>
      </c>
      <c r="BC72" s="229">
        <v>-0.1555</v>
      </c>
      <c r="BD72" s="230">
        <v>12150</v>
      </c>
      <c r="BE72" s="230">
        <v>19650</v>
      </c>
      <c r="BF72" s="230">
        <v>-7500</v>
      </c>
      <c r="BG72" s="229">
        <v>-0.38169999999999998</v>
      </c>
      <c r="BH72" s="230">
        <v>3552900</v>
      </c>
      <c r="BI72" s="230">
        <v>4833300</v>
      </c>
      <c r="BJ72" s="230">
        <v>-1280400</v>
      </c>
      <c r="BK72" s="229">
        <v>-0.26490000000000002</v>
      </c>
      <c r="BL72" s="230">
        <v>1601700</v>
      </c>
      <c r="BM72" s="230">
        <v>2601900</v>
      </c>
      <c r="BN72" s="230">
        <v>-1000200</v>
      </c>
      <c r="BO72" s="229">
        <v>-0.38440000000000002</v>
      </c>
      <c r="BP72" s="230">
        <v>5829450</v>
      </c>
      <c r="BQ72" s="230">
        <v>8399250</v>
      </c>
      <c r="BR72" s="230">
        <v>-2569800</v>
      </c>
      <c r="BS72" s="229">
        <v>-0.30599999999999999</v>
      </c>
      <c r="BT72" s="230">
        <v>454395</v>
      </c>
      <c r="BU72" s="230">
        <v>556851</v>
      </c>
      <c r="BV72" s="230">
        <v>-102456</v>
      </c>
      <c r="BW72" s="229">
        <v>-0.184</v>
      </c>
      <c r="BX72" s="230">
        <v>9735600</v>
      </c>
      <c r="BY72" s="230">
        <v>9762600</v>
      </c>
      <c r="BZ72" s="230">
        <v>-27000</v>
      </c>
      <c r="CA72" s="229">
        <v>-2.8E-3</v>
      </c>
      <c r="CB72" s="230">
        <v>8831100</v>
      </c>
      <c r="CC72" s="230">
        <v>8881500</v>
      </c>
      <c r="CD72" s="230">
        <v>-50400</v>
      </c>
      <c r="CE72" s="229">
        <v>-5.7000000000000002E-3</v>
      </c>
      <c r="CF72" s="230">
        <v>853650</v>
      </c>
      <c r="CG72" s="230">
        <v>836250</v>
      </c>
      <c r="CH72" s="230">
        <v>17400</v>
      </c>
      <c r="CI72" s="229">
        <v>2.0799999999999999E-2</v>
      </c>
      <c r="CJ72" s="230">
        <v>50850</v>
      </c>
      <c r="CK72" s="230">
        <v>44850</v>
      </c>
      <c r="CL72" s="230">
        <v>6000</v>
      </c>
      <c r="CM72" s="229">
        <v>0.1338</v>
      </c>
      <c r="CN72" s="230">
        <v>4431000</v>
      </c>
      <c r="CO72" s="230">
        <v>4236000</v>
      </c>
      <c r="CP72" s="230">
        <v>195000</v>
      </c>
      <c r="CQ72" s="229">
        <v>4.5999999999999999E-2</v>
      </c>
      <c r="CR72" s="230">
        <v>3083400</v>
      </c>
      <c r="CS72" s="230">
        <v>2957850</v>
      </c>
      <c r="CT72" s="230">
        <v>125550</v>
      </c>
      <c r="CU72" s="229">
        <v>4.24E-2</v>
      </c>
      <c r="CV72" s="230">
        <v>17250000</v>
      </c>
      <c r="CW72" s="230">
        <v>16956450</v>
      </c>
      <c r="CX72" s="230">
        <v>293550</v>
      </c>
      <c r="CY72" s="229">
        <v>1.7299999999999999E-2</v>
      </c>
      <c r="CZ72" s="228">
        <v>24.59</v>
      </c>
      <c r="DA72" s="228">
        <v>24.46</v>
      </c>
      <c r="DB72" s="228">
        <v>0.13</v>
      </c>
      <c r="DC72" s="228">
        <v>0.13</v>
      </c>
      <c r="DD72" s="228">
        <v>36.799999999999997</v>
      </c>
      <c r="DE72" s="228">
        <v>36.89</v>
      </c>
      <c r="DF72" s="228">
        <v>-12.21</v>
      </c>
      <c r="DG72" s="228">
        <v>-0.09</v>
      </c>
      <c r="DH72" s="228">
        <v>24.49</v>
      </c>
      <c r="DI72" s="228">
        <v>24.22</v>
      </c>
      <c r="DJ72" s="228">
        <v>0.27</v>
      </c>
      <c r="DK72" s="228">
        <v>0.27</v>
      </c>
      <c r="DL72" s="228">
        <v>24.82</v>
      </c>
      <c r="DM72" s="228">
        <v>24.91</v>
      </c>
      <c r="DN72" s="228">
        <v>-0.09</v>
      </c>
      <c r="DO72" s="228">
        <v>-0.09</v>
      </c>
      <c r="DP72" s="228">
        <v>0.7</v>
      </c>
      <c r="DQ72" s="228">
        <v>0.7</v>
      </c>
      <c r="DR72" s="228">
        <v>0</v>
      </c>
      <c r="DS72" s="229">
        <v>0</v>
      </c>
      <c r="DT72" s="231">
        <v>5000</v>
      </c>
      <c r="DU72" s="231">
        <v>4400</v>
      </c>
      <c r="DV72" s="228">
        <v>0.45</v>
      </c>
      <c r="DW72" s="228">
        <v>0.54</v>
      </c>
      <c r="DX72" s="228">
        <v>-0.09</v>
      </c>
      <c r="DY72" s="229">
        <v>-0.16669999999999999</v>
      </c>
      <c r="DZ72" s="229">
        <v>9.2899999999999996E-2</v>
      </c>
      <c r="EA72" s="230">
        <v>881100</v>
      </c>
      <c r="EB72" s="229">
        <v>2.0999999999999999E-3</v>
      </c>
      <c r="EC72" s="229">
        <v>9.2899999999999996E-2</v>
      </c>
      <c r="ED72" s="228">
        <v>6</v>
      </c>
      <c r="EE72" s="229">
        <v>1.2999999999999999E-3</v>
      </c>
      <c r="EF72" s="230">
        <v>221363</v>
      </c>
      <c r="EG72" s="230">
        <v>233344</v>
      </c>
      <c r="EH72" s="229">
        <v>-5.1299999999999998E-2</v>
      </c>
      <c r="EI72" s="229">
        <v>0.48720000000000002</v>
      </c>
      <c r="EJ72" s="231">
        <v>167601.57</v>
      </c>
      <c r="EK72" s="231">
        <v>70980.56</v>
      </c>
      <c r="EL72" s="231">
        <v>30535.16</v>
      </c>
      <c r="EM72" s="231">
        <v>8122</v>
      </c>
      <c r="EN72" s="231">
        <v>269117.28999999998</v>
      </c>
      <c r="EO72" s="231">
        <v>387882.15</v>
      </c>
      <c r="EP72" s="231">
        <v>-118764.86</v>
      </c>
      <c r="EQ72" s="229">
        <v>-0.30620000000000003</v>
      </c>
      <c r="ER72" s="231">
        <v>207868</v>
      </c>
      <c r="ES72" s="231">
        <v>136514</v>
      </c>
      <c r="ET72" s="231">
        <v>441615</v>
      </c>
      <c r="EU72" s="231">
        <v>28450886</v>
      </c>
      <c r="EV72" s="231">
        <v>785997</v>
      </c>
      <c r="EW72" s="231">
        <v>771903</v>
      </c>
      <c r="EX72" s="231">
        <v>14094</v>
      </c>
      <c r="EY72" s="229">
        <v>1.83E-2</v>
      </c>
      <c r="EZ72" s="229">
        <v>0.60629999999999995</v>
      </c>
      <c r="FA72" s="227" t="s">
        <v>556</v>
      </c>
      <c r="FB72" s="161">
        <f t="shared" si="1"/>
        <v>904500</v>
      </c>
    </row>
    <row r="73" spans="1:158" ht="17.25" hidden="1" thickBot="1" x14ac:dyDescent="0.3">
      <c r="A73" s="226">
        <v>46029</v>
      </c>
      <c r="B73" s="227" t="s">
        <v>184</v>
      </c>
      <c r="C73" s="227" t="s">
        <v>220</v>
      </c>
      <c r="D73" s="228">
        <v>500</v>
      </c>
      <c r="E73" s="231">
        <v>1499.6</v>
      </c>
      <c r="F73" s="231">
        <v>1508.4</v>
      </c>
      <c r="G73" s="228">
        <v>-8.8000000000000007</v>
      </c>
      <c r="H73" s="229">
        <v>-5.7999999999999996E-3</v>
      </c>
      <c r="I73" s="231">
        <v>1496.2</v>
      </c>
      <c r="J73" s="231">
        <v>1501.7</v>
      </c>
      <c r="K73" s="228">
        <v>-5.5</v>
      </c>
      <c r="L73" s="229">
        <v>-3.7000000000000002E-3</v>
      </c>
      <c r="M73" s="231">
        <v>1499.6</v>
      </c>
      <c r="N73" s="231">
        <v>1508.4</v>
      </c>
      <c r="O73" s="228">
        <v>-8.8000000000000007</v>
      </c>
      <c r="P73" s="229">
        <v>-5.7999999999999996E-3</v>
      </c>
      <c r="Q73" s="231">
        <v>1503.9</v>
      </c>
      <c r="R73" s="231">
        <v>1513.9</v>
      </c>
      <c r="S73" s="228">
        <v>-10</v>
      </c>
      <c r="T73" s="229">
        <v>-6.6E-3</v>
      </c>
      <c r="U73" s="231">
        <v>1513.4</v>
      </c>
      <c r="V73" s="231">
        <v>1520.9</v>
      </c>
      <c r="W73" s="228">
        <v>-7.5</v>
      </c>
      <c r="X73" s="229">
        <v>-4.8999999999999998E-3</v>
      </c>
      <c r="Y73" s="228">
        <v>3.4</v>
      </c>
      <c r="Z73" s="228">
        <v>6.7</v>
      </c>
      <c r="AA73" s="228">
        <v>-3.3</v>
      </c>
      <c r="AB73" s="229">
        <v>2.3E-3</v>
      </c>
      <c r="AC73" s="228">
        <v>3.4</v>
      </c>
      <c r="AD73" s="228">
        <v>6.7</v>
      </c>
      <c r="AE73" s="228">
        <v>-3.3</v>
      </c>
      <c r="AF73" s="229">
        <v>2.3E-3</v>
      </c>
      <c r="AG73" s="228">
        <v>7.7</v>
      </c>
      <c r="AH73" s="228">
        <v>12.2</v>
      </c>
      <c r="AI73" s="228">
        <v>-4.5</v>
      </c>
      <c r="AJ73" s="229">
        <v>5.1000000000000004E-3</v>
      </c>
      <c r="AK73" s="228">
        <v>17.2</v>
      </c>
      <c r="AL73" s="228">
        <v>19.2</v>
      </c>
      <c r="AM73" s="228">
        <v>-2</v>
      </c>
      <c r="AN73" s="229">
        <v>1.15E-2</v>
      </c>
      <c r="AO73" s="231">
        <v>1501.28</v>
      </c>
      <c r="AP73" s="231">
        <v>1509.51</v>
      </c>
      <c r="AQ73" s="228">
        <v>0</v>
      </c>
      <c r="AR73" s="230">
        <v>1621000</v>
      </c>
      <c r="AS73" s="230">
        <v>3524000</v>
      </c>
      <c r="AT73" s="230">
        <v>-1903000</v>
      </c>
      <c r="AU73" s="229">
        <v>-0.54</v>
      </c>
      <c r="AV73" s="230">
        <v>1569000</v>
      </c>
      <c r="AW73" s="230">
        <v>3385500</v>
      </c>
      <c r="AX73" s="230">
        <v>-1816500</v>
      </c>
      <c r="AY73" s="229">
        <v>-0.53659999999999997</v>
      </c>
      <c r="AZ73" s="230">
        <v>45000</v>
      </c>
      <c r="BA73" s="230">
        <v>125000</v>
      </c>
      <c r="BB73" s="230">
        <v>-80000</v>
      </c>
      <c r="BC73" s="229">
        <v>-0.64</v>
      </c>
      <c r="BD73" s="230">
        <v>7000</v>
      </c>
      <c r="BE73" s="230">
        <v>13500</v>
      </c>
      <c r="BF73" s="230">
        <v>-6500</v>
      </c>
      <c r="BG73" s="229">
        <v>-0.48149999999999998</v>
      </c>
      <c r="BH73" s="230">
        <v>3195500</v>
      </c>
      <c r="BI73" s="230">
        <v>10968000</v>
      </c>
      <c r="BJ73" s="230">
        <v>-7772500</v>
      </c>
      <c r="BK73" s="229">
        <v>-0.7087</v>
      </c>
      <c r="BL73" s="230">
        <v>2193000</v>
      </c>
      <c r="BM73" s="230">
        <v>3316000</v>
      </c>
      <c r="BN73" s="230">
        <v>-1123000</v>
      </c>
      <c r="BO73" s="229">
        <v>-0.3387</v>
      </c>
      <c r="BP73" s="230">
        <v>7009500</v>
      </c>
      <c r="BQ73" s="230">
        <v>17808000</v>
      </c>
      <c r="BR73" s="230">
        <v>-10798500</v>
      </c>
      <c r="BS73" s="229">
        <v>-0.60640000000000005</v>
      </c>
      <c r="BT73" s="230">
        <v>437043</v>
      </c>
      <c r="BU73" s="230">
        <v>1407718</v>
      </c>
      <c r="BV73" s="230">
        <v>-970675</v>
      </c>
      <c r="BW73" s="229">
        <v>-0.6895</v>
      </c>
      <c r="BX73" s="230">
        <v>8732500</v>
      </c>
      <c r="BY73" s="230">
        <v>8501500</v>
      </c>
      <c r="BZ73" s="230">
        <v>231000</v>
      </c>
      <c r="CA73" s="229">
        <v>2.7199999999999998E-2</v>
      </c>
      <c r="CB73" s="230">
        <v>8506000</v>
      </c>
      <c r="CC73" s="230">
        <v>8278500</v>
      </c>
      <c r="CD73" s="230">
        <v>227500</v>
      </c>
      <c r="CE73" s="229">
        <v>2.75E-2</v>
      </c>
      <c r="CF73" s="230">
        <v>209000</v>
      </c>
      <c r="CG73" s="230">
        <v>209000</v>
      </c>
      <c r="CH73" s="228">
        <v>0</v>
      </c>
      <c r="CI73" s="229">
        <v>0</v>
      </c>
      <c r="CJ73" s="230">
        <v>17500</v>
      </c>
      <c r="CK73" s="230">
        <v>14000</v>
      </c>
      <c r="CL73" s="230">
        <v>3500</v>
      </c>
      <c r="CM73" s="229">
        <v>0.25</v>
      </c>
      <c r="CN73" s="230">
        <v>2491500</v>
      </c>
      <c r="CO73" s="230">
        <v>2397000</v>
      </c>
      <c r="CP73" s="230">
        <v>94500</v>
      </c>
      <c r="CQ73" s="229">
        <v>3.9399999999999998E-2</v>
      </c>
      <c r="CR73" s="230">
        <v>2237500</v>
      </c>
      <c r="CS73" s="230">
        <v>2066000</v>
      </c>
      <c r="CT73" s="230">
        <v>171500</v>
      </c>
      <c r="CU73" s="229">
        <v>8.3000000000000004E-2</v>
      </c>
      <c r="CV73" s="230">
        <v>13461500</v>
      </c>
      <c r="CW73" s="230">
        <v>12964500</v>
      </c>
      <c r="CX73" s="230">
        <v>497000</v>
      </c>
      <c r="CY73" s="229">
        <v>3.8300000000000001E-2</v>
      </c>
      <c r="CZ73" s="228">
        <v>25.16</v>
      </c>
      <c r="DA73" s="228">
        <v>24.4</v>
      </c>
      <c r="DB73" s="228">
        <v>0.76</v>
      </c>
      <c r="DC73" s="228">
        <v>0.76</v>
      </c>
      <c r="DD73" s="228">
        <v>26.85</v>
      </c>
      <c r="DE73" s="228">
        <v>26.91</v>
      </c>
      <c r="DF73" s="228">
        <v>-1.69</v>
      </c>
      <c r="DG73" s="228">
        <v>-0.06</v>
      </c>
      <c r="DH73" s="228">
        <v>25.25</v>
      </c>
      <c r="DI73" s="228">
        <v>24.32</v>
      </c>
      <c r="DJ73" s="228">
        <v>0.93</v>
      </c>
      <c r="DK73" s="228">
        <v>0.93</v>
      </c>
      <c r="DL73" s="228">
        <v>25.03</v>
      </c>
      <c r="DM73" s="228">
        <v>24.67</v>
      </c>
      <c r="DN73" s="228">
        <v>0.36</v>
      </c>
      <c r="DO73" s="228">
        <v>0.36</v>
      </c>
      <c r="DP73" s="228">
        <v>0.9</v>
      </c>
      <c r="DQ73" s="228">
        <v>0.86</v>
      </c>
      <c r="DR73" s="228">
        <v>0.04</v>
      </c>
      <c r="DS73" s="229">
        <v>4.65E-2</v>
      </c>
      <c r="DT73" s="231">
        <v>1500</v>
      </c>
      <c r="DU73" s="231">
        <v>1420</v>
      </c>
      <c r="DV73" s="228">
        <v>0.69</v>
      </c>
      <c r="DW73" s="228">
        <v>0.3</v>
      </c>
      <c r="DX73" s="228">
        <v>0.39</v>
      </c>
      <c r="DY73" s="229">
        <v>1.3</v>
      </c>
      <c r="DZ73" s="229">
        <v>2.5899999999999999E-2</v>
      </c>
      <c r="EA73" s="230">
        <v>223000</v>
      </c>
      <c r="EB73" s="229">
        <v>2.8999999999999998E-3</v>
      </c>
      <c r="EC73" s="229">
        <v>2.5899999999999999E-2</v>
      </c>
      <c r="ED73" s="228">
        <v>8.23</v>
      </c>
      <c r="EE73" s="229">
        <v>5.4999999999999997E-3</v>
      </c>
      <c r="EF73" s="230">
        <v>200166</v>
      </c>
      <c r="EG73" s="230">
        <v>838041</v>
      </c>
      <c r="EH73" s="229">
        <v>-0.76119999999999999</v>
      </c>
      <c r="EI73" s="229">
        <v>0.45800000000000002</v>
      </c>
      <c r="EJ73" s="231">
        <v>49769.68</v>
      </c>
      <c r="EK73" s="231">
        <v>32322.69</v>
      </c>
      <c r="EL73" s="231">
        <v>24340.28</v>
      </c>
      <c r="EM73" s="231">
        <v>2860</v>
      </c>
      <c r="EN73" s="231">
        <v>106432.65</v>
      </c>
      <c r="EO73" s="231">
        <v>269027.98</v>
      </c>
      <c r="EP73" s="231">
        <v>-162595.32999999999</v>
      </c>
      <c r="EQ73" s="229">
        <v>-0.60440000000000005</v>
      </c>
      <c r="ER73" s="231">
        <v>37775</v>
      </c>
      <c r="ES73" s="231">
        <v>31930</v>
      </c>
      <c r="ET73" s="231">
        <v>130964</v>
      </c>
      <c r="EU73" s="231">
        <v>35667502</v>
      </c>
      <c r="EV73" s="231">
        <v>200668</v>
      </c>
      <c r="EW73" s="231">
        <v>193846</v>
      </c>
      <c r="EX73" s="231">
        <v>6822</v>
      </c>
      <c r="EY73" s="229">
        <v>3.5200000000000002E-2</v>
      </c>
      <c r="EZ73" s="229">
        <v>0.37740000000000001</v>
      </c>
      <c r="FA73" s="227" t="s">
        <v>567</v>
      </c>
      <c r="FB73" s="161">
        <f t="shared" si="1"/>
        <v>226500</v>
      </c>
    </row>
    <row r="74" spans="1:158" ht="17.25" hidden="1" thickBot="1" x14ac:dyDescent="0.3">
      <c r="A74" s="226">
        <v>46029</v>
      </c>
      <c r="B74" s="227" t="s">
        <v>221</v>
      </c>
      <c r="C74" s="227" t="s">
        <v>222</v>
      </c>
      <c r="D74" s="228">
        <v>350</v>
      </c>
      <c r="E74" s="231">
        <v>1643.4</v>
      </c>
      <c r="F74" s="231">
        <v>1611</v>
      </c>
      <c r="G74" s="228">
        <v>32.4</v>
      </c>
      <c r="H74" s="229">
        <v>2.01E-2</v>
      </c>
      <c r="I74" s="231">
        <v>1647.7</v>
      </c>
      <c r="J74" s="231">
        <v>1616.3</v>
      </c>
      <c r="K74" s="228">
        <v>31.4</v>
      </c>
      <c r="L74" s="229">
        <v>1.9400000000000001E-2</v>
      </c>
      <c r="M74" s="231">
        <v>1643.4</v>
      </c>
      <c r="N74" s="231">
        <v>1611</v>
      </c>
      <c r="O74" s="228">
        <v>32.4</v>
      </c>
      <c r="P74" s="229">
        <v>2.01E-2</v>
      </c>
      <c r="Q74" s="231">
        <v>1654</v>
      </c>
      <c r="R74" s="231">
        <v>1619.7</v>
      </c>
      <c r="S74" s="228">
        <v>34.299999999999997</v>
      </c>
      <c r="T74" s="229">
        <v>2.12E-2</v>
      </c>
      <c r="U74" s="231">
        <v>1664</v>
      </c>
      <c r="V74" s="231">
        <v>1629.8</v>
      </c>
      <c r="W74" s="228">
        <v>34.200000000000003</v>
      </c>
      <c r="X74" s="229">
        <v>2.1000000000000001E-2</v>
      </c>
      <c r="Y74" s="228">
        <v>-4.3</v>
      </c>
      <c r="Z74" s="228">
        <v>-5.3</v>
      </c>
      <c r="AA74" s="228">
        <v>1</v>
      </c>
      <c r="AB74" s="229">
        <v>-2.5999999999999999E-3</v>
      </c>
      <c r="AC74" s="228">
        <v>-4.3</v>
      </c>
      <c r="AD74" s="228">
        <v>-5.3</v>
      </c>
      <c r="AE74" s="228">
        <v>1</v>
      </c>
      <c r="AF74" s="229">
        <v>-2.5999999999999999E-3</v>
      </c>
      <c r="AG74" s="228">
        <v>6.3</v>
      </c>
      <c r="AH74" s="228">
        <v>3.4</v>
      </c>
      <c r="AI74" s="228">
        <v>2.9</v>
      </c>
      <c r="AJ74" s="229">
        <v>3.8E-3</v>
      </c>
      <c r="AK74" s="228">
        <v>16.3</v>
      </c>
      <c r="AL74" s="228">
        <v>13.5</v>
      </c>
      <c r="AM74" s="228">
        <v>2.8</v>
      </c>
      <c r="AN74" s="229">
        <v>9.9000000000000008E-3</v>
      </c>
      <c r="AO74" s="231">
        <v>1634.22</v>
      </c>
      <c r="AP74" s="231">
        <v>1644.3</v>
      </c>
      <c r="AQ74" s="228">
        <v>0</v>
      </c>
      <c r="AR74" s="230">
        <v>5303550</v>
      </c>
      <c r="AS74" s="230">
        <v>2091950</v>
      </c>
      <c r="AT74" s="230">
        <v>3211600</v>
      </c>
      <c r="AU74" s="229">
        <v>1.5351999999999999</v>
      </c>
      <c r="AV74" s="230">
        <v>5174050</v>
      </c>
      <c r="AW74" s="230">
        <v>2007600</v>
      </c>
      <c r="AX74" s="230">
        <v>3166450</v>
      </c>
      <c r="AY74" s="229">
        <v>1.5771999999999999</v>
      </c>
      <c r="AZ74" s="230">
        <v>113050</v>
      </c>
      <c r="BA74" s="230">
        <v>68950</v>
      </c>
      <c r="BB74" s="230">
        <v>44100</v>
      </c>
      <c r="BC74" s="229">
        <v>0.63959999999999995</v>
      </c>
      <c r="BD74" s="230">
        <v>16450</v>
      </c>
      <c r="BE74" s="230">
        <v>15400</v>
      </c>
      <c r="BF74" s="230">
        <v>1050</v>
      </c>
      <c r="BG74" s="229">
        <v>6.8199999999999997E-2</v>
      </c>
      <c r="BH74" s="230">
        <v>18884250</v>
      </c>
      <c r="BI74" s="230">
        <v>6195350</v>
      </c>
      <c r="BJ74" s="230">
        <v>12688900</v>
      </c>
      <c r="BK74" s="229">
        <v>2.0480999999999998</v>
      </c>
      <c r="BL74" s="230">
        <v>6462400</v>
      </c>
      <c r="BM74" s="230">
        <v>2547300</v>
      </c>
      <c r="BN74" s="230">
        <v>3915100</v>
      </c>
      <c r="BO74" s="229">
        <v>1.5369999999999999</v>
      </c>
      <c r="BP74" s="230">
        <v>30650200</v>
      </c>
      <c r="BQ74" s="230">
        <v>10834600</v>
      </c>
      <c r="BR74" s="230">
        <v>19815600</v>
      </c>
      <c r="BS74" s="229">
        <v>1.8289</v>
      </c>
      <c r="BT74" s="230">
        <v>3929395</v>
      </c>
      <c r="BU74" s="230">
        <v>2217363</v>
      </c>
      <c r="BV74" s="230">
        <v>1712032</v>
      </c>
      <c r="BW74" s="229">
        <v>0.77210000000000001</v>
      </c>
      <c r="BX74" s="230">
        <v>17554600</v>
      </c>
      <c r="BY74" s="230">
        <v>16436350</v>
      </c>
      <c r="BZ74" s="230">
        <v>1118250</v>
      </c>
      <c r="CA74" s="229">
        <v>6.8000000000000005E-2</v>
      </c>
      <c r="CB74" s="230">
        <v>17290700</v>
      </c>
      <c r="CC74" s="230">
        <v>16171050</v>
      </c>
      <c r="CD74" s="230">
        <v>1119650</v>
      </c>
      <c r="CE74" s="229">
        <v>6.9199999999999998E-2</v>
      </c>
      <c r="CF74" s="230">
        <v>235200</v>
      </c>
      <c r="CG74" s="230">
        <v>236950</v>
      </c>
      <c r="CH74" s="230">
        <v>-1750</v>
      </c>
      <c r="CI74" s="229">
        <v>-7.4000000000000003E-3</v>
      </c>
      <c r="CJ74" s="230">
        <v>28700</v>
      </c>
      <c r="CK74" s="230">
        <v>28350</v>
      </c>
      <c r="CL74" s="228">
        <v>350</v>
      </c>
      <c r="CM74" s="229">
        <v>1.23E-2</v>
      </c>
      <c r="CN74" s="230">
        <v>8170400</v>
      </c>
      <c r="CO74" s="230">
        <v>6018600</v>
      </c>
      <c r="CP74" s="230">
        <v>2151800</v>
      </c>
      <c r="CQ74" s="229">
        <v>0.35749999999999998</v>
      </c>
      <c r="CR74" s="230">
        <v>3835650</v>
      </c>
      <c r="CS74" s="230">
        <v>3321500</v>
      </c>
      <c r="CT74" s="230">
        <v>514150</v>
      </c>
      <c r="CU74" s="229">
        <v>0.15479999999999999</v>
      </c>
      <c r="CV74" s="230">
        <v>29560650</v>
      </c>
      <c r="CW74" s="230">
        <v>25776450</v>
      </c>
      <c r="CX74" s="230">
        <v>3784200</v>
      </c>
      <c r="CY74" s="229">
        <v>0.14680000000000001</v>
      </c>
      <c r="CZ74" s="228">
        <v>25.71</v>
      </c>
      <c r="DA74" s="228">
        <v>25.98</v>
      </c>
      <c r="DB74" s="228">
        <v>-0.27</v>
      </c>
      <c r="DC74" s="228">
        <v>-0.27</v>
      </c>
      <c r="DD74" s="228">
        <v>27.68</v>
      </c>
      <c r="DE74" s="228">
        <v>27.63</v>
      </c>
      <c r="DF74" s="228">
        <v>-1.97</v>
      </c>
      <c r="DG74" s="228">
        <v>0.05</v>
      </c>
      <c r="DH74" s="228">
        <v>25.29</v>
      </c>
      <c r="DI74" s="228">
        <v>25.62</v>
      </c>
      <c r="DJ74" s="228">
        <v>-0.33</v>
      </c>
      <c r="DK74" s="228">
        <v>-0.33</v>
      </c>
      <c r="DL74" s="228">
        <v>26.93</v>
      </c>
      <c r="DM74" s="228">
        <v>26.85</v>
      </c>
      <c r="DN74" s="228">
        <v>0.08</v>
      </c>
      <c r="DO74" s="228">
        <v>0.08</v>
      </c>
      <c r="DP74" s="228">
        <v>0.47</v>
      </c>
      <c r="DQ74" s="228">
        <v>0.55000000000000004</v>
      </c>
      <c r="DR74" s="228">
        <v>-0.08</v>
      </c>
      <c r="DS74" s="229">
        <v>-0.14549999999999999</v>
      </c>
      <c r="DT74" s="231">
        <v>1680</v>
      </c>
      <c r="DU74" s="231">
        <v>1600</v>
      </c>
      <c r="DV74" s="228">
        <v>0.34</v>
      </c>
      <c r="DW74" s="228">
        <v>0.41</v>
      </c>
      <c r="DX74" s="228">
        <v>-7.0000000000000007E-2</v>
      </c>
      <c r="DY74" s="229">
        <v>-0.17069999999999999</v>
      </c>
      <c r="DZ74" s="229">
        <v>1.4999999999999999E-2</v>
      </c>
      <c r="EA74" s="230">
        <v>265300</v>
      </c>
      <c r="EB74" s="229">
        <v>6.4999999999999997E-3</v>
      </c>
      <c r="EC74" s="229">
        <v>1.4999999999999999E-2</v>
      </c>
      <c r="ED74" s="228">
        <v>10.08</v>
      </c>
      <c r="EE74" s="229">
        <v>6.1999999999999998E-3</v>
      </c>
      <c r="EF74" s="230">
        <v>2524925</v>
      </c>
      <c r="EG74" s="230">
        <v>1441093</v>
      </c>
      <c r="EH74" s="229">
        <v>0.75209999999999999</v>
      </c>
      <c r="EI74" s="229">
        <v>0.64259999999999995</v>
      </c>
      <c r="EJ74" s="231">
        <v>321522.14</v>
      </c>
      <c r="EK74" s="231">
        <v>104657.15</v>
      </c>
      <c r="EL74" s="231">
        <v>86686.5</v>
      </c>
      <c r="EM74" s="231">
        <v>5569</v>
      </c>
      <c r="EN74" s="231">
        <v>512865.79</v>
      </c>
      <c r="EO74" s="231">
        <v>178524.15</v>
      </c>
      <c r="EP74" s="231">
        <v>334341.64</v>
      </c>
      <c r="EQ74" s="229">
        <v>1.8728</v>
      </c>
      <c r="ER74" s="231">
        <v>139282</v>
      </c>
      <c r="ES74" s="231">
        <v>59826</v>
      </c>
      <c r="ET74" s="231">
        <v>288523</v>
      </c>
      <c r="EU74" s="231">
        <v>106857976</v>
      </c>
      <c r="EV74" s="231">
        <v>487631</v>
      </c>
      <c r="EW74" s="231">
        <v>419029</v>
      </c>
      <c r="EX74" s="231">
        <v>68602</v>
      </c>
      <c r="EY74" s="229">
        <v>0.16370000000000001</v>
      </c>
      <c r="EZ74" s="229">
        <v>0.27660000000000001</v>
      </c>
      <c r="FA74" s="227" t="s">
        <v>555</v>
      </c>
      <c r="FB74" s="161">
        <f t="shared" si="1"/>
        <v>263900</v>
      </c>
    </row>
    <row r="75" spans="1:158" ht="17.25" hidden="1" thickBot="1" x14ac:dyDescent="0.3">
      <c r="A75" s="226">
        <v>46029</v>
      </c>
      <c r="B75" s="227" t="s">
        <v>175</v>
      </c>
      <c r="C75" s="227" t="s">
        <v>475</v>
      </c>
      <c r="D75" s="228">
        <v>300</v>
      </c>
      <c r="E75" s="231">
        <v>2636.3</v>
      </c>
      <c r="F75" s="231">
        <v>2634.6</v>
      </c>
      <c r="G75" s="228">
        <v>1.7</v>
      </c>
      <c r="H75" s="229">
        <v>5.9999999999999995E-4</v>
      </c>
      <c r="I75" s="231">
        <v>2624.6</v>
      </c>
      <c r="J75" s="231">
        <v>2622.1</v>
      </c>
      <c r="K75" s="228">
        <v>2.5</v>
      </c>
      <c r="L75" s="229">
        <v>1E-3</v>
      </c>
      <c r="M75" s="231">
        <v>2636.3</v>
      </c>
      <c r="N75" s="231">
        <v>2634.6</v>
      </c>
      <c r="O75" s="228">
        <v>1.7</v>
      </c>
      <c r="P75" s="229">
        <v>5.9999999999999995E-4</v>
      </c>
      <c r="Q75" s="231">
        <v>2650</v>
      </c>
      <c r="R75" s="231">
        <v>2651.5</v>
      </c>
      <c r="S75" s="228">
        <v>-1.5</v>
      </c>
      <c r="T75" s="229">
        <v>-5.9999999999999995E-4</v>
      </c>
      <c r="U75" s="231">
        <v>2681.5</v>
      </c>
      <c r="V75" s="231">
        <v>2663.6</v>
      </c>
      <c r="W75" s="228">
        <v>17.899999999999999</v>
      </c>
      <c r="X75" s="229">
        <v>6.7000000000000002E-3</v>
      </c>
      <c r="Y75" s="228">
        <v>11.7</v>
      </c>
      <c r="Z75" s="228">
        <v>12.5</v>
      </c>
      <c r="AA75" s="228">
        <v>-0.8</v>
      </c>
      <c r="AB75" s="229">
        <v>4.4999999999999997E-3</v>
      </c>
      <c r="AC75" s="228">
        <v>11.7</v>
      </c>
      <c r="AD75" s="228">
        <v>12.5</v>
      </c>
      <c r="AE75" s="228">
        <v>-0.8</v>
      </c>
      <c r="AF75" s="229">
        <v>4.4999999999999997E-3</v>
      </c>
      <c r="AG75" s="228">
        <v>25.4</v>
      </c>
      <c r="AH75" s="228">
        <v>29.4</v>
      </c>
      <c r="AI75" s="228">
        <v>-4</v>
      </c>
      <c r="AJ75" s="229">
        <v>9.7000000000000003E-3</v>
      </c>
      <c r="AK75" s="228">
        <v>56.9</v>
      </c>
      <c r="AL75" s="228">
        <v>41.5</v>
      </c>
      <c r="AM75" s="228">
        <v>15.4</v>
      </c>
      <c r="AN75" s="229">
        <v>2.1700000000000001E-2</v>
      </c>
      <c r="AO75" s="231">
        <v>2640.76</v>
      </c>
      <c r="AP75" s="231">
        <v>2657.09</v>
      </c>
      <c r="AQ75" s="228">
        <v>0</v>
      </c>
      <c r="AR75" s="230">
        <v>576900</v>
      </c>
      <c r="AS75" s="230">
        <v>769800</v>
      </c>
      <c r="AT75" s="230">
        <v>-192900</v>
      </c>
      <c r="AU75" s="229">
        <v>-0.25059999999999999</v>
      </c>
      <c r="AV75" s="230">
        <v>531000</v>
      </c>
      <c r="AW75" s="230">
        <v>715200</v>
      </c>
      <c r="AX75" s="230">
        <v>-184200</v>
      </c>
      <c r="AY75" s="229">
        <v>-0.2576</v>
      </c>
      <c r="AZ75" s="230">
        <v>45000</v>
      </c>
      <c r="BA75" s="230">
        <v>48900</v>
      </c>
      <c r="BB75" s="230">
        <v>-3900</v>
      </c>
      <c r="BC75" s="229">
        <v>-7.9799999999999996E-2</v>
      </c>
      <c r="BD75" s="228">
        <v>900</v>
      </c>
      <c r="BE75" s="230">
        <v>5700</v>
      </c>
      <c r="BF75" s="230">
        <v>-4800</v>
      </c>
      <c r="BG75" s="229">
        <v>-0.84209999999999996</v>
      </c>
      <c r="BH75" s="230">
        <v>1569300</v>
      </c>
      <c r="BI75" s="230">
        <v>1457100</v>
      </c>
      <c r="BJ75" s="230">
        <v>112200</v>
      </c>
      <c r="BK75" s="229">
        <v>7.6999999999999999E-2</v>
      </c>
      <c r="BL75" s="230">
        <v>756600</v>
      </c>
      <c r="BM75" s="230">
        <v>698100</v>
      </c>
      <c r="BN75" s="230">
        <v>58500</v>
      </c>
      <c r="BO75" s="229">
        <v>8.3799999999999999E-2</v>
      </c>
      <c r="BP75" s="230">
        <v>2902800</v>
      </c>
      <c r="BQ75" s="230">
        <v>2925000</v>
      </c>
      <c r="BR75" s="230">
        <v>-22200</v>
      </c>
      <c r="BS75" s="229">
        <v>-7.6E-3</v>
      </c>
      <c r="BT75" s="230">
        <v>619014</v>
      </c>
      <c r="BU75" s="230">
        <v>954635</v>
      </c>
      <c r="BV75" s="230">
        <v>-335621</v>
      </c>
      <c r="BW75" s="229">
        <v>-0.35160000000000002</v>
      </c>
      <c r="BX75" s="230">
        <v>6575100</v>
      </c>
      <c r="BY75" s="230">
        <v>6498300</v>
      </c>
      <c r="BZ75" s="230">
        <v>76800</v>
      </c>
      <c r="CA75" s="229">
        <v>1.18E-2</v>
      </c>
      <c r="CB75" s="230">
        <v>6445200</v>
      </c>
      <c r="CC75" s="230">
        <v>6384600</v>
      </c>
      <c r="CD75" s="230">
        <v>60600</v>
      </c>
      <c r="CE75" s="229">
        <v>9.4999999999999998E-3</v>
      </c>
      <c r="CF75" s="230">
        <v>123300</v>
      </c>
      <c r="CG75" s="230">
        <v>108000</v>
      </c>
      <c r="CH75" s="230">
        <v>15300</v>
      </c>
      <c r="CI75" s="229">
        <v>0.14169999999999999</v>
      </c>
      <c r="CJ75" s="230">
        <v>6600</v>
      </c>
      <c r="CK75" s="230">
        <v>5700</v>
      </c>
      <c r="CL75" s="228">
        <v>900</v>
      </c>
      <c r="CM75" s="229">
        <v>0.15790000000000001</v>
      </c>
      <c r="CN75" s="230">
        <v>1763100</v>
      </c>
      <c r="CO75" s="230">
        <v>1484700</v>
      </c>
      <c r="CP75" s="230">
        <v>278400</v>
      </c>
      <c r="CQ75" s="229">
        <v>0.1875</v>
      </c>
      <c r="CR75" s="230">
        <v>1139100</v>
      </c>
      <c r="CS75" s="230">
        <v>1037400</v>
      </c>
      <c r="CT75" s="230">
        <v>101700</v>
      </c>
      <c r="CU75" s="229">
        <v>9.8000000000000004E-2</v>
      </c>
      <c r="CV75" s="230">
        <v>9477300</v>
      </c>
      <c r="CW75" s="230">
        <v>9020400</v>
      </c>
      <c r="CX75" s="230">
        <v>456900</v>
      </c>
      <c r="CY75" s="229">
        <v>5.0700000000000002E-2</v>
      </c>
      <c r="CZ75" s="228">
        <v>26.62</v>
      </c>
      <c r="DA75" s="228">
        <v>26.01</v>
      </c>
      <c r="DB75" s="228">
        <v>0.61</v>
      </c>
      <c r="DC75" s="228">
        <v>0.61</v>
      </c>
      <c r="DD75" s="228">
        <v>33.64</v>
      </c>
      <c r="DE75" s="228">
        <v>33.72</v>
      </c>
      <c r="DF75" s="228">
        <v>-7.02</v>
      </c>
      <c r="DG75" s="228">
        <v>-0.08</v>
      </c>
      <c r="DH75" s="228">
        <v>26.62</v>
      </c>
      <c r="DI75" s="228">
        <v>26.12</v>
      </c>
      <c r="DJ75" s="228">
        <v>0.5</v>
      </c>
      <c r="DK75" s="228">
        <v>0.5</v>
      </c>
      <c r="DL75" s="228">
        <v>26.63</v>
      </c>
      <c r="DM75" s="228">
        <v>25.79</v>
      </c>
      <c r="DN75" s="228">
        <v>0.84</v>
      </c>
      <c r="DO75" s="228">
        <v>0.84</v>
      </c>
      <c r="DP75" s="228">
        <v>0.65</v>
      </c>
      <c r="DQ75" s="228">
        <v>0.7</v>
      </c>
      <c r="DR75" s="228">
        <v>-0.05</v>
      </c>
      <c r="DS75" s="229">
        <v>-7.1400000000000005E-2</v>
      </c>
      <c r="DT75" s="231">
        <v>2700</v>
      </c>
      <c r="DU75" s="231">
        <v>2600</v>
      </c>
      <c r="DV75" s="228">
        <v>0.48</v>
      </c>
      <c r="DW75" s="228">
        <v>0.48</v>
      </c>
      <c r="DX75" s="228">
        <v>0</v>
      </c>
      <c r="DY75" s="229">
        <v>0</v>
      </c>
      <c r="DZ75" s="229">
        <v>1.9800000000000002E-2</v>
      </c>
      <c r="EA75" s="230">
        <v>113700</v>
      </c>
      <c r="EB75" s="229">
        <v>5.1999999999999998E-3</v>
      </c>
      <c r="EC75" s="229">
        <v>1.9800000000000002E-2</v>
      </c>
      <c r="ED75" s="228">
        <v>16.329999999999998</v>
      </c>
      <c r="EE75" s="229">
        <v>6.1999999999999998E-3</v>
      </c>
      <c r="EF75" s="230">
        <v>446371</v>
      </c>
      <c r="EG75" s="230">
        <v>665774</v>
      </c>
      <c r="EH75" s="229">
        <v>-0.32950000000000002</v>
      </c>
      <c r="EI75" s="229">
        <v>0.72109999999999996</v>
      </c>
      <c r="EJ75" s="231">
        <v>43362.94</v>
      </c>
      <c r="EK75" s="231">
        <v>19885.45</v>
      </c>
      <c r="EL75" s="231">
        <v>15242.27</v>
      </c>
      <c r="EM75" s="231">
        <v>2306</v>
      </c>
      <c r="EN75" s="231">
        <v>78490.66</v>
      </c>
      <c r="EO75" s="231">
        <v>79032.259999999995</v>
      </c>
      <c r="EP75" s="228">
        <v>-541.6</v>
      </c>
      <c r="EQ75" s="229">
        <v>-6.8999999999999999E-3</v>
      </c>
      <c r="ER75" s="231">
        <v>48643</v>
      </c>
      <c r="ES75" s="231">
        <v>29330</v>
      </c>
      <c r="ET75" s="231">
        <v>173359</v>
      </c>
      <c r="EU75" s="231">
        <v>30592324</v>
      </c>
      <c r="EV75" s="231">
        <v>251332</v>
      </c>
      <c r="EW75" s="231">
        <v>238904</v>
      </c>
      <c r="EX75" s="231">
        <v>12428</v>
      </c>
      <c r="EY75" s="229">
        <v>5.1999999999999998E-2</v>
      </c>
      <c r="EZ75" s="229">
        <v>0.30980000000000002</v>
      </c>
      <c r="FA75" s="227" t="s">
        <v>555</v>
      </c>
      <c r="FB75" s="161">
        <f t="shared" si="1"/>
        <v>129900</v>
      </c>
    </row>
    <row r="76" spans="1:158" ht="17.25" hidden="1" thickBot="1" x14ac:dyDescent="0.3">
      <c r="A76" s="226">
        <v>46029</v>
      </c>
      <c r="B76" s="227" t="s">
        <v>172</v>
      </c>
      <c r="C76" s="227" t="s">
        <v>224</v>
      </c>
      <c r="D76" s="228">
        <v>550</v>
      </c>
      <c r="E76" s="228">
        <v>952.55</v>
      </c>
      <c r="F76" s="228">
        <v>966.95</v>
      </c>
      <c r="G76" s="228">
        <v>-14.4</v>
      </c>
      <c r="H76" s="229">
        <v>-1.49E-2</v>
      </c>
      <c r="I76" s="228">
        <v>949.05</v>
      </c>
      <c r="J76" s="228">
        <v>962.2</v>
      </c>
      <c r="K76" s="228">
        <v>-13.15</v>
      </c>
      <c r="L76" s="229">
        <v>-1.37E-2</v>
      </c>
      <c r="M76" s="228">
        <v>952.55</v>
      </c>
      <c r="N76" s="228">
        <v>966.95</v>
      </c>
      <c r="O76" s="228">
        <v>-14.4</v>
      </c>
      <c r="P76" s="229">
        <v>-1.49E-2</v>
      </c>
      <c r="Q76" s="228">
        <v>958</v>
      </c>
      <c r="R76" s="228">
        <v>972.3</v>
      </c>
      <c r="S76" s="228">
        <v>-14.3</v>
      </c>
      <c r="T76" s="229">
        <v>-1.47E-2</v>
      </c>
      <c r="U76" s="228">
        <v>963.8</v>
      </c>
      <c r="V76" s="228">
        <v>978.9</v>
      </c>
      <c r="W76" s="228">
        <v>-15.1</v>
      </c>
      <c r="X76" s="229">
        <v>-1.54E-2</v>
      </c>
      <c r="Y76" s="228">
        <v>3.5</v>
      </c>
      <c r="Z76" s="228">
        <v>4.75</v>
      </c>
      <c r="AA76" s="228">
        <v>-1.25</v>
      </c>
      <c r="AB76" s="229">
        <v>3.7000000000000002E-3</v>
      </c>
      <c r="AC76" s="228">
        <v>3.5</v>
      </c>
      <c r="AD76" s="228">
        <v>4.75</v>
      </c>
      <c r="AE76" s="228">
        <v>-1.25</v>
      </c>
      <c r="AF76" s="229">
        <v>3.7000000000000002E-3</v>
      </c>
      <c r="AG76" s="228">
        <v>8.9499999999999993</v>
      </c>
      <c r="AH76" s="228">
        <v>10.1</v>
      </c>
      <c r="AI76" s="228">
        <v>-1.1499999999999999</v>
      </c>
      <c r="AJ76" s="229">
        <v>9.4000000000000004E-3</v>
      </c>
      <c r="AK76" s="228">
        <v>14.75</v>
      </c>
      <c r="AL76" s="228">
        <v>16.7</v>
      </c>
      <c r="AM76" s="228">
        <v>-1.95</v>
      </c>
      <c r="AN76" s="229">
        <v>1.55E-2</v>
      </c>
      <c r="AO76" s="228">
        <v>954.5</v>
      </c>
      <c r="AP76" s="228">
        <v>960.19</v>
      </c>
      <c r="AQ76" s="228">
        <v>0</v>
      </c>
      <c r="AR76" s="230">
        <v>35005850</v>
      </c>
      <c r="AS76" s="230">
        <v>28212800</v>
      </c>
      <c r="AT76" s="230">
        <v>6793050</v>
      </c>
      <c r="AU76" s="229">
        <v>0.24079999999999999</v>
      </c>
      <c r="AV76" s="230">
        <v>29894150</v>
      </c>
      <c r="AW76" s="230">
        <v>26408250</v>
      </c>
      <c r="AX76" s="230">
        <v>3485900</v>
      </c>
      <c r="AY76" s="229">
        <v>0.13200000000000001</v>
      </c>
      <c r="AZ76" s="230">
        <v>3478200</v>
      </c>
      <c r="BA76" s="230">
        <v>1460800</v>
      </c>
      <c r="BB76" s="230">
        <v>2017400</v>
      </c>
      <c r="BC76" s="229">
        <v>1.381</v>
      </c>
      <c r="BD76" s="230">
        <v>1633500</v>
      </c>
      <c r="BE76" s="230">
        <v>343750</v>
      </c>
      <c r="BF76" s="230">
        <v>1289750</v>
      </c>
      <c r="BG76" s="229">
        <v>3.7519999999999998</v>
      </c>
      <c r="BH76" s="230">
        <v>81957700</v>
      </c>
      <c r="BI76" s="230">
        <v>74742250</v>
      </c>
      <c r="BJ76" s="230">
        <v>7215450</v>
      </c>
      <c r="BK76" s="229">
        <v>9.6500000000000002E-2</v>
      </c>
      <c r="BL76" s="230">
        <v>49491750</v>
      </c>
      <c r="BM76" s="230">
        <v>42355500</v>
      </c>
      <c r="BN76" s="230">
        <v>7136250</v>
      </c>
      <c r="BO76" s="229">
        <v>0.16850000000000001</v>
      </c>
      <c r="BP76" s="230">
        <v>166455300</v>
      </c>
      <c r="BQ76" s="230">
        <v>145310550</v>
      </c>
      <c r="BR76" s="230">
        <v>21144750</v>
      </c>
      <c r="BS76" s="229">
        <v>0.14549999999999999</v>
      </c>
      <c r="BT76" s="230">
        <v>60286195</v>
      </c>
      <c r="BU76" s="230">
        <v>34294875</v>
      </c>
      <c r="BV76" s="230">
        <v>25991320</v>
      </c>
      <c r="BW76" s="229">
        <v>0.75790000000000002</v>
      </c>
      <c r="BX76" s="230">
        <v>225541250</v>
      </c>
      <c r="BY76" s="230">
        <v>222255000</v>
      </c>
      <c r="BZ76" s="230">
        <v>3286250</v>
      </c>
      <c r="CA76" s="229">
        <v>1.4800000000000001E-2</v>
      </c>
      <c r="CB76" s="230">
        <v>216218200</v>
      </c>
      <c r="CC76" s="230">
        <v>216951350</v>
      </c>
      <c r="CD76" s="230">
        <v>-733150</v>
      </c>
      <c r="CE76" s="229">
        <v>-3.3999999999999998E-3</v>
      </c>
      <c r="CF76" s="230">
        <v>7234700</v>
      </c>
      <c r="CG76" s="230">
        <v>4538600</v>
      </c>
      <c r="CH76" s="230">
        <v>2696100</v>
      </c>
      <c r="CI76" s="229">
        <v>0.59399999999999997</v>
      </c>
      <c r="CJ76" s="230">
        <v>2088350</v>
      </c>
      <c r="CK76" s="230">
        <v>765050</v>
      </c>
      <c r="CL76" s="230">
        <v>1323300</v>
      </c>
      <c r="CM76" s="229">
        <v>1.7297</v>
      </c>
      <c r="CN76" s="230">
        <v>61726500</v>
      </c>
      <c r="CO76" s="230">
        <v>50103350</v>
      </c>
      <c r="CP76" s="230">
        <v>11623150</v>
      </c>
      <c r="CQ76" s="229">
        <v>0.23200000000000001</v>
      </c>
      <c r="CR76" s="230">
        <v>35428250</v>
      </c>
      <c r="CS76" s="230">
        <v>30297850</v>
      </c>
      <c r="CT76" s="230">
        <v>5130400</v>
      </c>
      <c r="CU76" s="229">
        <v>0.16930000000000001</v>
      </c>
      <c r="CV76" s="230">
        <v>322696000</v>
      </c>
      <c r="CW76" s="230">
        <v>302656200</v>
      </c>
      <c r="CX76" s="230">
        <v>20039800</v>
      </c>
      <c r="CY76" s="229">
        <v>6.6199999999999995E-2</v>
      </c>
      <c r="CZ76" s="228">
        <v>21.27</v>
      </c>
      <c r="DA76" s="228">
        <v>20.16</v>
      </c>
      <c r="DB76" s="228">
        <v>1.1100000000000001</v>
      </c>
      <c r="DC76" s="228">
        <v>1.1100000000000001</v>
      </c>
      <c r="DD76" s="228">
        <v>19.91</v>
      </c>
      <c r="DE76" s="228">
        <v>19.88</v>
      </c>
      <c r="DF76" s="228">
        <v>1.36</v>
      </c>
      <c r="DG76" s="228">
        <v>0.03</v>
      </c>
      <c r="DH76" s="228">
        <v>21.33</v>
      </c>
      <c r="DI76" s="228">
        <v>20.05</v>
      </c>
      <c r="DJ76" s="228">
        <v>1.28</v>
      </c>
      <c r="DK76" s="228">
        <v>1.28</v>
      </c>
      <c r="DL76" s="228">
        <v>21.18</v>
      </c>
      <c r="DM76" s="228">
        <v>20.34</v>
      </c>
      <c r="DN76" s="228">
        <v>0.84</v>
      </c>
      <c r="DO76" s="228">
        <v>0.84</v>
      </c>
      <c r="DP76" s="228">
        <v>0.56999999999999995</v>
      </c>
      <c r="DQ76" s="228">
        <v>0.6</v>
      </c>
      <c r="DR76" s="228">
        <v>-0.03</v>
      </c>
      <c r="DS76" s="229">
        <v>-0.05</v>
      </c>
      <c r="DT76" s="231">
        <v>1000</v>
      </c>
      <c r="DU76" s="228">
        <v>900</v>
      </c>
      <c r="DV76" s="228">
        <v>0.6</v>
      </c>
      <c r="DW76" s="228">
        <v>0.56999999999999995</v>
      </c>
      <c r="DX76" s="228">
        <v>0.03</v>
      </c>
      <c r="DY76" s="229">
        <v>5.2600000000000001E-2</v>
      </c>
      <c r="DZ76" s="229">
        <v>4.1300000000000003E-2</v>
      </c>
      <c r="EA76" s="230">
        <v>5303650</v>
      </c>
      <c r="EB76" s="229">
        <v>5.7000000000000002E-3</v>
      </c>
      <c r="EC76" s="229">
        <v>4.1300000000000003E-2</v>
      </c>
      <c r="ED76" s="228">
        <v>5.69</v>
      </c>
      <c r="EE76" s="229">
        <v>6.0000000000000001E-3</v>
      </c>
      <c r="EF76" s="230">
        <v>50981049</v>
      </c>
      <c r="EG76" s="230">
        <v>24460136</v>
      </c>
      <c r="EH76" s="229">
        <v>1.0843</v>
      </c>
      <c r="EI76" s="229">
        <v>0.84570000000000001</v>
      </c>
      <c r="EJ76" s="231">
        <v>812718.63</v>
      </c>
      <c r="EK76" s="231">
        <v>471715.67</v>
      </c>
      <c r="EL76" s="231">
        <v>334505.46000000002</v>
      </c>
      <c r="EM76" s="231">
        <v>37071</v>
      </c>
      <c r="EN76" s="231">
        <v>1618939.76</v>
      </c>
      <c r="EO76" s="231">
        <v>1430268.57</v>
      </c>
      <c r="EP76" s="231">
        <v>188671.19</v>
      </c>
      <c r="EQ76" s="229">
        <v>0.13189999999999999</v>
      </c>
      <c r="ER76" s="231">
        <v>616900</v>
      </c>
      <c r="ES76" s="231">
        <v>336843</v>
      </c>
      <c r="ET76" s="231">
        <v>2149022</v>
      </c>
      <c r="EU76" s="231">
        <v>1330694977</v>
      </c>
      <c r="EV76" s="231">
        <v>3102765</v>
      </c>
      <c r="EW76" s="231">
        <v>2944476</v>
      </c>
      <c r="EX76" s="231">
        <v>158289</v>
      </c>
      <c r="EY76" s="229">
        <v>5.3800000000000001E-2</v>
      </c>
      <c r="EZ76" s="229">
        <v>0.24249999999999999</v>
      </c>
      <c r="FA76" s="227" t="s">
        <v>567</v>
      </c>
      <c r="FB76" s="161">
        <f t="shared" si="1"/>
        <v>9323050</v>
      </c>
    </row>
    <row r="77" spans="1:158" ht="17.25" hidden="1" thickBot="1" x14ac:dyDescent="0.3">
      <c r="A77" s="226">
        <v>46029</v>
      </c>
      <c r="B77" s="227" t="s">
        <v>175</v>
      </c>
      <c r="C77" s="227" t="s">
        <v>225</v>
      </c>
      <c r="D77" s="228">
        <v>1100</v>
      </c>
      <c r="E77" s="228">
        <v>775.35</v>
      </c>
      <c r="F77" s="228">
        <v>779.55</v>
      </c>
      <c r="G77" s="228">
        <v>-4.2</v>
      </c>
      <c r="H77" s="229">
        <v>-5.4000000000000003E-3</v>
      </c>
      <c r="I77" s="228">
        <v>772.35</v>
      </c>
      <c r="J77" s="228">
        <v>777.85</v>
      </c>
      <c r="K77" s="228">
        <v>-5.5</v>
      </c>
      <c r="L77" s="229">
        <v>-7.1000000000000004E-3</v>
      </c>
      <c r="M77" s="228">
        <v>775.35</v>
      </c>
      <c r="N77" s="228">
        <v>779.55</v>
      </c>
      <c r="O77" s="228">
        <v>-4.2</v>
      </c>
      <c r="P77" s="229">
        <v>-5.4000000000000003E-3</v>
      </c>
      <c r="Q77" s="228">
        <v>780</v>
      </c>
      <c r="R77" s="228">
        <v>783.7</v>
      </c>
      <c r="S77" s="228">
        <v>-3.7</v>
      </c>
      <c r="T77" s="229">
        <v>-4.7000000000000002E-3</v>
      </c>
      <c r="U77" s="228">
        <v>784.35</v>
      </c>
      <c r="V77" s="228">
        <v>784.5</v>
      </c>
      <c r="W77" s="228">
        <v>-0.15</v>
      </c>
      <c r="X77" s="229">
        <v>-2.0000000000000001E-4</v>
      </c>
      <c r="Y77" s="228">
        <v>3</v>
      </c>
      <c r="Z77" s="228">
        <v>1.7</v>
      </c>
      <c r="AA77" s="228">
        <v>1.3</v>
      </c>
      <c r="AB77" s="229">
        <v>3.8999999999999998E-3</v>
      </c>
      <c r="AC77" s="228">
        <v>3</v>
      </c>
      <c r="AD77" s="228">
        <v>1.7</v>
      </c>
      <c r="AE77" s="228">
        <v>1.3</v>
      </c>
      <c r="AF77" s="229">
        <v>3.8999999999999998E-3</v>
      </c>
      <c r="AG77" s="228">
        <v>7.65</v>
      </c>
      <c r="AH77" s="228">
        <v>5.85</v>
      </c>
      <c r="AI77" s="228">
        <v>1.8</v>
      </c>
      <c r="AJ77" s="229">
        <v>9.9000000000000008E-3</v>
      </c>
      <c r="AK77" s="228">
        <v>12</v>
      </c>
      <c r="AL77" s="228">
        <v>6.65</v>
      </c>
      <c r="AM77" s="228">
        <v>5.35</v>
      </c>
      <c r="AN77" s="229">
        <v>1.55E-2</v>
      </c>
      <c r="AO77" s="228">
        <v>776.4</v>
      </c>
      <c r="AP77" s="228">
        <v>781.04</v>
      </c>
      <c r="AQ77" s="228">
        <v>0</v>
      </c>
      <c r="AR77" s="230">
        <v>2558600</v>
      </c>
      <c r="AS77" s="230">
        <v>6004900</v>
      </c>
      <c r="AT77" s="230">
        <v>-3446300</v>
      </c>
      <c r="AU77" s="229">
        <v>-0.57389999999999997</v>
      </c>
      <c r="AV77" s="230">
        <v>2479400</v>
      </c>
      <c r="AW77" s="230">
        <v>5786000</v>
      </c>
      <c r="AX77" s="230">
        <v>-3306600</v>
      </c>
      <c r="AY77" s="229">
        <v>-0.57150000000000001</v>
      </c>
      <c r="AZ77" s="230">
        <v>74800</v>
      </c>
      <c r="BA77" s="230">
        <v>206800</v>
      </c>
      <c r="BB77" s="230">
        <v>-132000</v>
      </c>
      <c r="BC77" s="229">
        <v>-0.63829999999999998</v>
      </c>
      <c r="BD77" s="230">
        <v>4400</v>
      </c>
      <c r="BE77" s="230">
        <v>12100</v>
      </c>
      <c r="BF77" s="230">
        <v>-7700</v>
      </c>
      <c r="BG77" s="229">
        <v>-0.63639999999999997</v>
      </c>
      <c r="BH77" s="230">
        <v>6702300</v>
      </c>
      <c r="BI77" s="230">
        <v>24216500</v>
      </c>
      <c r="BJ77" s="230">
        <v>-17514200</v>
      </c>
      <c r="BK77" s="229">
        <v>-0.72319999999999995</v>
      </c>
      <c r="BL77" s="230">
        <v>3140500</v>
      </c>
      <c r="BM77" s="230">
        <v>8501900</v>
      </c>
      <c r="BN77" s="230">
        <v>-5361400</v>
      </c>
      <c r="BO77" s="229">
        <v>-0.63060000000000005</v>
      </c>
      <c r="BP77" s="230">
        <v>12401400</v>
      </c>
      <c r="BQ77" s="230">
        <v>38723300</v>
      </c>
      <c r="BR77" s="230">
        <v>-26321900</v>
      </c>
      <c r="BS77" s="229">
        <v>-0.67969999999999997</v>
      </c>
      <c r="BT77" s="230">
        <v>2584435</v>
      </c>
      <c r="BU77" s="230">
        <v>2960377</v>
      </c>
      <c r="BV77" s="230">
        <v>-375942</v>
      </c>
      <c r="BW77" s="229">
        <v>-0.127</v>
      </c>
      <c r="BX77" s="230">
        <v>36047000</v>
      </c>
      <c r="BY77" s="230">
        <v>36301100</v>
      </c>
      <c r="BZ77" s="230">
        <v>-254100</v>
      </c>
      <c r="CA77" s="229">
        <v>-7.0000000000000001E-3</v>
      </c>
      <c r="CB77" s="230">
        <v>35619100</v>
      </c>
      <c r="CC77" s="230">
        <v>35880900</v>
      </c>
      <c r="CD77" s="230">
        <v>-261800</v>
      </c>
      <c r="CE77" s="229">
        <v>-7.3000000000000001E-3</v>
      </c>
      <c r="CF77" s="230">
        <v>396000</v>
      </c>
      <c r="CG77" s="230">
        <v>388300</v>
      </c>
      <c r="CH77" s="230">
        <v>7700</v>
      </c>
      <c r="CI77" s="229">
        <v>1.9800000000000002E-2</v>
      </c>
      <c r="CJ77" s="230">
        <v>31900</v>
      </c>
      <c r="CK77" s="230">
        <v>31900</v>
      </c>
      <c r="CL77" s="228">
        <v>0</v>
      </c>
      <c r="CM77" s="229">
        <v>0</v>
      </c>
      <c r="CN77" s="230">
        <v>10151900</v>
      </c>
      <c r="CO77" s="230">
        <v>9527100</v>
      </c>
      <c r="CP77" s="230">
        <v>624800</v>
      </c>
      <c r="CQ77" s="229">
        <v>6.5600000000000006E-2</v>
      </c>
      <c r="CR77" s="230">
        <v>6571400</v>
      </c>
      <c r="CS77" s="230">
        <v>6216100</v>
      </c>
      <c r="CT77" s="230">
        <v>355300</v>
      </c>
      <c r="CU77" s="229">
        <v>5.7200000000000001E-2</v>
      </c>
      <c r="CV77" s="230">
        <v>52770300</v>
      </c>
      <c r="CW77" s="230">
        <v>52044300</v>
      </c>
      <c r="CX77" s="230">
        <v>726000</v>
      </c>
      <c r="CY77" s="229">
        <v>1.3899999999999999E-2</v>
      </c>
      <c r="CZ77" s="228">
        <v>21.78</v>
      </c>
      <c r="DA77" s="228">
        <v>21.41</v>
      </c>
      <c r="DB77" s="228">
        <v>0.37</v>
      </c>
      <c r="DC77" s="228">
        <v>0.37</v>
      </c>
      <c r="DD77" s="228">
        <v>24.9</v>
      </c>
      <c r="DE77" s="228">
        <v>24.95</v>
      </c>
      <c r="DF77" s="228">
        <v>-3.12</v>
      </c>
      <c r="DG77" s="228">
        <v>-0.05</v>
      </c>
      <c r="DH77" s="228">
        <v>21.44</v>
      </c>
      <c r="DI77" s="228">
        <v>21</v>
      </c>
      <c r="DJ77" s="228">
        <v>0.44</v>
      </c>
      <c r="DK77" s="228">
        <v>0.44</v>
      </c>
      <c r="DL77" s="228">
        <v>22.52</v>
      </c>
      <c r="DM77" s="228">
        <v>22.58</v>
      </c>
      <c r="DN77" s="228">
        <v>-0.06</v>
      </c>
      <c r="DO77" s="228">
        <v>-0.06</v>
      </c>
      <c r="DP77" s="228">
        <v>0.65</v>
      </c>
      <c r="DQ77" s="228">
        <v>0.65</v>
      </c>
      <c r="DR77" s="228">
        <v>0</v>
      </c>
      <c r="DS77" s="229">
        <v>0</v>
      </c>
      <c r="DT77" s="228">
        <v>780</v>
      </c>
      <c r="DU77" s="228">
        <v>750</v>
      </c>
      <c r="DV77" s="228">
        <v>0.47</v>
      </c>
      <c r="DW77" s="228">
        <v>0.35</v>
      </c>
      <c r="DX77" s="228">
        <v>0.12</v>
      </c>
      <c r="DY77" s="229">
        <v>0.34289999999999998</v>
      </c>
      <c r="DZ77" s="229">
        <v>1.1900000000000001E-2</v>
      </c>
      <c r="EA77" s="230">
        <v>420200</v>
      </c>
      <c r="EB77" s="229">
        <v>6.0000000000000001E-3</v>
      </c>
      <c r="EC77" s="229">
        <v>1.1900000000000001E-2</v>
      </c>
      <c r="ED77" s="228">
        <v>4.6399999999999997</v>
      </c>
      <c r="EE77" s="229">
        <v>6.0000000000000001E-3</v>
      </c>
      <c r="EF77" s="230">
        <v>1983051</v>
      </c>
      <c r="EG77" s="230">
        <v>1444200</v>
      </c>
      <c r="EH77" s="229">
        <v>0.37309999999999999</v>
      </c>
      <c r="EI77" s="229">
        <v>0.76729999999999998</v>
      </c>
      <c r="EJ77" s="231">
        <v>54180.86</v>
      </c>
      <c r="EK77" s="231">
        <v>23707.23</v>
      </c>
      <c r="EL77" s="231">
        <v>19868.87</v>
      </c>
      <c r="EM77" s="231">
        <v>2979</v>
      </c>
      <c r="EN77" s="231">
        <v>97756.96</v>
      </c>
      <c r="EO77" s="231">
        <v>305905.96999999997</v>
      </c>
      <c r="EP77" s="231">
        <v>-208149.01</v>
      </c>
      <c r="EQ77" s="229">
        <v>-0.6804</v>
      </c>
      <c r="ER77" s="231">
        <v>80595</v>
      </c>
      <c r="ES77" s="231">
        <v>48597</v>
      </c>
      <c r="ET77" s="231">
        <v>279512</v>
      </c>
      <c r="EU77" s="231">
        <v>128849634</v>
      </c>
      <c r="EV77" s="231">
        <v>408704</v>
      </c>
      <c r="EW77" s="231">
        <v>404465</v>
      </c>
      <c r="EX77" s="231">
        <v>4239</v>
      </c>
      <c r="EY77" s="229">
        <v>1.0500000000000001E-2</v>
      </c>
      <c r="EZ77" s="229">
        <v>0.40949999999999998</v>
      </c>
      <c r="FA77" s="227" t="s">
        <v>568</v>
      </c>
      <c r="FB77" s="161">
        <f t="shared" si="1"/>
        <v>427900</v>
      </c>
    </row>
    <row r="78" spans="1:158" ht="17.25" hidden="1" thickBot="1" x14ac:dyDescent="0.3">
      <c r="A78" s="226">
        <v>46029</v>
      </c>
      <c r="B78" s="227" t="s">
        <v>162</v>
      </c>
      <c r="C78" s="227" t="s">
        <v>226</v>
      </c>
      <c r="D78" s="228">
        <v>150</v>
      </c>
      <c r="E78" s="231">
        <v>6009</v>
      </c>
      <c r="F78" s="231">
        <v>6030</v>
      </c>
      <c r="G78" s="228">
        <v>-21</v>
      </c>
      <c r="H78" s="229">
        <v>-3.5000000000000001E-3</v>
      </c>
      <c r="I78" s="231">
        <v>5981</v>
      </c>
      <c r="J78" s="231">
        <v>6000</v>
      </c>
      <c r="K78" s="228">
        <v>-19</v>
      </c>
      <c r="L78" s="229">
        <v>-3.2000000000000002E-3</v>
      </c>
      <c r="M78" s="231">
        <v>6009</v>
      </c>
      <c r="N78" s="231">
        <v>6030</v>
      </c>
      <c r="O78" s="228">
        <v>-21</v>
      </c>
      <c r="P78" s="229">
        <v>-3.5000000000000001E-3</v>
      </c>
      <c r="Q78" s="231">
        <v>5986.5</v>
      </c>
      <c r="R78" s="231">
        <v>6013</v>
      </c>
      <c r="S78" s="228">
        <v>-26.5</v>
      </c>
      <c r="T78" s="229">
        <v>-4.4000000000000003E-3</v>
      </c>
      <c r="U78" s="231">
        <v>6026.5</v>
      </c>
      <c r="V78" s="231">
        <v>6049</v>
      </c>
      <c r="W78" s="228">
        <v>-22.5</v>
      </c>
      <c r="X78" s="229">
        <v>-3.7000000000000002E-3</v>
      </c>
      <c r="Y78" s="228">
        <v>28</v>
      </c>
      <c r="Z78" s="228">
        <v>30</v>
      </c>
      <c r="AA78" s="228">
        <v>-2</v>
      </c>
      <c r="AB78" s="229">
        <v>4.7000000000000002E-3</v>
      </c>
      <c r="AC78" s="228">
        <v>28</v>
      </c>
      <c r="AD78" s="228">
        <v>30</v>
      </c>
      <c r="AE78" s="228">
        <v>-2</v>
      </c>
      <c r="AF78" s="229">
        <v>4.7000000000000002E-3</v>
      </c>
      <c r="AG78" s="228">
        <v>5.5</v>
      </c>
      <c r="AH78" s="228">
        <v>13</v>
      </c>
      <c r="AI78" s="228">
        <v>-7.5</v>
      </c>
      <c r="AJ78" s="229">
        <v>8.9999999999999998E-4</v>
      </c>
      <c r="AK78" s="228">
        <v>45.5</v>
      </c>
      <c r="AL78" s="228">
        <v>49</v>
      </c>
      <c r="AM78" s="228">
        <v>-3.5</v>
      </c>
      <c r="AN78" s="229">
        <v>7.6E-3</v>
      </c>
      <c r="AO78" s="231">
        <v>6016.77</v>
      </c>
      <c r="AP78" s="231">
        <v>5993.77</v>
      </c>
      <c r="AQ78" s="228">
        <v>0</v>
      </c>
      <c r="AR78" s="230">
        <v>706800</v>
      </c>
      <c r="AS78" s="230">
        <v>745650</v>
      </c>
      <c r="AT78" s="230">
        <v>-38850</v>
      </c>
      <c r="AU78" s="229">
        <v>-5.21E-2</v>
      </c>
      <c r="AV78" s="230">
        <v>677700</v>
      </c>
      <c r="AW78" s="230">
        <v>714150</v>
      </c>
      <c r="AX78" s="230">
        <v>-36450</v>
      </c>
      <c r="AY78" s="229">
        <v>-5.0999999999999997E-2</v>
      </c>
      <c r="AZ78" s="230">
        <v>27300</v>
      </c>
      <c r="BA78" s="230">
        <v>28350</v>
      </c>
      <c r="BB78" s="230">
        <v>-1050</v>
      </c>
      <c r="BC78" s="229">
        <v>-3.6999999999999998E-2</v>
      </c>
      <c r="BD78" s="230">
        <v>1800</v>
      </c>
      <c r="BE78" s="230">
        <v>3150</v>
      </c>
      <c r="BF78" s="230">
        <v>-1350</v>
      </c>
      <c r="BG78" s="229">
        <v>-0.42859999999999998</v>
      </c>
      <c r="BH78" s="230">
        <v>3950700</v>
      </c>
      <c r="BI78" s="230">
        <v>3187200</v>
      </c>
      <c r="BJ78" s="230">
        <v>763500</v>
      </c>
      <c r="BK78" s="229">
        <v>0.23960000000000001</v>
      </c>
      <c r="BL78" s="230">
        <v>2679000</v>
      </c>
      <c r="BM78" s="230">
        <v>1550550</v>
      </c>
      <c r="BN78" s="230">
        <v>1128450</v>
      </c>
      <c r="BO78" s="229">
        <v>0.7278</v>
      </c>
      <c r="BP78" s="230">
        <v>7336500</v>
      </c>
      <c r="BQ78" s="230">
        <v>5483400</v>
      </c>
      <c r="BR78" s="230">
        <v>1853100</v>
      </c>
      <c r="BS78" s="229">
        <v>0.33789999999999998</v>
      </c>
      <c r="BT78" s="230">
        <v>622216</v>
      </c>
      <c r="BU78" s="230">
        <v>469974</v>
      </c>
      <c r="BV78" s="230">
        <v>152242</v>
      </c>
      <c r="BW78" s="229">
        <v>0.32390000000000002</v>
      </c>
      <c r="BX78" s="230">
        <v>5714400</v>
      </c>
      <c r="BY78" s="230">
        <v>5717400</v>
      </c>
      <c r="BZ78" s="230">
        <v>-3000</v>
      </c>
      <c r="CA78" s="229">
        <v>-5.0000000000000001E-4</v>
      </c>
      <c r="CB78" s="230">
        <v>5605200</v>
      </c>
      <c r="CC78" s="230">
        <v>5609250</v>
      </c>
      <c r="CD78" s="230">
        <v>-4050</v>
      </c>
      <c r="CE78" s="229">
        <v>-6.9999999999999999E-4</v>
      </c>
      <c r="CF78" s="230">
        <v>94800</v>
      </c>
      <c r="CG78" s="230">
        <v>93600</v>
      </c>
      <c r="CH78" s="230">
        <v>1200</v>
      </c>
      <c r="CI78" s="229">
        <v>1.2800000000000001E-2</v>
      </c>
      <c r="CJ78" s="230">
        <v>14400</v>
      </c>
      <c r="CK78" s="230">
        <v>14550</v>
      </c>
      <c r="CL78" s="228">
        <v>-150</v>
      </c>
      <c r="CM78" s="229">
        <v>-1.03E-2</v>
      </c>
      <c r="CN78" s="230">
        <v>2330250</v>
      </c>
      <c r="CO78" s="230">
        <v>2311050</v>
      </c>
      <c r="CP78" s="230">
        <v>19200</v>
      </c>
      <c r="CQ78" s="229">
        <v>8.3000000000000001E-3</v>
      </c>
      <c r="CR78" s="230">
        <v>1551600</v>
      </c>
      <c r="CS78" s="230">
        <v>1540050</v>
      </c>
      <c r="CT78" s="230">
        <v>11550</v>
      </c>
      <c r="CU78" s="229">
        <v>7.4999999999999997E-3</v>
      </c>
      <c r="CV78" s="230">
        <v>9596250</v>
      </c>
      <c r="CW78" s="230">
        <v>9568500</v>
      </c>
      <c r="CX78" s="230">
        <v>27750</v>
      </c>
      <c r="CY78" s="229">
        <v>2.8999999999999998E-3</v>
      </c>
      <c r="CZ78" s="228">
        <v>22.6</v>
      </c>
      <c r="DA78" s="228">
        <v>22.44</v>
      </c>
      <c r="DB78" s="228">
        <v>0.16</v>
      </c>
      <c r="DC78" s="228">
        <v>0.16</v>
      </c>
      <c r="DD78" s="228">
        <v>29.96</v>
      </c>
      <c r="DE78" s="228">
        <v>30.03</v>
      </c>
      <c r="DF78" s="228">
        <v>-7.36</v>
      </c>
      <c r="DG78" s="228">
        <v>-7.0000000000000007E-2</v>
      </c>
      <c r="DH78" s="228">
        <v>22.6</v>
      </c>
      <c r="DI78" s="228">
        <v>22.41</v>
      </c>
      <c r="DJ78" s="228">
        <v>0.19</v>
      </c>
      <c r="DK78" s="228">
        <v>0.19</v>
      </c>
      <c r="DL78" s="228">
        <v>22.59</v>
      </c>
      <c r="DM78" s="228">
        <v>22.52</v>
      </c>
      <c r="DN78" s="228">
        <v>7.0000000000000007E-2</v>
      </c>
      <c r="DO78" s="228">
        <v>7.0000000000000007E-2</v>
      </c>
      <c r="DP78" s="228">
        <v>0.67</v>
      </c>
      <c r="DQ78" s="228">
        <v>0.67</v>
      </c>
      <c r="DR78" s="228">
        <v>0</v>
      </c>
      <c r="DS78" s="229">
        <v>0</v>
      </c>
      <c r="DT78" s="231">
        <v>6000</v>
      </c>
      <c r="DU78" s="231">
        <v>6000</v>
      </c>
      <c r="DV78" s="228">
        <v>0.68</v>
      </c>
      <c r="DW78" s="228">
        <v>0.49</v>
      </c>
      <c r="DX78" s="228">
        <v>0.19</v>
      </c>
      <c r="DY78" s="229">
        <v>0.38779999999999998</v>
      </c>
      <c r="DZ78" s="229">
        <v>1.9099999999999999E-2</v>
      </c>
      <c r="EA78" s="230">
        <v>108150</v>
      </c>
      <c r="EB78" s="229">
        <v>-3.7000000000000002E-3</v>
      </c>
      <c r="EC78" s="229">
        <v>1.9099999999999999E-2</v>
      </c>
      <c r="ED78" s="228">
        <v>-23</v>
      </c>
      <c r="EE78" s="229">
        <v>-3.8E-3</v>
      </c>
      <c r="EF78" s="230">
        <v>384032</v>
      </c>
      <c r="EG78" s="230">
        <v>279621</v>
      </c>
      <c r="EH78" s="229">
        <v>0.37340000000000001</v>
      </c>
      <c r="EI78" s="229">
        <v>0.61719999999999997</v>
      </c>
      <c r="EJ78" s="231">
        <v>247434.72</v>
      </c>
      <c r="EK78" s="231">
        <v>159021.06</v>
      </c>
      <c r="EL78" s="231">
        <v>42520.52</v>
      </c>
      <c r="EM78" s="231">
        <v>7473</v>
      </c>
      <c r="EN78" s="231">
        <v>448976.3</v>
      </c>
      <c r="EO78" s="231">
        <v>337193.81</v>
      </c>
      <c r="EP78" s="231">
        <v>111782.49</v>
      </c>
      <c r="EQ78" s="229">
        <v>0.33150000000000002</v>
      </c>
      <c r="ER78" s="231">
        <v>143086</v>
      </c>
      <c r="ES78" s="231">
        <v>88148</v>
      </c>
      <c r="ET78" s="231">
        <v>343359</v>
      </c>
      <c r="EU78" s="231">
        <v>19586951</v>
      </c>
      <c r="EV78" s="231">
        <v>574593</v>
      </c>
      <c r="EW78" s="231">
        <v>574131</v>
      </c>
      <c r="EX78" s="228">
        <v>462</v>
      </c>
      <c r="EY78" s="229">
        <v>8.0000000000000004E-4</v>
      </c>
      <c r="EZ78" s="229">
        <v>0.4899</v>
      </c>
      <c r="FA78" s="227" t="s">
        <v>568</v>
      </c>
      <c r="FB78" s="161">
        <f t="shared" si="1"/>
        <v>109200</v>
      </c>
    </row>
    <row r="79" spans="1:158" ht="17.25" hidden="1" thickBot="1" x14ac:dyDescent="0.3">
      <c r="A79" s="226">
        <v>46029</v>
      </c>
      <c r="B79" s="227" t="s">
        <v>227</v>
      </c>
      <c r="C79" s="227" t="s">
        <v>228</v>
      </c>
      <c r="D79" s="228">
        <v>700</v>
      </c>
      <c r="E79" s="228">
        <v>940.2</v>
      </c>
      <c r="F79" s="228">
        <v>945.8</v>
      </c>
      <c r="G79" s="228">
        <v>-5.6</v>
      </c>
      <c r="H79" s="229">
        <v>-5.8999999999999999E-3</v>
      </c>
      <c r="I79" s="228">
        <v>938.45</v>
      </c>
      <c r="J79" s="228">
        <v>942.25</v>
      </c>
      <c r="K79" s="228">
        <v>-3.8</v>
      </c>
      <c r="L79" s="229">
        <v>-4.0000000000000001E-3</v>
      </c>
      <c r="M79" s="228">
        <v>940.2</v>
      </c>
      <c r="N79" s="228">
        <v>945.8</v>
      </c>
      <c r="O79" s="228">
        <v>-5.6</v>
      </c>
      <c r="P79" s="229">
        <v>-5.8999999999999999E-3</v>
      </c>
      <c r="Q79" s="228">
        <v>945.65</v>
      </c>
      <c r="R79" s="228">
        <v>951.8</v>
      </c>
      <c r="S79" s="228">
        <v>-6.15</v>
      </c>
      <c r="T79" s="229">
        <v>-6.4999999999999997E-3</v>
      </c>
      <c r="U79" s="228">
        <v>950.75</v>
      </c>
      <c r="V79" s="228">
        <v>957.4</v>
      </c>
      <c r="W79" s="228">
        <v>-6.65</v>
      </c>
      <c r="X79" s="229">
        <v>-6.8999999999999999E-3</v>
      </c>
      <c r="Y79" s="228">
        <v>1.75</v>
      </c>
      <c r="Z79" s="228">
        <v>3.55</v>
      </c>
      <c r="AA79" s="228">
        <v>-1.8</v>
      </c>
      <c r="AB79" s="229">
        <v>1.9E-3</v>
      </c>
      <c r="AC79" s="228">
        <v>1.75</v>
      </c>
      <c r="AD79" s="228">
        <v>3.55</v>
      </c>
      <c r="AE79" s="228">
        <v>-1.8</v>
      </c>
      <c r="AF79" s="229">
        <v>1.9E-3</v>
      </c>
      <c r="AG79" s="228">
        <v>7.2</v>
      </c>
      <c r="AH79" s="228">
        <v>9.5500000000000007</v>
      </c>
      <c r="AI79" s="228">
        <v>-2.35</v>
      </c>
      <c r="AJ79" s="229">
        <v>7.7000000000000002E-3</v>
      </c>
      <c r="AK79" s="228">
        <v>12.3</v>
      </c>
      <c r="AL79" s="228">
        <v>15.15</v>
      </c>
      <c r="AM79" s="228">
        <v>-2.85</v>
      </c>
      <c r="AN79" s="229">
        <v>1.3100000000000001E-2</v>
      </c>
      <c r="AO79" s="228">
        <v>946.34</v>
      </c>
      <c r="AP79" s="228">
        <v>951.23</v>
      </c>
      <c r="AQ79" s="228">
        <v>0</v>
      </c>
      <c r="AR79" s="230">
        <v>10522400</v>
      </c>
      <c r="AS79" s="230">
        <v>17260600</v>
      </c>
      <c r="AT79" s="230">
        <v>-6738200</v>
      </c>
      <c r="AU79" s="229">
        <v>-0.39040000000000002</v>
      </c>
      <c r="AV79" s="230">
        <v>10066000</v>
      </c>
      <c r="AW79" s="230">
        <v>16184000</v>
      </c>
      <c r="AX79" s="230">
        <v>-6118000</v>
      </c>
      <c r="AY79" s="229">
        <v>-0.378</v>
      </c>
      <c r="AZ79" s="230">
        <v>394800</v>
      </c>
      <c r="BA79" s="230">
        <v>917000</v>
      </c>
      <c r="BB79" s="230">
        <v>-522200</v>
      </c>
      <c r="BC79" s="229">
        <v>-0.56950000000000001</v>
      </c>
      <c r="BD79" s="230">
        <v>61600</v>
      </c>
      <c r="BE79" s="230">
        <v>159600</v>
      </c>
      <c r="BF79" s="230">
        <v>-98000</v>
      </c>
      <c r="BG79" s="229">
        <v>-0.61399999999999999</v>
      </c>
      <c r="BH79" s="230">
        <v>32689300</v>
      </c>
      <c r="BI79" s="230">
        <v>96849900</v>
      </c>
      <c r="BJ79" s="230">
        <v>-64160600</v>
      </c>
      <c r="BK79" s="229">
        <v>-0.66249999999999998</v>
      </c>
      <c r="BL79" s="230">
        <v>17479000</v>
      </c>
      <c r="BM79" s="230">
        <v>39315500</v>
      </c>
      <c r="BN79" s="230">
        <v>-21836500</v>
      </c>
      <c r="BO79" s="229">
        <v>-0.5554</v>
      </c>
      <c r="BP79" s="230">
        <v>60690700</v>
      </c>
      <c r="BQ79" s="230">
        <v>153426000</v>
      </c>
      <c r="BR79" s="230">
        <v>-92735300</v>
      </c>
      <c r="BS79" s="229">
        <v>-0.60440000000000005</v>
      </c>
      <c r="BT79" s="230">
        <v>7555417</v>
      </c>
      <c r="BU79" s="230">
        <v>10707195</v>
      </c>
      <c r="BV79" s="230">
        <v>-3151778</v>
      </c>
      <c r="BW79" s="229">
        <v>-0.2944</v>
      </c>
      <c r="BX79" s="230">
        <v>57831200</v>
      </c>
      <c r="BY79" s="230">
        <v>60506600</v>
      </c>
      <c r="BZ79" s="230">
        <v>-2675400</v>
      </c>
      <c r="CA79" s="229">
        <v>-4.4200000000000003E-2</v>
      </c>
      <c r="CB79" s="230">
        <v>57014300</v>
      </c>
      <c r="CC79" s="230">
        <v>59675000</v>
      </c>
      <c r="CD79" s="230">
        <v>-2660700</v>
      </c>
      <c r="CE79" s="229">
        <v>-4.4600000000000001E-2</v>
      </c>
      <c r="CF79" s="230">
        <v>693700</v>
      </c>
      <c r="CG79" s="230">
        <v>726600</v>
      </c>
      <c r="CH79" s="230">
        <v>-32900</v>
      </c>
      <c r="CI79" s="229">
        <v>-4.53E-2</v>
      </c>
      <c r="CJ79" s="230">
        <v>123200</v>
      </c>
      <c r="CK79" s="230">
        <v>105000</v>
      </c>
      <c r="CL79" s="230">
        <v>18200</v>
      </c>
      <c r="CM79" s="229">
        <v>0.17330000000000001</v>
      </c>
      <c r="CN79" s="230">
        <v>16718100</v>
      </c>
      <c r="CO79" s="230">
        <v>16243500</v>
      </c>
      <c r="CP79" s="230">
        <v>474600</v>
      </c>
      <c r="CQ79" s="229">
        <v>2.92E-2</v>
      </c>
      <c r="CR79" s="230">
        <v>13913200</v>
      </c>
      <c r="CS79" s="230">
        <v>14492800</v>
      </c>
      <c r="CT79" s="230">
        <v>-579600</v>
      </c>
      <c r="CU79" s="229">
        <v>-0.04</v>
      </c>
      <c r="CV79" s="230">
        <v>88462500</v>
      </c>
      <c r="CW79" s="230">
        <v>91242900</v>
      </c>
      <c r="CX79" s="230">
        <v>-2780400</v>
      </c>
      <c r="CY79" s="229">
        <v>-3.0499999999999999E-2</v>
      </c>
      <c r="CZ79" s="228">
        <v>26.5</v>
      </c>
      <c r="DA79" s="228">
        <v>26.8</v>
      </c>
      <c r="DB79" s="228">
        <v>-0.3</v>
      </c>
      <c r="DC79" s="228">
        <v>-0.3</v>
      </c>
      <c r="DD79" s="228">
        <v>32.14</v>
      </c>
      <c r="DE79" s="228">
        <v>32.22</v>
      </c>
      <c r="DF79" s="228">
        <v>-5.64</v>
      </c>
      <c r="DG79" s="228">
        <v>-0.08</v>
      </c>
      <c r="DH79" s="228">
        <v>26.46</v>
      </c>
      <c r="DI79" s="228">
        <v>26.66</v>
      </c>
      <c r="DJ79" s="228">
        <v>-0.2</v>
      </c>
      <c r="DK79" s="228">
        <v>-0.2</v>
      </c>
      <c r="DL79" s="228">
        <v>26.57</v>
      </c>
      <c r="DM79" s="228">
        <v>27.16</v>
      </c>
      <c r="DN79" s="228">
        <v>-0.59</v>
      </c>
      <c r="DO79" s="228">
        <v>-0.59</v>
      </c>
      <c r="DP79" s="228">
        <v>0.83</v>
      </c>
      <c r="DQ79" s="228">
        <v>0.89</v>
      </c>
      <c r="DR79" s="228">
        <v>-0.06</v>
      </c>
      <c r="DS79" s="229">
        <v>-6.7400000000000002E-2</v>
      </c>
      <c r="DT79" s="231">
        <v>1000</v>
      </c>
      <c r="DU79" s="228">
        <v>900</v>
      </c>
      <c r="DV79" s="228">
        <v>0.53</v>
      </c>
      <c r="DW79" s="228">
        <v>0.41</v>
      </c>
      <c r="DX79" s="228">
        <v>0.12</v>
      </c>
      <c r="DY79" s="229">
        <v>0.29270000000000002</v>
      </c>
      <c r="DZ79" s="229">
        <v>1.41E-2</v>
      </c>
      <c r="EA79" s="230">
        <v>831600</v>
      </c>
      <c r="EB79" s="229">
        <v>5.7999999999999996E-3</v>
      </c>
      <c r="EC79" s="229">
        <v>1.41E-2</v>
      </c>
      <c r="ED79" s="228">
        <v>4.8899999999999997</v>
      </c>
      <c r="EE79" s="229">
        <v>5.1999999999999998E-3</v>
      </c>
      <c r="EF79" s="230">
        <v>4748508</v>
      </c>
      <c r="EG79" s="230">
        <v>4311101</v>
      </c>
      <c r="EH79" s="229">
        <v>0.10150000000000001</v>
      </c>
      <c r="EI79" s="229">
        <v>0.62849999999999995</v>
      </c>
      <c r="EJ79" s="231">
        <v>323986.58</v>
      </c>
      <c r="EK79" s="231">
        <v>163030.23000000001</v>
      </c>
      <c r="EL79" s="231">
        <v>99604.49</v>
      </c>
      <c r="EM79" s="231">
        <v>12637</v>
      </c>
      <c r="EN79" s="231">
        <v>586621.30000000005</v>
      </c>
      <c r="EO79" s="231">
        <v>1499880.19</v>
      </c>
      <c r="EP79" s="231">
        <v>-913258.89</v>
      </c>
      <c r="EQ79" s="229">
        <v>-0.6089</v>
      </c>
      <c r="ER79" s="231">
        <v>160599</v>
      </c>
      <c r="ES79" s="231">
        <v>121773</v>
      </c>
      <c r="ET79" s="231">
        <v>543780</v>
      </c>
      <c r="EU79" s="231">
        <v>212176873</v>
      </c>
      <c r="EV79" s="231">
        <v>826151</v>
      </c>
      <c r="EW79" s="231">
        <v>855626</v>
      </c>
      <c r="EX79" s="231">
        <v>-29475</v>
      </c>
      <c r="EY79" s="229">
        <v>-3.44E-2</v>
      </c>
      <c r="EZ79" s="229">
        <v>0.41689999999999999</v>
      </c>
      <c r="FA79" s="227" t="s">
        <v>568</v>
      </c>
      <c r="FB79" s="161">
        <f t="shared" si="1"/>
        <v>816900</v>
      </c>
    </row>
    <row r="80" spans="1:158" ht="17.25" hidden="1" thickBot="1" x14ac:dyDescent="0.3">
      <c r="A80" s="226">
        <v>46029</v>
      </c>
      <c r="B80" s="227" t="s">
        <v>193</v>
      </c>
      <c r="C80" s="227" t="s">
        <v>229</v>
      </c>
      <c r="D80" s="228">
        <v>2025</v>
      </c>
      <c r="E80" s="228">
        <v>478.2</v>
      </c>
      <c r="F80" s="228">
        <v>484.1</v>
      </c>
      <c r="G80" s="228">
        <v>-5.9</v>
      </c>
      <c r="H80" s="229">
        <v>-1.2200000000000001E-2</v>
      </c>
      <c r="I80" s="228">
        <v>476.45</v>
      </c>
      <c r="J80" s="228">
        <v>482.35</v>
      </c>
      <c r="K80" s="228">
        <v>-5.9</v>
      </c>
      <c r="L80" s="229">
        <v>-1.2200000000000001E-2</v>
      </c>
      <c r="M80" s="228">
        <v>478.2</v>
      </c>
      <c r="N80" s="228">
        <v>484.1</v>
      </c>
      <c r="O80" s="228">
        <v>-5.9</v>
      </c>
      <c r="P80" s="229">
        <v>-1.2200000000000001E-2</v>
      </c>
      <c r="Q80" s="228">
        <v>478.5</v>
      </c>
      <c r="R80" s="228">
        <v>484.5</v>
      </c>
      <c r="S80" s="228">
        <v>-6</v>
      </c>
      <c r="T80" s="229">
        <v>-1.24E-2</v>
      </c>
      <c r="U80" s="228">
        <v>481.2</v>
      </c>
      <c r="V80" s="228">
        <v>487.55</v>
      </c>
      <c r="W80" s="228">
        <v>-6.35</v>
      </c>
      <c r="X80" s="229">
        <v>-1.2999999999999999E-2</v>
      </c>
      <c r="Y80" s="228">
        <v>1.75</v>
      </c>
      <c r="Z80" s="228">
        <v>1.75</v>
      </c>
      <c r="AA80" s="228">
        <v>0</v>
      </c>
      <c r="AB80" s="229">
        <v>3.7000000000000002E-3</v>
      </c>
      <c r="AC80" s="228">
        <v>1.75</v>
      </c>
      <c r="AD80" s="228">
        <v>1.75</v>
      </c>
      <c r="AE80" s="228">
        <v>0</v>
      </c>
      <c r="AF80" s="229">
        <v>3.7000000000000002E-3</v>
      </c>
      <c r="AG80" s="228">
        <v>2.0499999999999998</v>
      </c>
      <c r="AH80" s="228">
        <v>2.15</v>
      </c>
      <c r="AI80" s="228">
        <v>-0.1</v>
      </c>
      <c r="AJ80" s="229">
        <v>4.3E-3</v>
      </c>
      <c r="AK80" s="228">
        <v>4.75</v>
      </c>
      <c r="AL80" s="228">
        <v>5.2</v>
      </c>
      <c r="AM80" s="228">
        <v>-0.45</v>
      </c>
      <c r="AN80" s="229">
        <v>0.01</v>
      </c>
      <c r="AO80" s="228">
        <v>480.62</v>
      </c>
      <c r="AP80" s="228">
        <v>480.63</v>
      </c>
      <c r="AQ80" s="228">
        <v>0</v>
      </c>
      <c r="AR80" s="230">
        <v>5062500</v>
      </c>
      <c r="AS80" s="230">
        <v>12305925</v>
      </c>
      <c r="AT80" s="230">
        <v>-7243425</v>
      </c>
      <c r="AU80" s="229">
        <v>-0.58860000000000001</v>
      </c>
      <c r="AV80" s="230">
        <v>4795200</v>
      </c>
      <c r="AW80" s="230">
        <v>11143575</v>
      </c>
      <c r="AX80" s="230">
        <v>-6348375</v>
      </c>
      <c r="AY80" s="229">
        <v>-0.56969999999999998</v>
      </c>
      <c r="AZ80" s="230">
        <v>238950</v>
      </c>
      <c r="BA80" s="230">
        <v>1050975</v>
      </c>
      <c r="BB80" s="230">
        <v>-812025</v>
      </c>
      <c r="BC80" s="229">
        <v>-0.77259999999999995</v>
      </c>
      <c r="BD80" s="230">
        <v>28350</v>
      </c>
      <c r="BE80" s="230">
        <v>111375</v>
      </c>
      <c r="BF80" s="230">
        <v>-83025</v>
      </c>
      <c r="BG80" s="229">
        <v>-0.74550000000000005</v>
      </c>
      <c r="BH80" s="230">
        <v>10357875</v>
      </c>
      <c r="BI80" s="230">
        <v>26936550</v>
      </c>
      <c r="BJ80" s="230">
        <v>-16578675</v>
      </c>
      <c r="BK80" s="229">
        <v>-0.61550000000000005</v>
      </c>
      <c r="BL80" s="230">
        <v>4833675</v>
      </c>
      <c r="BM80" s="230">
        <v>19308375</v>
      </c>
      <c r="BN80" s="230">
        <v>-14474700</v>
      </c>
      <c r="BO80" s="229">
        <v>-0.74970000000000003</v>
      </c>
      <c r="BP80" s="230">
        <v>20254050</v>
      </c>
      <c r="BQ80" s="230">
        <v>58550850</v>
      </c>
      <c r="BR80" s="230">
        <v>-38296800</v>
      </c>
      <c r="BS80" s="229">
        <v>-0.65410000000000001</v>
      </c>
      <c r="BT80" s="230">
        <v>2619586</v>
      </c>
      <c r="BU80" s="230">
        <v>4549590</v>
      </c>
      <c r="BV80" s="230">
        <v>-1930004</v>
      </c>
      <c r="BW80" s="229">
        <v>-0.42420000000000002</v>
      </c>
      <c r="BX80" s="230">
        <v>37711575</v>
      </c>
      <c r="BY80" s="230">
        <v>37883700</v>
      </c>
      <c r="BZ80" s="230">
        <v>-172125</v>
      </c>
      <c r="CA80" s="229">
        <v>-4.4999999999999997E-3</v>
      </c>
      <c r="CB80" s="230">
        <v>36190800</v>
      </c>
      <c r="CC80" s="230">
        <v>36373050</v>
      </c>
      <c r="CD80" s="230">
        <v>-182250</v>
      </c>
      <c r="CE80" s="229">
        <v>-5.0000000000000001E-3</v>
      </c>
      <c r="CF80" s="230">
        <v>1383075</v>
      </c>
      <c r="CG80" s="230">
        <v>1385100</v>
      </c>
      <c r="CH80" s="230">
        <v>-2025</v>
      </c>
      <c r="CI80" s="229">
        <v>-1.5E-3</v>
      </c>
      <c r="CJ80" s="230">
        <v>137700</v>
      </c>
      <c r="CK80" s="230">
        <v>125550</v>
      </c>
      <c r="CL80" s="230">
        <v>12150</v>
      </c>
      <c r="CM80" s="229">
        <v>9.6799999999999997E-2</v>
      </c>
      <c r="CN80" s="230">
        <v>15240150</v>
      </c>
      <c r="CO80" s="230">
        <v>14345100</v>
      </c>
      <c r="CP80" s="230">
        <v>895050</v>
      </c>
      <c r="CQ80" s="229">
        <v>6.2399999999999997E-2</v>
      </c>
      <c r="CR80" s="230">
        <v>8316675</v>
      </c>
      <c r="CS80" s="230">
        <v>7857000</v>
      </c>
      <c r="CT80" s="230">
        <v>459675</v>
      </c>
      <c r="CU80" s="229">
        <v>5.8500000000000003E-2</v>
      </c>
      <c r="CV80" s="230">
        <v>61268400</v>
      </c>
      <c r="CW80" s="230">
        <v>60085800</v>
      </c>
      <c r="CX80" s="230">
        <v>1182600</v>
      </c>
      <c r="CY80" s="229">
        <v>1.9699999999999999E-2</v>
      </c>
      <c r="CZ80" s="228">
        <v>29.93</v>
      </c>
      <c r="DA80" s="228">
        <v>29.66</v>
      </c>
      <c r="DB80" s="228">
        <v>0.27</v>
      </c>
      <c r="DC80" s="228">
        <v>0.27</v>
      </c>
      <c r="DD80" s="228">
        <v>38.22</v>
      </c>
      <c r="DE80" s="228">
        <v>38.28</v>
      </c>
      <c r="DF80" s="228">
        <v>-8.2899999999999991</v>
      </c>
      <c r="DG80" s="228">
        <v>-0.06</v>
      </c>
      <c r="DH80" s="228">
        <v>30.15</v>
      </c>
      <c r="DI80" s="228">
        <v>29.57</v>
      </c>
      <c r="DJ80" s="228">
        <v>0.57999999999999996</v>
      </c>
      <c r="DK80" s="228">
        <v>0.57999999999999996</v>
      </c>
      <c r="DL80" s="228">
        <v>29.45</v>
      </c>
      <c r="DM80" s="228">
        <v>29.78</v>
      </c>
      <c r="DN80" s="228">
        <v>-0.33</v>
      </c>
      <c r="DO80" s="228">
        <v>-0.33</v>
      </c>
      <c r="DP80" s="228">
        <v>0.55000000000000004</v>
      </c>
      <c r="DQ80" s="228">
        <v>0.55000000000000004</v>
      </c>
      <c r="DR80" s="228">
        <v>0</v>
      </c>
      <c r="DS80" s="229">
        <v>0</v>
      </c>
      <c r="DT80" s="228">
        <v>500</v>
      </c>
      <c r="DU80" s="228">
        <v>450</v>
      </c>
      <c r="DV80" s="228">
        <v>0.47</v>
      </c>
      <c r="DW80" s="228">
        <v>0.72</v>
      </c>
      <c r="DX80" s="228">
        <v>-0.25</v>
      </c>
      <c r="DY80" s="229">
        <v>-0.34720000000000001</v>
      </c>
      <c r="DZ80" s="229">
        <v>4.0300000000000002E-2</v>
      </c>
      <c r="EA80" s="230">
        <v>1510650</v>
      </c>
      <c r="EB80" s="229">
        <v>5.9999999999999995E-4</v>
      </c>
      <c r="EC80" s="229">
        <v>4.0300000000000002E-2</v>
      </c>
      <c r="ED80" s="228">
        <v>0.01</v>
      </c>
      <c r="EE80" s="229">
        <v>0</v>
      </c>
      <c r="EF80" s="230">
        <v>1111793</v>
      </c>
      <c r="EG80" s="230">
        <v>1625943</v>
      </c>
      <c r="EH80" s="229">
        <v>-0.31619999999999998</v>
      </c>
      <c r="EI80" s="229">
        <v>0.4244</v>
      </c>
      <c r="EJ80" s="231">
        <v>52676.54</v>
      </c>
      <c r="EK80" s="231">
        <v>23026.37</v>
      </c>
      <c r="EL80" s="231">
        <v>24332.74</v>
      </c>
      <c r="EM80" s="231">
        <v>5577</v>
      </c>
      <c r="EN80" s="231">
        <v>100035.65</v>
      </c>
      <c r="EO80" s="231">
        <v>290293.65000000002</v>
      </c>
      <c r="EP80" s="231">
        <v>-190258</v>
      </c>
      <c r="EQ80" s="229">
        <v>-0.65539999999999998</v>
      </c>
      <c r="ER80" s="231">
        <v>77078</v>
      </c>
      <c r="ES80" s="231">
        <v>38761</v>
      </c>
      <c r="ET80" s="231">
        <v>180345</v>
      </c>
      <c r="EU80" s="231">
        <v>143933168</v>
      </c>
      <c r="EV80" s="231">
        <v>296183</v>
      </c>
      <c r="EW80" s="231">
        <v>292773</v>
      </c>
      <c r="EX80" s="231">
        <v>3410</v>
      </c>
      <c r="EY80" s="229">
        <v>1.1599999999999999E-2</v>
      </c>
      <c r="EZ80" s="229">
        <v>0.42570000000000002</v>
      </c>
      <c r="FA80" s="227" t="s">
        <v>568</v>
      </c>
      <c r="FB80" s="161">
        <f t="shared" si="1"/>
        <v>1520775</v>
      </c>
    </row>
    <row r="81" spans="1:158" ht="17.25" hidden="1" thickBot="1" x14ac:dyDescent="0.3">
      <c r="A81" s="226">
        <v>46029</v>
      </c>
      <c r="B81" s="227" t="s">
        <v>168</v>
      </c>
      <c r="C81" s="227" t="s">
        <v>230</v>
      </c>
      <c r="D81" s="228">
        <v>300</v>
      </c>
      <c r="E81" s="231">
        <v>2398.4</v>
      </c>
      <c r="F81" s="231">
        <v>2428.6</v>
      </c>
      <c r="G81" s="228">
        <v>-30.2</v>
      </c>
      <c r="H81" s="229">
        <v>-1.24E-2</v>
      </c>
      <c r="I81" s="231">
        <v>2399.4</v>
      </c>
      <c r="J81" s="231">
        <v>2424.6999999999998</v>
      </c>
      <c r="K81" s="228">
        <v>-25.3</v>
      </c>
      <c r="L81" s="229">
        <v>-1.04E-2</v>
      </c>
      <c r="M81" s="231">
        <v>2398.4</v>
      </c>
      <c r="N81" s="231">
        <v>2428.6</v>
      </c>
      <c r="O81" s="228">
        <v>-30.2</v>
      </c>
      <c r="P81" s="229">
        <v>-1.24E-2</v>
      </c>
      <c r="Q81" s="231">
        <v>2412.9</v>
      </c>
      <c r="R81" s="231">
        <v>2440.9</v>
      </c>
      <c r="S81" s="228">
        <v>-28</v>
      </c>
      <c r="T81" s="229">
        <v>-1.15E-2</v>
      </c>
      <c r="U81" s="231">
        <v>2426.8000000000002</v>
      </c>
      <c r="V81" s="231">
        <v>2457.6</v>
      </c>
      <c r="W81" s="228">
        <v>-30.8</v>
      </c>
      <c r="X81" s="229">
        <v>-1.2500000000000001E-2</v>
      </c>
      <c r="Y81" s="228">
        <v>-1</v>
      </c>
      <c r="Z81" s="228">
        <v>3.9</v>
      </c>
      <c r="AA81" s="228">
        <v>-4.9000000000000004</v>
      </c>
      <c r="AB81" s="229">
        <v>-4.0000000000000002E-4</v>
      </c>
      <c r="AC81" s="228">
        <v>-1</v>
      </c>
      <c r="AD81" s="228">
        <v>3.9</v>
      </c>
      <c r="AE81" s="228">
        <v>-4.9000000000000004</v>
      </c>
      <c r="AF81" s="229">
        <v>-4.0000000000000002E-4</v>
      </c>
      <c r="AG81" s="228">
        <v>13.5</v>
      </c>
      <c r="AH81" s="228">
        <v>16.2</v>
      </c>
      <c r="AI81" s="228">
        <v>-2.7</v>
      </c>
      <c r="AJ81" s="229">
        <v>5.5999999999999999E-3</v>
      </c>
      <c r="AK81" s="228">
        <v>27.4</v>
      </c>
      <c r="AL81" s="228">
        <v>32.9</v>
      </c>
      <c r="AM81" s="228">
        <v>-5.5</v>
      </c>
      <c r="AN81" s="229">
        <v>1.14E-2</v>
      </c>
      <c r="AO81" s="231">
        <v>2404.9499999999998</v>
      </c>
      <c r="AP81" s="231">
        <v>2419.0500000000002</v>
      </c>
      <c r="AQ81" s="228">
        <v>0</v>
      </c>
      <c r="AR81" s="230">
        <v>2138400</v>
      </c>
      <c r="AS81" s="230">
        <v>2981400</v>
      </c>
      <c r="AT81" s="230">
        <v>-843000</v>
      </c>
      <c r="AU81" s="229">
        <v>-0.2828</v>
      </c>
      <c r="AV81" s="230">
        <v>2042700</v>
      </c>
      <c r="AW81" s="230">
        <v>2847900</v>
      </c>
      <c r="AX81" s="230">
        <v>-805200</v>
      </c>
      <c r="AY81" s="229">
        <v>-0.28270000000000001</v>
      </c>
      <c r="AZ81" s="230">
        <v>80400</v>
      </c>
      <c r="BA81" s="230">
        <v>111600</v>
      </c>
      <c r="BB81" s="230">
        <v>-31200</v>
      </c>
      <c r="BC81" s="229">
        <v>-0.27960000000000002</v>
      </c>
      <c r="BD81" s="230">
        <v>15300</v>
      </c>
      <c r="BE81" s="230">
        <v>21900</v>
      </c>
      <c r="BF81" s="230">
        <v>-6600</v>
      </c>
      <c r="BG81" s="229">
        <v>-0.3014</v>
      </c>
      <c r="BH81" s="230">
        <v>6461100</v>
      </c>
      <c r="BI81" s="230">
        <v>14254500</v>
      </c>
      <c r="BJ81" s="230">
        <v>-7793400</v>
      </c>
      <c r="BK81" s="229">
        <v>-0.54669999999999996</v>
      </c>
      <c r="BL81" s="230">
        <v>3529500</v>
      </c>
      <c r="BM81" s="230">
        <v>6086400</v>
      </c>
      <c r="BN81" s="230">
        <v>-2556900</v>
      </c>
      <c r="BO81" s="229">
        <v>-0.42009999999999997</v>
      </c>
      <c r="BP81" s="230">
        <v>12129000</v>
      </c>
      <c r="BQ81" s="230">
        <v>23322300</v>
      </c>
      <c r="BR81" s="230">
        <v>-11193300</v>
      </c>
      <c r="BS81" s="229">
        <v>-0.47989999999999999</v>
      </c>
      <c r="BT81" s="230">
        <v>961697</v>
      </c>
      <c r="BU81" s="230">
        <v>1632160</v>
      </c>
      <c r="BV81" s="230">
        <v>-670463</v>
      </c>
      <c r="BW81" s="229">
        <v>-0.4108</v>
      </c>
      <c r="BX81" s="230">
        <v>13778700</v>
      </c>
      <c r="BY81" s="230">
        <v>13386300</v>
      </c>
      <c r="BZ81" s="230">
        <v>392400</v>
      </c>
      <c r="CA81" s="229">
        <v>2.93E-2</v>
      </c>
      <c r="CB81" s="230">
        <v>13515000</v>
      </c>
      <c r="CC81" s="230">
        <v>13144500</v>
      </c>
      <c r="CD81" s="230">
        <v>370500</v>
      </c>
      <c r="CE81" s="229">
        <v>2.8199999999999999E-2</v>
      </c>
      <c r="CF81" s="230">
        <v>222600</v>
      </c>
      <c r="CG81" s="230">
        <v>210300</v>
      </c>
      <c r="CH81" s="230">
        <v>12300</v>
      </c>
      <c r="CI81" s="229">
        <v>5.8500000000000003E-2</v>
      </c>
      <c r="CJ81" s="230">
        <v>41100</v>
      </c>
      <c r="CK81" s="230">
        <v>31500</v>
      </c>
      <c r="CL81" s="230">
        <v>9600</v>
      </c>
      <c r="CM81" s="229">
        <v>0.30480000000000002</v>
      </c>
      <c r="CN81" s="230">
        <v>5576100</v>
      </c>
      <c r="CO81" s="230">
        <v>5125800</v>
      </c>
      <c r="CP81" s="230">
        <v>450300</v>
      </c>
      <c r="CQ81" s="229">
        <v>8.7800000000000003E-2</v>
      </c>
      <c r="CR81" s="230">
        <v>3384600</v>
      </c>
      <c r="CS81" s="230">
        <v>3516600</v>
      </c>
      <c r="CT81" s="230">
        <v>-132000</v>
      </c>
      <c r="CU81" s="229">
        <v>-3.7499999999999999E-2</v>
      </c>
      <c r="CV81" s="230">
        <v>22739400</v>
      </c>
      <c r="CW81" s="230">
        <v>22028700</v>
      </c>
      <c r="CX81" s="230">
        <v>710700</v>
      </c>
      <c r="CY81" s="229">
        <v>3.2300000000000002E-2</v>
      </c>
      <c r="CZ81" s="228">
        <v>16.53</v>
      </c>
      <c r="DA81" s="228">
        <v>15.82</v>
      </c>
      <c r="DB81" s="228">
        <v>0.71</v>
      </c>
      <c r="DC81" s="228">
        <v>0.71</v>
      </c>
      <c r="DD81" s="228">
        <v>21.84</v>
      </c>
      <c r="DE81" s="228">
        <v>21.85</v>
      </c>
      <c r="DF81" s="228">
        <v>-5.31</v>
      </c>
      <c r="DG81" s="228">
        <v>-0.01</v>
      </c>
      <c r="DH81" s="228">
        <v>16.52</v>
      </c>
      <c r="DI81" s="228">
        <v>15.44</v>
      </c>
      <c r="DJ81" s="228">
        <v>1.08</v>
      </c>
      <c r="DK81" s="228">
        <v>1.08</v>
      </c>
      <c r="DL81" s="228">
        <v>16.54</v>
      </c>
      <c r="DM81" s="228">
        <v>16.71</v>
      </c>
      <c r="DN81" s="228">
        <v>-0.17</v>
      </c>
      <c r="DO81" s="228">
        <v>-0.17</v>
      </c>
      <c r="DP81" s="228">
        <v>0.61</v>
      </c>
      <c r="DQ81" s="228">
        <v>0.69</v>
      </c>
      <c r="DR81" s="228">
        <v>-0.08</v>
      </c>
      <c r="DS81" s="229">
        <v>-0.1159</v>
      </c>
      <c r="DT81" s="231">
        <v>2400</v>
      </c>
      <c r="DU81" s="231">
        <v>2300</v>
      </c>
      <c r="DV81" s="228">
        <v>0.55000000000000004</v>
      </c>
      <c r="DW81" s="228">
        <v>0.43</v>
      </c>
      <c r="DX81" s="228">
        <v>0.12</v>
      </c>
      <c r="DY81" s="229">
        <v>0.27910000000000001</v>
      </c>
      <c r="DZ81" s="229">
        <v>1.9099999999999999E-2</v>
      </c>
      <c r="EA81" s="230">
        <v>241800</v>
      </c>
      <c r="EB81" s="229">
        <v>6.0000000000000001E-3</v>
      </c>
      <c r="EC81" s="229">
        <v>1.9099999999999999E-2</v>
      </c>
      <c r="ED81" s="228">
        <v>14.1</v>
      </c>
      <c r="EE81" s="229">
        <v>5.8999999999999999E-3</v>
      </c>
      <c r="EF81" s="230">
        <v>625510</v>
      </c>
      <c r="EG81" s="230">
        <v>873585</v>
      </c>
      <c r="EH81" s="229">
        <v>-0.28399999999999997</v>
      </c>
      <c r="EI81" s="229">
        <v>0.65039999999999998</v>
      </c>
      <c r="EJ81" s="231">
        <v>159826.76999999999</v>
      </c>
      <c r="EK81" s="231">
        <v>83930.33</v>
      </c>
      <c r="EL81" s="231">
        <v>51443.62</v>
      </c>
      <c r="EM81" s="231">
        <v>8364</v>
      </c>
      <c r="EN81" s="231">
        <v>295200.71999999997</v>
      </c>
      <c r="EO81" s="231">
        <v>567987.32999999996</v>
      </c>
      <c r="EP81" s="231">
        <v>-272786.61</v>
      </c>
      <c r="EQ81" s="229">
        <v>-0.4803</v>
      </c>
      <c r="ER81" s="231">
        <v>134434</v>
      </c>
      <c r="ES81" s="231">
        <v>78122</v>
      </c>
      <c r="ET81" s="231">
        <v>330512</v>
      </c>
      <c r="EU81" s="231">
        <v>91001773</v>
      </c>
      <c r="EV81" s="231">
        <v>543068</v>
      </c>
      <c r="EW81" s="231">
        <v>529791</v>
      </c>
      <c r="EX81" s="231">
        <v>13277</v>
      </c>
      <c r="EY81" s="229">
        <v>2.5100000000000001E-2</v>
      </c>
      <c r="EZ81" s="229">
        <v>0.24990000000000001</v>
      </c>
      <c r="FA81" s="227" t="s">
        <v>567</v>
      </c>
      <c r="FB81" s="161">
        <f t="shared" si="1"/>
        <v>263700</v>
      </c>
    </row>
    <row r="82" spans="1:158" ht="17.25" hidden="1" thickBot="1" x14ac:dyDescent="0.3">
      <c r="A82" s="226">
        <v>46029</v>
      </c>
      <c r="B82" s="227" t="s">
        <v>227</v>
      </c>
      <c r="C82" s="227" t="s">
        <v>668</v>
      </c>
      <c r="D82" s="228">
        <v>1225</v>
      </c>
      <c r="E82" s="228">
        <v>631.20000000000005</v>
      </c>
      <c r="F82" s="228">
        <v>644.35</v>
      </c>
      <c r="G82" s="228">
        <v>-13.15</v>
      </c>
      <c r="H82" s="229">
        <v>-2.0400000000000001E-2</v>
      </c>
      <c r="I82" s="228">
        <v>630</v>
      </c>
      <c r="J82" s="228">
        <v>643.1</v>
      </c>
      <c r="K82" s="228">
        <v>-13.1</v>
      </c>
      <c r="L82" s="229">
        <v>-2.0400000000000001E-2</v>
      </c>
      <c r="M82" s="228">
        <v>631.20000000000005</v>
      </c>
      <c r="N82" s="228">
        <v>644.35</v>
      </c>
      <c r="O82" s="228">
        <v>-13.15</v>
      </c>
      <c r="P82" s="229">
        <v>-2.0400000000000001E-2</v>
      </c>
      <c r="Q82" s="228">
        <v>633.79999999999995</v>
      </c>
      <c r="R82" s="228">
        <v>646.54999999999995</v>
      </c>
      <c r="S82" s="228">
        <v>-12.75</v>
      </c>
      <c r="T82" s="229">
        <v>-1.9699999999999999E-2</v>
      </c>
      <c r="U82" s="228">
        <v>638.1</v>
      </c>
      <c r="V82" s="228">
        <v>651.04999999999995</v>
      </c>
      <c r="W82" s="228">
        <v>-12.95</v>
      </c>
      <c r="X82" s="229">
        <v>-1.9900000000000001E-2</v>
      </c>
      <c r="Y82" s="228">
        <v>1.2</v>
      </c>
      <c r="Z82" s="228">
        <v>1.25</v>
      </c>
      <c r="AA82" s="228">
        <v>-0.05</v>
      </c>
      <c r="AB82" s="229">
        <v>1.9E-3</v>
      </c>
      <c r="AC82" s="228">
        <v>1.2</v>
      </c>
      <c r="AD82" s="228">
        <v>1.25</v>
      </c>
      <c r="AE82" s="228">
        <v>-0.05</v>
      </c>
      <c r="AF82" s="229">
        <v>1.9E-3</v>
      </c>
      <c r="AG82" s="228">
        <v>3.8</v>
      </c>
      <c r="AH82" s="228">
        <v>3.45</v>
      </c>
      <c r="AI82" s="228">
        <v>0.35</v>
      </c>
      <c r="AJ82" s="229">
        <v>6.0000000000000001E-3</v>
      </c>
      <c r="AK82" s="228">
        <v>8.1</v>
      </c>
      <c r="AL82" s="228">
        <v>7.95</v>
      </c>
      <c r="AM82" s="228">
        <v>0.15</v>
      </c>
      <c r="AN82" s="229">
        <v>1.29E-2</v>
      </c>
      <c r="AO82" s="228">
        <v>639.70000000000005</v>
      </c>
      <c r="AP82" s="228">
        <v>643.08000000000004</v>
      </c>
      <c r="AQ82" s="228">
        <v>0</v>
      </c>
      <c r="AR82" s="230">
        <v>13385575</v>
      </c>
      <c r="AS82" s="230">
        <v>15572200</v>
      </c>
      <c r="AT82" s="230">
        <v>-2186625</v>
      </c>
      <c r="AU82" s="229">
        <v>-0.1404</v>
      </c>
      <c r="AV82" s="230">
        <v>12330850</v>
      </c>
      <c r="AW82" s="230">
        <v>14386400</v>
      </c>
      <c r="AX82" s="230">
        <v>-2055550</v>
      </c>
      <c r="AY82" s="229">
        <v>-0.1429</v>
      </c>
      <c r="AZ82" s="230">
        <v>906500</v>
      </c>
      <c r="BA82" s="230">
        <v>1041250</v>
      </c>
      <c r="BB82" s="230">
        <v>-134750</v>
      </c>
      <c r="BC82" s="229">
        <v>-0.12939999999999999</v>
      </c>
      <c r="BD82" s="230">
        <v>148225</v>
      </c>
      <c r="BE82" s="230">
        <v>144550</v>
      </c>
      <c r="BF82" s="230">
        <v>3675</v>
      </c>
      <c r="BG82" s="229">
        <v>2.5399999999999999E-2</v>
      </c>
      <c r="BH82" s="230">
        <v>45034675</v>
      </c>
      <c r="BI82" s="230">
        <v>65375800</v>
      </c>
      <c r="BJ82" s="230">
        <v>-20341125</v>
      </c>
      <c r="BK82" s="229">
        <v>-0.31109999999999999</v>
      </c>
      <c r="BL82" s="230">
        <v>22390550</v>
      </c>
      <c r="BM82" s="230">
        <v>29916950</v>
      </c>
      <c r="BN82" s="230">
        <v>-7526400</v>
      </c>
      <c r="BO82" s="229">
        <v>-0.25159999999999999</v>
      </c>
      <c r="BP82" s="230">
        <v>80810800</v>
      </c>
      <c r="BQ82" s="230">
        <v>110864950</v>
      </c>
      <c r="BR82" s="230">
        <v>-30054150</v>
      </c>
      <c r="BS82" s="229">
        <v>-0.27110000000000001</v>
      </c>
      <c r="BT82" s="230">
        <v>8643277</v>
      </c>
      <c r="BU82" s="230">
        <v>10862755</v>
      </c>
      <c r="BV82" s="230">
        <v>-2219478</v>
      </c>
      <c r="BW82" s="229">
        <v>-0.20430000000000001</v>
      </c>
      <c r="BX82" s="230">
        <v>34600125</v>
      </c>
      <c r="BY82" s="230">
        <v>34612375</v>
      </c>
      <c r="BZ82" s="230">
        <v>-12250</v>
      </c>
      <c r="CA82" s="229">
        <v>-4.0000000000000002E-4</v>
      </c>
      <c r="CB82" s="230">
        <v>31831625</v>
      </c>
      <c r="CC82" s="230">
        <v>31903900</v>
      </c>
      <c r="CD82" s="230">
        <v>-72275</v>
      </c>
      <c r="CE82" s="229">
        <v>-2.3E-3</v>
      </c>
      <c r="CF82" s="230">
        <v>2546775</v>
      </c>
      <c r="CG82" s="230">
        <v>2484300</v>
      </c>
      <c r="CH82" s="230">
        <v>62475</v>
      </c>
      <c r="CI82" s="229">
        <v>2.5100000000000001E-2</v>
      </c>
      <c r="CJ82" s="230">
        <v>221725</v>
      </c>
      <c r="CK82" s="230">
        <v>224175</v>
      </c>
      <c r="CL82" s="230">
        <v>-2450</v>
      </c>
      <c r="CM82" s="229">
        <v>-1.09E-2</v>
      </c>
      <c r="CN82" s="230">
        <v>41692875</v>
      </c>
      <c r="CO82" s="230">
        <v>36687525</v>
      </c>
      <c r="CP82" s="230">
        <v>5005350</v>
      </c>
      <c r="CQ82" s="229">
        <v>0.13639999999999999</v>
      </c>
      <c r="CR82" s="230">
        <v>25526550</v>
      </c>
      <c r="CS82" s="230">
        <v>24515925</v>
      </c>
      <c r="CT82" s="230">
        <v>1010625</v>
      </c>
      <c r="CU82" s="229">
        <v>4.1200000000000001E-2</v>
      </c>
      <c r="CV82" s="230">
        <v>101819550</v>
      </c>
      <c r="CW82" s="230">
        <v>95815825</v>
      </c>
      <c r="CX82" s="230">
        <v>6003725</v>
      </c>
      <c r="CY82" s="229">
        <v>6.2700000000000006E-2</v>
      </c>
      <c r="CZ82" s="228">
        <v>41.45</v>
      </c>
      <c r="DA82" s="228">
        <v>38.979999999999997</v>
      </c>
      <c r="DB82" s="228">
        <v>2.4700000000000002</v>
      </c>
      <c r="DC82" s="228">
        <v>2.4700000000000002</v>
      </c>
      <c r="DD82" s="228">
        <v>43.16</v>
      </c>
      <c r="DE82" s="228">
        <v>43.17</v>
      </c>
      <c r="DF82" s="228">
        <v>-1.71</v>
      </c>
      <c r="DG82" s="228">
        <v>-0.01</v>
      </c>
      <c r="DH82" s="228">
        <v>42.23</v>
      </c>
      <c r="DI82" s="228">
        <v>39.229999999999997</v>
      </c>
      <c r="DJ82" s="228">
        <v>3</v>
      </c>
      <c r="DK82" s="228">
        <v>3</v>
      </c>
      <c r="DL82" s="228">
        <v>39.869999999999997</v>
      </c>
      <c r="DM82" s="228">
        <v>38.43</v>
      </c>
      <c r="DN82" s="228">
        <v>1.44</v>
      </c>
      <c r="DO82" s="228">
        <v>1.44</v>
      </c>
      <c r="DP82" s="228">
        <v>0.61</v>
      </c>
      <c r="DQ82" s="228">
        <v>0.67</v>
      </c>
      <c r="DR82" s="228">
        <v>-0.06</v>
      </c>
      <c r="DS82" s="229">
        <v>-8.9599999999999999E-2</v>
      </c>
      <c r="DT82" s="228">
        <v>650</v>
      </c>
      <c r="DU82" s="228">
        <v>600</v>
      </c>
      <c r="DV82" s="228">
        <v>0.5</v>
      </c>
      <c r="DW82" s="228">
        <v>0.46</v>
      </c>
      <c r="DX82" s="228">
        <v>0.04</v>
      </c>
      <c r="DY82" s="229">
        <v>8.6999999999999994E-2</v>
      </c>
      <c r="DZ82" s="229">
        <v>0.08</v>
      </c>
      <c r="EA82" s="230">
        <v>2708475</v>
      </c>
      <c r="EB82" s="229">
        <v>4.1000000000000003E-3</v>
      </c>
      <c r="EC82" s="229">
        <v>0.08</v>
      </c>
      <c r="ED82" s="228">
        <v>3.38</v>
      </c>
      <c r="EE82" s="229">
        <v>5.3E-3</v>
      </c>
      <c r="EF82" s="230">
        <v>3363010</v>
      </c>
      <c r="EG82" s="230">
        <v>4161127</v>
      </c>
      <c r="EH82" s="229">
        <v>-0.1918</v>
      </c>
      <c r="EI82" s="229">
        <v>0.3891</v>
      </c>
      <c r="EJ82" s="231">
        <v>306376.34999999998</v>
      </c>
      <c r="EK82" s="231">
        <v>140242.35999999999</v>
      </c>
      <c r="EL82" s="231">
        <v>85668.04</v>
      </c>
      <c r="EM82" s="231">
        <v>9726</v>
      </c>
      <c r="EN82" s="231">
        <v>532286.75</v>
      </c>
      <c r="EO82" s="231">
        <v>729348.5</v>
      </c>
      <c r="EP82" s="231">
        <v>-197061.75</v>
      </c>
      <c r="EQ82" s="229">
        <v>-0.2702</v>
      </c>
      <c r="ER82" s="231">
        <v>274101</v>
      </c>
      <c r="ES82" s="231">
        <v>150924</v>
      </c>
      <c r="ET82" s="231">
        <v>218478</v>
      </c>
      <c r="EU82" s="231">
        <v>161247058</v>
      </c>
      <c r="EV82" s="231">
        <v>643502</v>
      </c>
      <c r="EW82" s="231">
        <v>608295</v>
      </c>
      <c r="EX82" s="231">
        <v>35207</v>
      </c>
      <c r="EY82" s="229">
        <v>5.79E-2</v>
      </c>
      <c r="EZ82" s="229">
        <v>0.63149999999999995</v>
      </c>
      <c r="FA82" s="227" t="s">
        <v>568</v>
      </c>
      <c r="FB82" s="161">
        <f t="shared" si="1"/>
        <v>2768500</v>
      </c>
    </row>
    <row r="83" spans="1:158" ht="17.25" hidden="1" thickBot="1" x14ac:dyDescent="0.3">
      <c r="A83" s="226">
        <v>46029</v>
      </c>
      <c r="B83" s="227" t="s">
        <v>206</v>
      </c>
      <c r="C83" s="227" t="s">
        <v>608</v>
      </c>
      <c r="D83" s="228">
        <v>2775</v>
      </c>
      <c r="E83" s="228">
        <v>227.86</v>
      </c>
      <c r="F83" s="228">
        <v>225.97</v>
      </c>
      <c r="G83" s="228">
        <v>1.89</v>
      </c>
      <c r="H83" s="229">
        <v>8.3999999999999995E-3</v>
      </c>
      <c r="I83" s="228">
        <v>226.82</v>
      </c>
      <c r="J83" s="228">
        <v>224.83</v>
      </c>
      <c r="K83" s="228">
        <v>1.99</v>
      </c>
      <c r="L83" s="229">
        <v>8.8999999999999999E-3</v>
      </c>
      <c r="M83" s="228">
        <v>227.86</v>
      </c>
      <c r="N83" s="228">
        <v>225.97</v>
      </c>
      <c r="O83" s="228">
        <v>1.89</v>
      </c>
      <c r="P83" s="229">
        <v>8.3999999999999995E-3</v>
      </c>
      <c r="Q83" s="228">
        <v>228.74</v>
      </c>
      <c r="R83" s="228">
        <v>226.55</v>
      </c>
      <c r="S83" s="228">
        <v>2.19</v>
      </c>
      <c r="T83" s="229">
        <v>9.7000000000000003E-3</v>
      </c>
      <c r="U83" s="228">
        <v>229.87</v>
      </c>
      <c r="V83" s="228">
        <v>227.24</v>
      </c>
      <c r="W83" s="228">
        <v>2.63</v>
      </c>
      <c r="X83" s="229">
        <v>1.1599999999999999E-2</v>
      </c>
      <c r="Y83" s="228">
        <v>1.04</v>
      </c>
      <c r="Z83" s="228">
        <v>1.1399999999999999</v>
      </c>
      <c r="AA83" s="228">
        <v>-0.1</v>
      </c>
      <c r="AB83" s="229">
        <v>4.5999999999999999E-3</v>
      </c>
      <c r="AC83" s="228">
        <v>1.04</v>
      </c>
      <c r="AD83" s="228">
        <v>1.1399999999999999</v>
      </c>
      <c r="AE83" s="228">
        <v>-0.1</v>
      </c>
      <c r="AF83" s="229">
        <v>4.5999999999999999E-3</v>
      </c>
      <c r="AG83" s="228">
        <v>1.92</v>
      </c>
      <c r="AH83" s="228">
        <v>1.72</v>
      </c>
      <c r="AI83" s="228">
        <v>0.2</v>
      </c>
      <c r="AJ83" s="229">
        <v>8.5000000000000006E-3</v>
      </c>
      <c r="AK83" s="228">
        <v>3.05</v>
      </c>
      <c r="AL83" s="228">
        <v>2.41</v>
      </c>
      <c r="AM83" s="228">
        <v>0.64</v>
      </c>
      <c r="AN83" s="229">
        <v>1.34E-2</v>
      </c>
      <c r="AO83" s="228">
        <v>227.34</v>
      </c>
      <c r="AP83" s="228">
        <v>228.12</v>
      </c>
      <c r="AQ83" s="228">
        <v>0</v>
      </c>
      <c r="AR83" s="230">
        <v>5264175</v>
      </c>
      <c r="AS83" s="230">
        <v>5350200</v>
      </c>
      <c r="AT83" s="230">
        <v>-86025</v>
      </c>
      <c r="AU83" s="229">
        <v>-1.61E-2</v>
      </c>
      <c r="AV83" s="230">
        <v>4970025</v>
      </c>
      <c r="AW83" s="230">
        <v>4970025</v>
      </c>
      <c r="AX83" s="228">
        <v>0</v>
      </c>
      <c r="AY83" s="229">
        <v>0</v>
      </c>
      <c r="AZ83" s="230">
        <v>280275</v>
      </c>
      <c r="BA83" s="230">
        <v>338550</v>
      </c>
      <c r="BB83" s="230">
        <v>-58275</v>
      </c>
      <c r="BC83" s="229">
        <v>-0.1721</v>
      </c>
      <c r="BD83" s="230">
        <v>13875</v>
      </c>
      <c r="BE83" s="230">
        <v>41625</v>
      </c>
      <c r="BF83" s="230">
        <v>-27750</v>
      </c>
      <c r="BG83" s="229">
        <v>-0.66669999999999996</v>
      </c>
      <c r="BH83" s="230">
        <v>12309900</v>
      </c>
      <c r="BI83" s="230">
        <v>11083350</v>
      </c>
      <c r="BJ83" s="230">
        <v>1226550</v>
      </c>
      <c r="BK83" s="229">
        <v>0.11070000000000001</v>
      </c>
      <c r="BL83" s="230">
        <v>3210675</v>
      </c>
      <c r="BM83" s="230">
        <v>3454875</v>
      </c>
      <c r="BN83" s="230">
        <v>-244200</v>
      </c>
      <c r="BO83" s="229">
        <v>-7.0699999999999999E-2</v>
      </c>
      <c r="BP83" s="230">
        <v>20784750</v>
      </c>
      <c r="BQ83" s="230">
        <v>19888425</v>
      </c>
      <c r="BR83" s="230">
        <v>896325</v>
      </c>
      <c r="BS83" s="229">
        <v>4.5100000000000001E-2</v>
      </c>
      <c r="BT83" s="230">
        <v>2297092</v>
      </c>
      <c r="BU83" s="230">
        <v>2794071</v>
      </c>
      <c r="BV83" s="230">
        <v>-496979</v>
      </c>
      <c r="BW83" s="229">
        <v>-0.1779</v>
      </c>
      <c r="BX83" s="230">
        <v>39843450</v>
      </c>
      <c r="BY83" s="230">
        <v>40076550</v>
      </c>
      <c r="BZ83" s="230">
        <v>-233100</v>
      </c>
      <c r="CA83" s="229">
        <v>-5.7999999999999996E-3</v>
      </c>
      <c r="CB83" s="230">
        <v>38264475</v>
      </c>
      <c r="CC83" s="230">
        <v>38569725</v>
      </c>
      <c r="CD83" s="230">
        <v>-305250</v>
      </c>
      <c r="CE83" s="229">
        <v>-7.9000000000000008E-3</v>
      </c>
      <c r="CF83" s="230">
        <v>1415250</v>
      </c>
      <c r="CG83" s="230">
        <v>1356975</v>
      </c>
      <c r="CH83" s="230">
        <v>58275</v>
      </c>
      <c r="CI83" s="229">
        <v>4.2900000000000001E-2</v>
      </c>
      <c r="CJ83" s="230">
        <v>163725</v>
      </c>
      <c r="CK83" s="230">
        <v>149850</v>
      </c>
      <c r="CL83" s="230">
        <v>13875</v>
      </c>
      <c r="CM83" s="229">
        <v>9.2600000000000002E-2</v>
      </c>
      <c r="CN83" s="230">
        <v>19988325</v>
      </c>
      <c r="CO83" s="230">
        <v>18584175</v>
      </c>
      <c r="CP83" s="230">
        <v>1404150</v>
      </c>
      <c r="CQ83" s="229">
        <v>7.5600000000000001E-2</v>
      </c>
      <c r="CR83" s="230">
        <v>14410575</v>
      </c>
      <c r="CS83" s="230">
        <v>14038725</v>
      </c>
      <c r="CT83" s="230">
        <v>371850</v>
      </c>
      <c r="CU83" s="229">
        <v>2.6499999999999999E-2</v>
      </c>
      <c r="CV83" s="230">
        <v>74242350</v>
      </c>
      <c r="CW83" s="230">
        <v>72699450</v>
      </c>
      <c r="CX83" s="230">
        <v>1542900</v>
      </c>
      <c r="CY83" s="229">
        <v>2.12E-2</v>
      </c>
      <c r="CZ83" s="228">
        <v>31.89</v>
      </c>
      <c r="DA83" s="228">
        <v>32.15</v>
      </c>
      <c r="DB83" s="228">
        <v>-0.26</v>
      </c>
      <c r="DC83" s="228">
        <v>-0.26</v>
      </c>
      <c r="DD83" s="228">
        <v>50.12</v>
      </c>
      <c r="DE83" s="228">
        <v>50.23</v>
      </c>
      <c r="DF83" s="228">
        <v>-18.23</v>
      </c>
      <c r="DG83" s="228">
        <v>-0.11</v>
      </c>
      <c r="DH83" s="228">
        <v>32.08</v>
      </c>
      <c r="DI83" s="228">
        <v>32.590000000000003</v>
      </c>
      <c r="DJ83" s="228">
        <v>-0.51</v>
      </c>
      <c r="DK83" s="228">
        <v>-0.51</v>
      </c>
      <c r="DL83" s="228">
        <v>31.17</v>
      </c>
      <c r="DM83" s="228">
        <v>30.75</v>
      </c>
      <c r="DN83" s="228">
        <v>0.42</v>
      </c>
      <c r="DO83" s="228">
        <v>0.42</v>
      </c>
      <c r="DP83" s="228">
        <v>0.72</v>
      </c>
      <c r="DQ83" s="228">
        <v>0.76</v>
      </c>
      <c r="DR83" s="228">
        <v>-0.04</v>
      </c>
      <c r="DS83" s="229">
        <v>-5.2600000000000001E-2</v>
      </c>
      <c r="DT83" s="228">
        <v>230</v>
      </c>
      <c r="DU83" s="228">
        <v>210</v>
      </c>
      <c r="DV83" s="228">
        <v>0.26</v>
      </c>
      <c r="DW83" s="228">
        <v>0.31</v>
      </c>
      <c r="DX83" s="228">
        <v>-0.05</v>
      </c>
      <c r="DY83" s="229">
        <v>-0.1613</v>
      </c>
      <c r="DZ83" s="229">
        <v>3.9600000000000003E-2</v>
      </c>
      <c r="EA83" s="230">
        <v>1506825</v>
      </c>
      <c r="EB83" s="229">
        <v>3.8999999999999998E-3</v>
      </c>
      <c r="EC83" s="229">
        <v>3.9600000000000003E-2</v>
      </c>
      <c r="ED83" s="228">
        <v>0.78</v>
      </c>
      <c r="EE83" s="229">
        <v>3.3999999999999998E-3</v>
      </c>
      <c r="EF83" s="230">
        <v>790027</v>
      </c>
      <c r="EG83" s="230">
        <v>1049714</v>
      </c>
      <c r="EH83" s="229">
        <v>-0.24740000000000001</v>
      </c>
      <c r="EI83" s="229">
        <v>0.34389999999999998</v>
      </c>
      <c r="EJ83" s="231">
        <v>29559.08</v>
      </c>
      <c r="EK83" s="231">
        <v>7167.04</v>
      </c>
      <c r="EL83" s="231">
        <v>11969.81</v>
      </c>
      <c r="EM83" s="231">
        <v>3656</v>
      </c>
      <c r="EN83" s="231">
        <v>48695.93</v>
      </c>
      <c r="EO83" s="231">
        <v>46374.82</v>
      </c>
      <c r="EP83" s="231">
        <v>2321.11</v>
      </c>
      <c r="EQ83" s="229">
        <v>5.0099999999999999E-2</v>
      </c>
      <c r="ER83" s="231">
        <v>47543</v>
      </c>
      <c r="ES83" s="231">
        <v>31372</v>
      </c>
      <c r="ET83" s="231">
        <v>90803</v>
      </c>
      <c r="EU83" s="231">
        <v>75071250</v>
      </c>
      <c r="EV83" s="231">
        <v>169718</v>
      </c>
      <c r="EW83" s="231">
        <v>165186</v>
      </c>
      <c r="EX83" s="231">
        <v>4532</v>
      </c>
      <c r="EY83" s="229">
        <v>2.7400000000000001E-2</v>
      </c>
      <c r="EZ83" s="229">
        <v>0.98899999999999999</v>
      </c>
      <c r="FA83" s="227" t="s">
        <v>556</v>
      </c>
      <c r="FB83" s="161">
        <f t="shared" si="1"/>
        <v>1578975</v>
      </c>
    </row>
    <row r="84" spans="1:158" ht="17.25" hidden="1" thickBot="1" x14ac:dyDescent="0.3">
      <c r="A84" s="226">
        <v>46029</v>
      </c>
      <c r="B84" s="227" t="s">
        <v>172</v>
      </c>
      <c r="C84" s="227" t="s">
        <v>232</v>
      </c>
      <c r="D84" s="228">
        <v>700</v>
      </c>
      <c r="E84" s="231">
        <v>1430.7</v>
      </c>
      <c r="F84" s="231">
        <v>1414.6</v>
      </c>
      <c r="G84" s="228">
        <v>16.100000000000001</v>
      </c>
      <c r="H84" s="229">
        <v>1.14E-2</v>
      </c>
      <c r="I84" s="231">
        <v>1427.7</v>
      </c>
      <c r="J84" s="231">
        <v>1411.2</v>
      </c>
      <c r="K84" s="228">
        <v>16.5</v>
      </c>
      <c r="L84" s="229">
        <v>1.17E-2</v>
      </c>
      <c r="M84" s="231">
        <v>1430.7</v>
      </c>
      <c r="N84" s="231">
        <v>1414.6</v>
      </c>
      <c r="O84" s="228">
        <v>16.100000000000001</v>
      </c>
      <c r="P84" s="229">
        <v>1.14E-2</v>
      </c>
      <c r="Q84" s="231">
        <v>1438.4</v>
      </c>
      <c r="R84" s="231">
        <v>1422.4</v>
      </c>
      <c r="S84" s="228">
        <v>16</v>
      </c>
      <c r="T84" s="229">
        <v>1.12E-2</v>
      </c>
      <c r="U84" s="231">
        <v>1448.2</v>
      </c>
      <c r="V84" s="231">
        <v>1431.4</v>
      </c>
      <c r="W84" s="228">
        <v>16.8</v>
      </c>
      <c r="X84" s="229">
        <v>1.17E-2</v>
      </c>
      <c r="Y84" s="228">
        <v>3</v>
      </c>
      <c r="Z84" s="228">
        <v>3.4</v>
      </c>
      <c r="AA84" s="228">
        <v>-0.4</v>
      </c>
      <c r="AB84" s="229">
        <v>2.0999999999999999E-3</v>
      </c>
      <c r="AC84" s="228">
        <v>3</v>
      </c>
      <c r="AD84" s="228">
        <v>3.4</v>
      </c>
      <c r="AE84" s="228">
        <v>-0.4</v>
      </c>
      <c r="AF84" s="229">
        <v>2.0999999999999999E-3</v>
      </c>
      <c r="AG84" s="228">
        <v>10.7</v>
      </c>
      <c r="AH84" s="228">
        <v>11.2</v>
      </c>
      <c r="AI84" s="228">
        <v>-0.5</v>
      </c>
      <c r="AJ84" s="229">
        <v>7.4999999999999997E-3</v>
      </c>
      <c r="AK84" s="228">
        <v>20.5</v>
      </c>
      <c r="AL84" s="228">
        <v>20.2</v>
      </c>
      <c r="AM84" s="228">
        <v>0.3</v>
      </c>
      <c r="AN84" s="229">
        <v>1.44E-2</v>
      </c>
      <c r="AO84" s="231">
        <v>1424.48</v>
      </c>
      <c r="AP84" s="231">
        <v>1432.04</v>
      </c>
      <c r="AQ84" s="228">
        <v>0</v>
      </c>
      <c r="AR84" s="230">
        <v>21971600</v>
      </c>
      <c r="AS84" s="230">
        <v>27323800</v>
      </c>
      <c r="AT84" s="230">
        <v>-5352200</v>
      </c>
      <c r="AU84" s="229">
        <v>-0.19589999999999999</v>
      </c>
      <c r="AV84" s="230">
        <v>20918100</v>
      </c>
      <c r="AW84" s="230">
        <v>25870600</v>
      </c>
      <c r="AX84" s="230">
        <v>-4952500</v>
      </c>
      <c r="AY84" s="229">
        <v>-0.19139999999999999</v>
      </c>
      <c r="AZ84" s="230">
        <v>487200</v>
      </c>
      <c r="BA84" s="230">
        <v>1197000</v>
      </c>
      <c r="BB84" s="230">
        <v>-709800</v>
      </c>
      <c r="BC84" s="229">
        <v>-0.59299999999999997</v>
      </c>
      <c r="BD84" s="230">
        <v>566300</v>
      </c>
      <c r="BE84" s="230">
        <v>256200</v>
      </c>
      <c r="BF84" s="230">
        <v>310100</v>
      </c>
      <c r="BG84" s="229">
        <v>1.2103999999999999</v>
      </c>
      <c r="BH84" s="230">
        <v>64666000</v>
      </c>
      <c r="BI84" s="230">
        <v>96259800</v>
      </c>
      <c r="BJ84" s="230">
        <v>-31593800</v>
      </c>
      <c r="BK84" s="229">
        <v>-0.32819999999999999</v>
      </c>
      <c r="BL84" s="230">
        <v>43862700</v>
      </c>
      <c r="BM84" s="230">
        <v>56114800</v>
      </c>
      <c r="BN84" s="230">
        <v>-12252100</v>
      </c>
      <c r="BO84" s="229">
        <v>-0.21829999999999999</v>
      </c>
      <c r="BP84" s="230">
        <v>130500300</v>
      </c>
      <c r="BQ84" s="230">
        <v>179698400</v>
      </c>
      <c r="BR84" s="230">
        <v>-49198100</v>
      </c>
      <c r="BS84" s="229">
        <v>-0.27379999999999999</v>
      </c>
      <c r="BT84" s="230">
        <v>18555678</v>
      </c>
      <c r="BU84" s="230">
        <v>17990544</v>
      </c>
      <c r="BV84" s="230">
        <v>565134</v>
      </c>
      <c r="BW84" s="229">
        <v>3.1399999999999997E-2</v>
      </c>
      <c r="BX84" s="230">
        <v>113465800</v>
      </c>
      <c r="BY84" s="230">
        <v>119308000</v>
      </c>
      <c r="BZ84" s="230">
        <v>-5842200</v>
      </c>
      <c r="CA84" s="229">
        <v>-4.9000000000000002E-2</v>
      </c>
      <c r="CB84" s="230">
        <v>110413100</v>
      </c>
      <c r="CC84" s="230">
        <v>116725700</v>
      </c>
      <c r="CD84" s="230">
        <v>-6312600</v>
      </c>
      <c r="CE84" s="229">
        <v>-5.4100000000000002E-2</v>
      </c>
      <c r="CF84" s="230">
        <v>2377900</v>
      </c>
      <c r="CG84" s="230">
        <v>2375100</v>
      </c>
      <c r="CH84" s="230">
        <v>2800</v>
      </c>
      <c r="CI84" s="229">
        <v>1.1999999999999999E-3</v>
      </c>
      <c r="CJ84" s="230">
        <v>674800</v>
      </c>
      <c r="CK84" s="230">
        <v>207200</v>
      </c>
      <c r="CL84" s="230">
        <v>467600</v>
      </c>
      <c r="CM84" s="229">
        <v>2.2568000000000001</v>
      </c>
      <c r="CN84" s="230">
        <v>33915000</v>
      </c>
      <c r="CO84" s="230">
        <v>31115000</v>
      </c>
      <c r="CP84" s="230">
        <v>2800000</v>
      </c>
      <c r="CQ84" s="229">
        <v>0.09</v>
      </c>
      <c r="CR84" s="230">
        <v>23943500</v>
      </c>
      <c r="CS84" s="230">
        <v>23636900</v>
      </c>
      <c r="CT84" s="230">
        <v>306600</v>
      </c>
      <c r="CU84" s="229">
        <v>1.2999999999999999E-2</v>
      </c>
      <c r="CV84" s="230">
        <v>171324300</v>
      </c>
      <c r="CW84" s="230">
        <v>174059900</v>
      </c>
      <c r="CX84" s="230">
        <v>-2735600</v>
      </c>
      <c r="CY84" s="229">
        <v>-1.5699999999999999E-2</v>
      </c>
      <c r="CZ84" s="228">
        <v>19.73</v>
      </c>
      <c r="DA84" s="228">
        <v>19.3</v>
      </c>
      <c r="DB84" s="228">
        <v>0.43</v>
      </c>
      <c r="DC84" s="228">
        <v>0.43</v>
      </c>
      <c r="DD84" s="228">
        <v>20.46</v>
      </c>
      <c r="DE84" s="228">
        <v>20.45</v>
      </c>
      <c r="DF84" s="228">
        <v>-0.73</v>
      </c>
      <c r="DG84" s="228">
        <v>0.01</v>
      </c>
      <c r="DH84" s="228">
        <v>19.57</v>
      </c>
      <c r="DI84" s="228">
        <v>19.059999999999999</v>
      </c>
      <c r="DJ84" s="228">
        <v>0.51</v>
      </c>
      <c r="DK84" s="228">
        <v>0.51</v>
      </c>
      <c r="DL84" s="228">
        <v>19.97</v>
      </c>
      <c r="DM84" s="228">
        <v>19.71</v>
      </c>
      <c r="DN84" s="228">
        <v>0.26</v>
      </c>
      <c r="DO84" s="228">
        <v>0.26</v>
      </c>
      <c r="DP84" s="228">
        <v>0.71</v>
      </c>
      <c r="DQ84" s="228">
        <v>0.76</v>
      </c>
      <c r="DR84" s="228">
        <v>-0.05</v>
      </c>
      <c r="DS84" s="229">
        <v>-6.5799999999999997E-2</v>
      </c>
      <c r="DT84" s="231">
        <v>1400</v>
      </c>
      <c r="DU84" s="231">
        <v>1400</v>
      </c>
      <c r="DV84" s="228">
        <v>0.68</v>
      </c>
      <c r="DW84" s="228">
        <v>0.57999999999999996</v>
      </c>
      <c r="DX84" s="228">
        <v>0.1</v>
      </c>
      <c r="DY84" s="229">
        <v>0.1724</v>
      </c>
      <c r="DZ84" s="229">
        <v>2.69E-2</v>
      </c>
      <c r="EA84" s="230">
        <v>2582300</v>
      </c>
      <c r="EB84" s="229">
        <v>5.4000000000000003E-3</v>
      </c>
      <c r="EC84" s="229">
        <v>2.69E-2</v>
      </c>
      <c r="ED84" s="228">
        <v>7.56</v>
      </c>
      <c r="EE84" s="229">
        <v>5.3E-3</v>
      </c>
      <c r="EF84" s="230">
        <v>14659210</v>
      </c>
      <c r="EG84" s="230">
        <v>12367599</v>
      </c>
      <c r="EH84" s="229">
        <v>0.18529999999999999</v>
      </c>
      <c r="EI84" s="229">
        <v>0.79</v>
      </c>
      <c r="EJ84" s="231">
        <v>950037.98</v>
      </c>
      <c r="EK84" s="231">
        <v>616842.37</v>
      </c>
      <c r="EL84" s="231">
        <v>313144.32000000001</v>
      </c>
      <c r="EM84" s="231">
        <v>21361</v>
      </c>
      <c r="EN84" s="231">
        <v>1880024.67</v>
      </c>
      <c r="EO84" s="231">
        <v>2556531.77</v>
      </c>
      <c r="EP84" s="231">
        <v>-676507.1</v>
      </c>
      <c r="EQ84" s="229">
        <v>-0.2646</v>
      </c>
      <c r="ER84" s="231">
        <v>484641</v>
      </c>
      <c r="ES84" s="231">
        <v>326664</v>
      </c>
      <c r="ET84" s="231">
        <v>1623656</v>
      </c>
      <c r="EU84" s="231">
        <v>580601807</v>
      </c>
      <c r="EV84" s="231">
        <v>2434961</v>
      </c>
      <c r="EW84" s="231">
        <v>2447860</v>
      </c>
      <c r="EX84" s="231">
        <v>-12899</v>
      </c>
      <c r="EY84" s="229">
        <v>-5.3E-3</v>
      </c>
      <c r="EZ84" s="229">
        <v>0.29509999999999997</v>
      </c>
      <c r="FA84" s="227" t="s">
        <v>556</v>
      </c>
      <c r="FB84" s="161">
        <f t="shared" si="1"/>
        <v>3052700</v>
      </c>
    </row>
    <row r="85" spans="1:158" ht="17.25" hidden="1" thickBot="1" x14ac:dyDescent="0.3">
      <c r="A85" s="226">
        <v>46029</v>
      </c>
      <c r="B85" s="227" t="s">
        <v>175</v>
      </c>
      <c r="C85" s="227" t="s">
        <v>472</v>
      </c>
      <c r="D85" s="228">
        <v>325</v>
      </c>
      <c r="E85" s="231">
        <v>1974</v>
      </c>
      <c r="F85" s="231">
        <v>2018.3</v>
      </c>
      <c r="G85" s="228">
        <v>-44.3</v>
      </c>
      <c r="H85" s="229">
        <v>-2.1899999999999999E-2</v>
      </c>
      <c r="I85" s="231">
        <v>1966.2</v>
      </c>
      <c r="J85" s="231">
        <v>2010</v>
      </c>
      <c r="K85" s="228">
        <v>-43.8</v>
      </c>
      <c r="L85" s="229">
        <v>-2.18E-2</v>
      </c>
      <c r="M85" s="231">
        <v>1974</v>
      </c>
      <c r="N85" s="231">
        <v>2018.3</v>
      </c>
      <c r="O85" s="228">
        <v>-44.3</v>
      </c>
      <c r="P85" s="229">
        <v>-2.1899999999999999E-2</v>
      </c>
      <c r="Q85" s="231">
        <v>1986.3</v>
      </c>
      <c r="R85" s="231">
        <v>2030.1</v>
      </c>
      <c r="S85" s="228">
        <v>-43.8</v>
      </c>
      <c r="T85" s="229">
        <v>-2.1600000000000001E-2</v>
      </c>
      <c r="U85" s="231">
        <v>2012</v>
      </c>
      <c r="V85" s="231">
        <v>2012</v>
      </c>
      <c r="W85" s="228">
        <v>0</v>
      </c>
      <c r="X85" s="229">
        <v>0</v>
      </c>
      <c r="Y85" s="228">
        <v>7.8</v>
      </c>
      <c r="Z85" s="228">
        <v>8.3000000000000007</v>
      </c>
      <c r="AA85" s="228">
        <v>-0.5</v>
      </c>
      <c r="AB85" s="229">
        <v>4.0000000000000001E-3</v>
      </c>
      <c r="AC85" s="228">
        <v>7.8</v>
      </c>
      <c r="AD85" s="228">
        <v>8.3000000000000007</v>
      </c>
      <c r="AE85" s="228">
        <v>-0.5</v>
      </c>
      <c r="AF85" s="229">
        <v>4.0000000000000001E-3</v>
      </c>
      <c r="AG85" s="228">
        <v>20.100000000000001</v>
      </c>
      <c r="AH85" s="228">
        <v>20.100000000000001</v>
      </c>
      <c r="AI85" s="228">
        <v>0</v>
      </c>
      <c r="AJ85" s="229">
        <v>1.0200000000000001E-2</v>
      </c>
      <c r="AK85" s="228">
        <v>45.8</v>
      </c>
      <c r="AL85" s="228">
        <v>2</v>
      </c>
      <c r="AM85" s="228">
        <v>43.8</v>
      </c>
      <c r="AN85" s="229">
        <v>2.3300000000000001E-2</v>
      </c>
      <c r="AO85" s="231">
        <v>1988.6</v>
      </c>
      <c r="AP85" s="231">
        <v>2002.97</v>
      </c>
      <c r="AQ85" s="228">
        <v>0</v>
      </c>
      <c r="AR85" s="230">
        <v>627900</v>
      </c>
      <c r="AS85" s="230">
        <v>560300</v>
      </c>
      <c r="AT85" s="230">
        <v>67600</v>
      </c>
      <c r="AU85" s="229">
        <v>0.1206</v>
      </c>
      <c r="AV85" s="230">
        <v>609050</v>
      </c>
      <c r="AW85" s="230">
        <v>547300</v>
      </c>
      <c r="AX85" s="230">
        <v>61750</v>
      </c>
      <c r="AY85" s="229">
        <v>0.1128</v>
      </c>
      <c r="AZ85" s="230">
        <v>18850</v>
      </c>
      <c r="BA85" s="230">
        <v>13000</v>
      </c>
      <c r="BB85" s="230">
        <v>5850</v>
      </c>
      <c r="BC85" s="229">
        <v>0.45</v>
      </c>
      <c r="BD85" s="228">
        <v>0</v>
      </c>
      <c r="BE85" s="228">
        <v>0</v>
      </c>
      <c r="BF85" s="228">
        <v>0</v>
      </c>
      <c r="BG85" s="229">
        <v>0</v>
      </c>
      <c r="BH85" s="230">
        <v>1383850</v>
      </c>
      <c r="BI85" s="230">
        <v>1790750</v>
      </c>
      <c r="BJ85" s="230">
        <v>-406900</v>
      </c>
      <c r="BK85" s="229">
        <v>-0.22720000000000001</v>
      </c>
      <c r="BL85" s="230">
        <v>956800</v>
      </c>
      <c r="BM85" s="230">
        <v>635050</v>
      </c>
      <c r="BN85" s="230">
        <v>321750</v>
      </c>
      <c r="BO85" s="229">
        <v>0.50670000000000004</v>
      </c>
      <c r="BP85" s="230">
        <v>2968550</v>
      </c>
      <c r="BQ85" s="230">
        <v>2986100</v>
      </c>
      <c r="BR85" s="230">
        <v>-17550</v>
      </c>
      <c r="BS85" s="229">
        <v>-5.8999999999999999E-3</v>
      </c>
      <c r="BT85" s="230">
        <v>718069</v>
      </c>
      <c r="BU85" s="230">
        <v>341918</v>
      </c>
      <c r="BV85" s="230">
        <v>376151</v>
      </c>
      <c r="BW85" s="229">
        <v>1.1001000000000001</v>
      </c>
      <c r="BX85" s="230">
        <v>5159050</v>
      </c>
      <c r="BY85" s="230">
        <v>5164900</v>
      </c>
      <c r="BZ85" s="230">
        <v>-5850</v>
      </c>
      <c r="CA85" s="229">
        <v>-1.1000000000000001E-3</v>
      </c>
      <c r="CB85" s="230">
        <v>5129150</v>
      </c>
      <c r="CC85" s="230">
        <v>5135650</v>
      </c>
      <c r="CD85" s="230">
        <v>-6500</v>
      </c>
      <c r="CE85" s="229">
        <v>-1.2999999999999999E-3</v>
      </c>
      <c r="CF85" s="230">
        <v>29575</v>
      </c>
      <c r="CG85" s="230">
        <v>28925</v>
      </c>
      <c r="CH85" s="228">
        <v>650</v>
      </c>
      <c r="CI85" s="229">
        <v>2.2499999999999999E-2</v>
      </c>
      <c r="CJ85" s="228">
        <v>325</v>
      </c>
      <c r="CK85" s="228">
        <v>325</v>
      </c>
      <c r="CL85" s="228">
        <v>0</v>
      </c>
      <c r="CM85" s="229">
        <v>0</v>
      </c>
      <c r="CN85" s="230">
        <v>993850</v>
      </c>
      <c r="CO85" s="230">
        <v>875225</v>
      </c>
      <c r="CP85" s="230">
        <v>118625</v>
      </c>
      <c r="CQ85" s="229">
        <v>0.13550000000000001</v>
      </c>
      <c r="CR85" s="230">
        <v>859625</v>
      </c>
      <c r="CS85" s="230">
        <v>818675</v>
      </c>
      <c r="CT85" s="230">
        <v>40950</v>
      </c>
      <c r="CU85" s="229">
        <v>0.05</v>
      </c>
      <c r="CV85" s="230">
        <v>7012525</v>
      </c>
      <c r="CW85" s="230">
        <v>6858800</v>
      </c>
      <c r="CX85" s="230">
        <v>153725</v>
      </c>
      <c r="CY85" s="229">
        <v>2.24E-2</v>
      </c>
      <c r="CZ85" s="228">
        <v>25.96</v>
      </c>
      <c r="DA85" s="228">
        <v>24.89</v>
      </c>
      <c r="DB85" s="228">
        <v>1.07</v>
      </c>
      <c r="DC85" s="228">
        <v>1.07</v>
      </c>
      <c r="DD85" s="228">
        <v>27.63</v>
      </c>
      <c r="DE85" s="228">
        <v>27.54</v>
      </c>
      <c r="DF85" s="228">
        <v>-1.67</v>
      </c>
      <c r="DG85" s="228">
        <v>0.09</v>
      </c>
      <c r="DH85" s="228">
        <v>26</v>
      </c>
      <c r="DI85" s="228">
        <v>24.72</v>
      </c>
      <c r="DJ85" s="228">
        <v>1.28</v>
      </c>
      <c r="DK85" s="228">
        <v>1.28</v>
      </c>
      <c r="DL85" s="228">
        <v>25.89</v>
      </c>
      <c r="DM85" s="228">
        <v>25.37</v>
      </c>
      <c r="DN85" s="228">
        <v>0.52</v>
      </c>
      <c r="DO85" s="228">
        <v>0.52</v>
      </c>
      <c r="DP85" s="228">
        <v>0.86</v>
      </c>
      <c r="DQ85" s="228">
        <v>0.94</v>
      </c>
      <c r="DR85" s="228">
        <v>-0.08</v>
      </c>
      <c r="DS85" s="229">
        <v>-8.5099999999999995E-2</v>
      </c>
      <c r="DT85" s="231">
        <v>2000</v>
      </c>
      <c r="DU85" s="231">
        <v>1800</v>
      </c>
      <c r="DV85" s="228">
        <v>0.69</v>
      </c>
      <c r="DW85" s="228">
        <v>0.35</v>
      </c>
      <c r="DX85" s="228">
        <v>0.34</v>
      </c>
      <c r="DY85" s="229">
        <v>0.97140000000000004</v>
      </c>
      <c r="DZ85" s="229">
        <v>5.7999999999999996E-3</v>
      </c>
      <c r="EA85" s="230">
        <v>29250</v>
      </c>
      <c r="EB85" s="229">
        <v>6.1999999999999998E-3</v>
      </c>
      <c r="EC85" s="229">
        <v>5.7999999999999996E-3</v>
      </c>
      <c r="ED85" s="228">
        <v>14.37</v>
      </c>
      <c r="EE85" s="229">
        <v>7.1999999999999998E-3</v>
      </c>
      <c r="EF85" s="230">
        <v>533392</v>
      </c>
      <c r="EG85" s="230">
        <v>184979</v>
      </c>
      <c r="EH85" s="229">
        <v>1.8835</v>
      </c>
      <c r="EI85" s="229">
        <v>0.74280000000000002</v>
      </c>
      <c r="EJ85" s="231">
        <v>28796.95</v>
      </c>
      <c r="EK85" s="231">
        <v>18661.490000000002</v>
      </c>
      <c r="EL85" s="231">
        <v>12489.15</v>
      </c>
      <c r="EM85" s="231">
        <v>1227</v>
      </c>
      <c r="EN85" s="231">
        <v>59947.59</v>
      </c>
      <c r="EO85" s="231">
        <v>60931.98</v>
      </c>
      <c r="EP85" s="228">
        <v>-984.39</v>
      </c>
      <c r="EQ85" s="229">
        <v>-1.6199999999999999E-2</v>
      </c>
      <c r="ER85" s="231">
        <v>20434</v>
      </c>
      <c r="ES85" s="231">
        <v>16234</v>
      </c>
      <c r="ET85" s="231">
        <v>101843</v>
      </c>
      <c r="EU85" s="231">
        <v>28747897</v>
      </c>
      <c r="EV85" s="231">
        <v>138512</v>
      </c>
      <c r="EW85" s="231">
        <v>137699</v>
      </c>
      <c r="EX85" s="228">
        <v>813</v>
      </c>
      <c r="EY85" s="229">
        <v>5.8999999999999999E-3</v>
      </c>
      <c r="EZ85" s="229">
        <v>0.24390000000000001</v>
      </c>
      <c r="FA85" s="227" t="s">
        <v>568</v>
      </c>
      <c r="FB85" s="161">
        <f t="shared" si="1"/>
        <v>29900</v>
      </c>
    </row>
    <row r="86" spans="1:158" ht="17.25" hidden="1" thickBot="1" x14ac:dyDescent="0.3">
      <c r="A86" s="226">
        <v>46029</v>
      </c>
      <c r="B86" s="227" t="s">
        <v>175</v>
      </c>
      <c r="C86" s="227" t="s">
        <v>233</v>
      </c>
      <c r="D86" s="228">
        <v>925</v>
      </c>
      <c r="E86" s="228">
        <v>686.15</v>
      </c>
      <c r="F86" s="228">
        <v>691.25</v>
      </c>
      <c r="G86" s="228">
        <v>-5.0999999999999996</v>
      </c>
      <c r="H86" s="229">
        <v>-7.4000000000000003E-3</v>
      </c>
      <c r="I86" s="228">
        <v>684.6</v>
      </c>
      <c r="J86" s="228">
        <v>688.45</v>
      </c>
      <c r="K86" s="228">
        <v>-3.85</v>
      </c>
      <c r="L86" s="229">
        <v>-5.5999999999999999E-3</v>
      </c>
      <c r="M86" s="228">
        <v>686.15</v>
      </c>
      <c r="N86" s="228">
        <v>691.25</v>
      </c>
      <c r="O86" s="228">
        <v>-5.0999999999999996</v>
      </c>
      <c r="P86" s="229">
        <v>-7.4000000000000003E-3</v>
      </c>
      <c r="Q86" s="228">
        <v>691.4</v>
      </c>
      <c r="R86" s="228">
        <v>694.65</v>
      </c>
      <c r="S86" s="228">
        <v>-3.25</v>
      </c>
      <c r="T86" s="229">
        <v>-4.7000000000000002E-3</v>
      </c>
      <c r="U86" s="228">
        <v>700.4</v>
      </c>
      <c r="V86" s="228">
        <v>707</v>
      </c>
      <c r="W86" s="228">
        <v>-6.6</v>
      </c>
      <c r="X86" s="229">
        <v>-9.2999999999999992E-3</v>
      </c>
      <c r="Y86" s="228">
        <v>1.55</v>
      </c>
      <c r="Z86" s="228">
        <v>2.8</v>
      </c>
      <c r="AA86" s="228">
        <v>-1.25</v>
      </c>
      <c r="AB86" s="229">
        <v>2.3E-3</v>
      </c>
      <c r="AC86" s="228">
        <v>1.55</v>
      </c>
      <c r="AD86" s="228">
        <v>2.8</v>
      </c>
      <c r="AE86" s="228">
        <v>-1.25</v>
      </c>
      <c r="AF86" s="229">
        <v>2.3E-3</v>
      </c>
      <c r="AG86" s="228">
        <v>6.8</v>
      </c>
      <c r="AH86" s="228">
        <v>6.2</v>
      </c>
      <c r="AI86" s="228">
        <v>0.6</v>
      </c>
      <c r="AJ86" s="229">
        <v>9.9000000000000008E-3</v>
      </c>
      <c r="AK86" s="228">
        <v>15.8</v>
      </c>
      <c r="AL86" s="228">
        <v>18.55</v>
      </c>
      <c r="AM86" s="228">
        <v>-2.75</v>
      </c>
      <c r="AN86" s="229">
        <v>2.3099999999999999E-2</v>
      </c>
      <c r="AO86" s="228">
        <v>688.56</v>
      </c>
      <c r="AP86" s="228">
        <v>695.92</v>
      </c>
      <c r="AQ86" s="228">
        <v>0</v>
      </c>
      <c r="AR86" s="230">
        <v>4082950</v>
      </c>
      <c r="AS86" s="230">
        <v>3145925</v>
      </c>
      <c r="AT86" s="230">
        <v>937025</v>
      </c>
      <c r="AU86" s="229">
        <v>0.2979</v>
      </c>
      <c r="AV86" s="230">
        <v>4032075</v>
      </c>
      <c r="AW86" s="230">
        <v>3113550</v>
      </c>
      <c r="AX86" s="230">
        <v>918525</v>
      </c>
      <c r="AY86" s="229">
        <v>0.29499999999999998</v>
      </c>
      <c r="AZ86" s="230">
        <v>44400</v>
      </c>
      <c r="BA86" s="230">
        <v>30525</v>
      </c>
      <c r="BB86" s="230">
        <v>13875</v>
      </c>
      <c r="BC86" s="229">
        <v>0.45450000000000002</v>
      </c>
      <c r="BD86" s="230">
        <v>6475</v>
      </c>
      <c r="BE86" s="230">
        <v>1850</v>
      </c>
      <c r="BF86" s="230">
        <v>4625</v>
      </c>
      <c r="BG86" s="229">
        <v>2.5</v>
      </c>
      <c r="BH86" s="230">
        <v>2169125</v>
      </c>
      <c r="BI86" s="230">
        <v>2497500</v>
      </c>
      <c r="BJ86" s="230">
        <v>-328375</v>
      </c>
      <c r="BK86" s="229">
        <v>-0.13150000000000001</v>
      </c>
      <c r="BL86" s="230">
        <v>1187700</v>
      </c>
      <c r="BM86" s="230">
        <v>1515150</v>
      </c>
      <c r="BN86" s="230">
        <v>-327450</v>
      </c>
      <c r="BO86" s="229">
        <v>-0.21609999999999999</v>
      </c>
      <c r="BP86" s="230">
        <v>7439775</v>
      </c>
      <c r="BQ86" s="230">
        <v>7158575</v>
      </c>
      <c r="BR86" s="230">
        <v>281200</v>
      </c>
      <c r="BS86" s="229">
        <v>3.9300000000000002E-2</v>
      </c>
      <c r="BT86" s="230">
        <v>2291228</v>
      </c>
      <c r="BU86" s="230">
        <v>956908</v>
      </c>
      <c r="BV86" s="230">
        <v>1334320</v>
      </c>
      <c r="BW86" s="229">
        <v>1.3944000000000001</v>
      </c>
      <c r="BX86" s="230">
        <v>16150500</v>
      </c>
      <c r="BY86" s="230">
        <v>16742500</v>
      </c>
      <c r="BZ86" s="230">
        <v>-592000</v>
      </c>
      <c r="CA86" s="229">
        <v>-3.5400000000000001E-2</v>
      </c>
      <c r="CB86" s="230">
        <v>16049675</v>
      </c>
      <c r="CC86" s="230">
        <v>16656475</v>
      </c>
      <c r="CD86" s="230">
        <v>-606800</v>
      </c>
      <c r="CE86" s="229">
        <v>-3.6400000000000002E-2</v>
      </c>
      <c r="CF86" s="230">
        <v>85100</v>
      </c>
      <c r="CG86" s="230">
        <v>76775</v>
      </c>
      <c r="CH86" s="230">
        <v>8325</v>
      </c>
      <c r="CI86" s="229">
        <v>0.1084</v>
      </c>
      <c r="CJ86" s="230">
        <v>15725</v>
      </c>
      <c r="CK86" s="230">
        <v>9250</v>
      </c>
      <c r="CL86" s="230">
        <v>6475</v>
      </c>
      <c r="CM86" s="229">
        <v>0.7</v>
      </c>
      <c r="CN86" s="230">
        <v>2730600</v>
      </c>
      <c r="CO86" s="230">
        <v>2518775</v>
      </c>
      <c r="CP86" s="230">
        <v>211825</v>
      </c>
      <c r="CQ86" s="229">
        <v>8.4099999999999994E-2</v>
      </c>
      <c r="CR86" s="230">
        <v>2570575</v>
      </c>
      <c r="CS86" s="230">
        <v>2457725</v>
      </c>
      <c r="CT86" s="230">
        <v>112850</v>
      </c>
      <c r="CU86" s="229">
        <v>4.5900000000000003E-2</v>
      </c>
      <c r="CV86" s="230">
        <v>21451675</v>
      </c>
      <c r="CW86" s="230">
        <v>21719000</v>
      </c>
      <c r="CX86" s="230">
        <v>-267325</v>
      </c>
      <c r="CY86" s="229">
        <v>-1.23E-2</v>
      </c>
      <c r="CZ86" s="228">
        <v>28.56</v>
      </c>
      <c r="DA86" s="228">
        <v>27.96</v>
      </c>
      <c r="DB86" s="228">
        <v>0.6</v>
      </c>
      <c r="DC86" s="228">
        <v>0.6</v>
      </c>
      <c r="DD86" s="228">
        <v>26.8</v>
      </c>
      <c r="DE86" s="228">
        <v>26.85</v>
      </c>
      <c r="DF86" s="228">
        <v>1.76</v>
      </c>
      <c r="DG86" s="228">
        <v>-0.05</v>
      </c>
      <c r="DH86" s="228">
        <v>28.21</v>
      </c>
      <c r="DI86" s="228">
        <v>27.19</v>
      </c>
      <c r="DJ86" s="228">
        <v>1.02</v>
      </c>
      <c r="DK86" s="228">
        <v>1.02</v>
      </c>
      <c r="DL86" s="228">
        <v>29.21</v>
      </c>
      <c r="DM86" s="228">
        <v>29.23</v>
      </c>
      <c r="DN86" s="228">
        <v>-0.02</v>
      </c>
      <c r="DO86" s="228">
        <v>-0.02</v>
      </c>
      <c r="DP86" s="228">
        <v>0.94</v>
      </c>
      <c r="DQ86" s="228">
        <v>0.98</v>
      </c>
      <c r="DR86" s="228">
        <v>-0.04</v>
      </c>
      <c r="DS86" s="229">
        <v>-4.0800000000000003E-2</v>
      </c>
      <c r="DT86" s="228">
        <v>670</v>
      </c>
      <c r="DU86" s="228">
        <v>620</v>
      </c>
      <c r="DV86" s="228">
        <v>0.55000000000000004</v>
      </c>
      <c r="DW86" s="228">
        <v>0.61</v>
      </c>
      <c r="DX86" s="228">
        <v>-0.06</v>
      </c>
      <c r="DY86" s="229">
        <v>-9.8400000000000001E-2</v>
      </c>
      <c r="DZ86" s="229">
        <v>6.1999999999999998E-3</v>
      </c>
      <c r="EA86" s="230">
        <v>86025</v>
      </c>
      <c r="EB86" s="229">
        <v>7.7000000000000002E-3</v>
      </c>
      <c r="EC86" s="229">
        <v>6.1999999999999998E-3</v>
      </c>
      <c r="ED86" s="228">
        <v>7.36</v>
      </c>
      <c r="EE86" s="229">
        <v>1.0699999999999999E-2</v>
      </c>
      <c r="EF86" s="230">
        <v>1752300</v>
      </c>
      <c r="EG86" s="230">
        <v>411401</v>
      </c>
      <c r="EH86" s="229">
        <v>3.2593000000000001</v>
      </c>
      <c r="EI86" s="229">
        <v>0.76480000000000004</v>
      </c>
      <c r="EJ86" s="231">
        <v>15675.43</v>
      </c>
      <c r="EK86" s="231">
        <v>8027.9</v>
      </c>
      <c r="EL86" s="231">
        <v>28117.69</v>
      </c>
      <c r="EM86" s="231">
        <v>1886</v>
      </c>
      <c r="EN86" s="231">
        <v>51821.02</v>
      </c>
      <c r="EO86" s="231">
        <v>49958.2</v>
      </c>
      <c r="EP86" s="231">
        <v>1862.82</v>
      </c>
      <c r="EQ86" s="229">
        <v>3.73E-2</v>
      </c>
      <c r="ER86" s="231">
        <v>18968</v>
      </c>
      <c r="ES86" s="231">
        <v>16713</v>
      </c>
      <c r="ET86" s="231">
        <v>110823</v>
      </c>
      <c r="EU86" s="231">
        <v>58746582</v>
      </c>
      <c r="EV86" s="231">
        <v>146505</v>
      </c>
      <c r="EW86" s="231">
        <v>149058</v>
      </c>
      <c r="EX86" s="231">
        <v>-2553</v>
      </c>
      <c r="EY86" s="229">
        <v>-1.7100000000000001E-2</v>
      </c>
      <c r="EZ86" s="229">
        <v>0.36520000000000002</v>
      </c>
      <c r="FA86" s="227" t="s">
        <v>568</v>
      </c>
      <c r="FB86" s="161">
        <f t="shared" si="1"/>
        <v>100825</v>
      </c>
    </row>
    <row r="87" spans="1:158" ht="17.25" hidden="1" thickBot="1" x14ac:dyDescent="0.3">
      <c r="A87" s="226">
        <v>46029</v>
      </c>
      <c r="B87" s="227" t="s">
        <v>188</v>
      </c>
      <c r="C87" s="227" t="s">
        <v>234</v>
      </c>
      <c r="D87" s="228">
        <v>71475</v>
      </c>
      <c r="E87" s="228">
        <v>11.52</v>
      </c>
      <c r="F87" s="228">
        <v>11.66</v>
      </c>
      <c r="G87" s="228">
        <v>-0.14000000000000001</v>
      </c>
      <c r="H87" s="229">
        <v>-1.2E-2</v>
      </c>
      <c r="I87" s="228">
        <v>11.46</v>
      </c>
      <c r="J87" s="228">
        <v>11.59</v>
      </c>
      <c r="K87" s="228">
        <v>-0.13</v>
      </c>
      <c r="L87" s="229">
        <v>-1.12E-2</v>
      </c>
      <c r="M87" s="228">
        <v>11.52</v>
      </c>
      <c r="N87" s="228">
        <v>11.66</v>
      </c>
      <c r="O87" s="228">
        <v>-0.14000000000000001</v>
      </c>
      <c r="P87" s="229">
        <v>-1.2E-2</v>
      </c>
      <c r="Q87" s="228">
        <v>11.59</v>
      </c>
      <c r="R87" s="228">
        <v>11.72</v>
      </c>
      <c r="S87" s="228">
        <v>-0.13</v>
      </c>
      <c r="T87" s="229">
        <v>-1.11E-2</v>
      </c>
      <c r="U87" s="228">
        <v>11.69</v>
      </c>
      <c r="V87" s="228">
        <v>11.81</v>
      </c>
      <c r="W87" s="228">
        <v>-0.12</v>
      </c>
      <c r="X87" s="229">
        <v>-1.0200000000000001E-2</v>
      </c>
      <c r="Y87" s="228">
        <v>0.06</v>
      </c>
      <c r="Z87" s="228">
        <v>7.0000000000000007E-2</v>
      </c>
      <c r="AA87" s="228">
        <v>-0.01</v>
      </c>
      <c r="AB87" s="229">
        <v>5.1999999999999998E-3</v>
      </c>
      <c r="AC87" s="228">
        <v>0.06</v>
      </c>
      <c r="AD87" s="228">
        <v>7.0000000000000007E-2</v>
      </c>
      <c r="AE87" s="228">
        <v>-0.01</v>
      </c>
      <c r="AF87" s="229">
        <v>5.1999999999999998E-3</v>
      </c>
      <c r="AG87" s="228">
        <v>0.13</v>
      </c>
      <c r="AH87" s="228">
        <v>0.13</v>
      </c>
      <c r="AI87" s="228">
        <v>0</v>
      </c>
      <c r="AJ87" s="229">
        <v>1.1299999999999999E-2</v>
      </c>
      <c r="AK87" s="228">
        <v>0.23</v>
      </c>
      <c r="AL87" s="228">
        <v>0.22</v>
      </c>
      <c r="AM87" s="228">
        <v>0.01</v>
      </c>
      <c r="AN87" s="229">
        <v>2.01E-2</v>
      </c>
      <c r="AO87" s="228">
        <v>11.59</v>
      </c>
      <c r="AP87" s="228">
        <v>11.66</v>
      </c>
      <c r="AQ87" s="228">
        <v>0</v>
      </c>
      <c r="AR87" s="230">
        <v>439499775</v>
      </c>
      <c r="AS87" s="230">
        <v>639558300</v>
      </c>
      <c r="AT87" s="230">
        <v>-200058525</v>
      </c>
      <c r="AU87" s="229">
        <v>-0.31280000000000002</v>
      </c>
      <c r="AV87" s="230">
        <v>389109900</v>
      </c>
      <c r="AW87" s="230">
        <v>551143725</v>
      </c>
      <c r="AX87" s="230">
        <v>-162033825</v>
      </c>
      <c r="AY87" s="229">
        <v>-0.29399999999999998</v>
      </c>
      <c r="AZ87" s="230">
        <v>39311250</v>
      </c>
      <c r="BA87" s="230">
        <v>80766750</v>
      </c>
      <c r="BB87" s="230">
        <v>-41455500</v>
      </c>
      <c r="BC87" s="229">
        <v>-0.51329999999999998</v>
      </c>
      <c r="BD87" s="230">
        <v>11078625</v>
      </c>
      <c r="BE87" s="230">
        <v>7647825</v>
      </c>
      <c r="BF87" s="230">
        <v>3430800</v>
      </c>
      <c r="BG87" s="229">
        <v>0.4486</v>
      </c>
      <c r="BH87" s="230">
        <v>956549925</v>
      </c>
      <c r="BI87" s="230">
        <v>1437862575</v>
      </c>
      <c r="BJ87" s="230">
        <v>-481312650</v>
      </c>
      <c r="BK87" s="229">
        <v>-0.3347</v>
      </c>
      <c r="BL87" s="230">
        <v>353372400</v>
      </c>
      <c r="BM87" s="230">
        <v>575016375</v>
      </c>
      <c r="BN87" s="230">
        <v>-221643975</v>
      </c>
      <c r="BO87" s="229">
        <v>-0.38550000000000001</v>
      </c>
      <c r="BP87" s="230">
        <v>1749422100</v>
      </c>
      <c r="BQ87" s="230">
        <v>2652437250</v>
      </c>
      <c r="BR87" s="230">
        <v>-903015150</v>
      </c>
      <c r="BS87" s="229">
        <v>-0.34039999999999998</v>
      </c>
      <c r="BT87" s="230">
        <v>500836730</v>
      </c>
      <c r="BU87" s="230">
        <v>761012013</v>
      </c>
      <c r="BV87" s="230">
        <v>-260175283</v>
      </c>
      <c r="BW87" s="229">
        <v>-0.34189999999999998</v>
      </c>
      <c r="BX87" s="230">
        <v>7169728725</v>
      </c>
      <c r="BY87" s="230">
        <v>7175160825</v>
      </c>
      <c r="BZ87" s="230">
        <v>-5432100</v>
      </c>
      <c r="CA87" s="229">
        <v>-8.0000000000000004E-4</v>
      </c>
      <c r="CB87" s="230">
        <v>6747382950</v>
      </c>
      <c r="CC87" s="230">
        <v>6761820900</v>
      </c>
      <c r="CD87" s="230">
        <v>-14437950</v>
      </c>
      <c r="CE87" s="229">
        <v>-2.0999999999999999E-3</v>
      </c>
      <c r="CF87" s="230">
        <v>378531600</v>
      </c>
      <c r="CG87" s="230">
        <v>372241800</v>
      </c>
      <c r="CH87" s="230">
        <v>6289800</v>
      </c>
      <c r="CI87" s="229">
        <v>1.6899999999999998E-2</v>
      </c>
      <c r="CJ87" s="230">
        <v>43814175</v>
      </c>
      <c r="CK87" s="230">
        <v>41098125</v>
      </c>
      <c r="CL87" s="230">
        <v>2716050</v>
      </c>
      <c r="CM87" s="229">
        <v>6.6100000000000006E-2</v>
      </c>
      <c r="CN87" s="230">
        <v>2552729625</v>
      </c>
      <c r="CO87" s="230">
        <v>2514133125</v>
      </c>
      <c r="CP87" s="230">
        <v>38596500</v>
      </c>
      <c r="CQ87" s="229">
        <v>1.54E-2</v>
      </c>
      <c r="CR87" s="230">
        <v>1547219325</v>
      </c>
      <c r="CS87" s="230">
        <v>1567089375</v>
      </c>
      <c r="CT87" s="230">
        <v>-19870050</v>
      </c>
      <c r="CU87" s="229">
        <v>-1.2699999999999999E-2</v>
      </c>
      <c r="CV87" s="230">
        <v>11269677675</v>
      </c>
      <c r="CW87" s="230">
        <v>11256383325</v>
      </c>
      <c r="CX87" s="230">
        <v>13294350</v>
      </c>
      <c r="CY87" s="229">
        <v>1.1999999999999999E-3</v>
      </c>
      <c r="CZ87" s="228">
        <v>55.68</v>
      </c>
      <c r="DA87" s="228">
        <v>55.24</v>
      </c>
      <c r="DB87" s="228">
        <v>0.44</v>
      </c>
      <c r="DC87" s="228">
        <v>0.44</v>
      </c>
      <c r="DD87" s="228">
        <v>68.38</v>
      </c>
      <c r="DE87" s="228">
        <v>68.53</v>
      </c>
      <c r="DF87" s="228">
        <v>-12.7</v>
      </c>
      <c r="DG87" s="228">
        <v>-0.15</v>
      </c>
      <c r="DH87" s="228">
        <v>56.82</v>
      </c>
      <c r="DI87" s="228">
        <v>56.12</v>
      </c>
      <c r="DJ87" s="228">
        <v>0.7</v>
      </c>
      <c r="DK87" s="228">
        <v>0.7</v>
      </c>
      <c r="DL87" s="228">
        <v>52.6</v>
      </c>
      <c r="DM87" s="228">
        <v>53.05</v>
      </c>
      <c r="DN87" s="228">
        <v>-0.45</v>
      </c>
      <c r="DO87" s="228">
        <v>-0.45</v>
      </c>
      <c r="DP87" s="228">
        <v>0.61</v>
      </c>
      <c r="DQ87" s="228">
        <v>0.62</v>
      </c>
      <c r="DR87" s="228">
        <v>-0.01</v>
      </c>
      <c r="DS87" s="229">
        <v>-1.61E-2</v>
      </c>
      <c r="DT87" s="228">
        <v>12</v>
      </c>
      <c r="DU87" s="228">
        <v>12</v>
      </c>
      <c r="DV87" s="228">
        <v>0.37</v>
      </c>
      <c r="DW87" s="228">
        <v>0.4</v>
      </c>
      <c r="DX87" s="228">
        <v>-0.03</v>
      </c>
      <c r="DY87" s="229">
        <v>-7.4999999999999997E-2</v>
      </c>
      <c r="DZ87" s="229">
        <v>5.8900000000000001E-2</v>
      </c>
      <c r="EA87" s="230">
        <v>413339925</v>
      </c>
      <c r="EB87" s="229">
        <v>6.1000000000000004E-3</v>
      </c>
      <c r="EC87" s="229">
        <v>5.8900000000000001E-2</v>
      </c>
      <c r="ED87" s="228">
        <v>7.0000000000000007E-2</v>
      </c>
      <c r="EE87" s="229">
        <v>6.0000000000000001E-3</v>
      </c>
      <c r="EF87" s="230">
        <v>95964826</v>
      </c>
      <c r="EG87" s="230">
        <v>155756598</v>
      </c>
      <c r="EH87" s="229">
        <v>-0.38390000000000002</v>
      </c>
      <c r="EI87" s="229">
        <v>0.19159999999999999</v>
      </c>
      <c r="EJ87" s="231">
        <v>128822.5</v>
      </c>
      <c r="EK87" s="231">
        <v>38452.25</v>
      </c>
      <c r="EL87" s="231">
        <v>50967.87</v>
      </c>
      <c r="EM87" s="231">
        <v>31181</v>
      </c>
      <c r="EN87" s="231">
        <v>218242.62</v>
      </c>
      <c r="EO87" s="231">
        <v>331047.90000000002</v>
      </c>
      <c r="EP87" s="231">
        <v>-112805.28</v>
      </c>
      <c r="EQ87" s="229">
        <v>-0.34079999999999999</v>
      </c>
      <c r="ER87" s="231">
        <v>332653</v>
      </c>
      <c r="ES87" s="231">
        <v>165382</v>
      </c>
      <c r="ET87" s="231">
        <v>826292</v>
      </c>
      <c r="EU87" s="231">
        <v>12037179660</v>
      </c>
      <c r="EV87" s="231">
        <v>1324326</v>
      </c>
      <c r="EW87" s="231">
        <v>1331689</v>
      </c>
      <c r="EX87" s="231">
        <v>-7363</v>
      </c>
      <c r="EY87" s="229">
        <v>-5.4999999999999997E-3</v>
      </c>
      <c r="EZ87" s="229">
        <v>0.93620000000000003</v>
      </c>
      <c r="FA87" s="227" t="s">
        <v>568</v>
      </c>
      <c r="FB87" s="161">
        <f t="shared" si="1"/>
        <v>422345775</v>
      </c>
    </row>
    <row r="88" spans="1:158" ht="17.25" hidden="1" thickBot="1" x14ac:dyDescent="0.3">
      <c r="A88" s="226">
        <v>46029</v>
      </c>
      <c r="B88" s="227" t="s">
        <v>172</v>
      </c>
      <c r="C88" s="227" t="s">
        <v>235</v>
      </c>
      <c r="D88" s="228">
        <v>9275</v>
      </c>
      <c r="E88" s="228">
        <v>84.79</v>
      </c>
      <c r="F88" s="228">
        <v>85.13</v>
      </c>
      <c r="G88" s="228">
        <v>-0.34</v>
      </c>
      <c r="H88" s="229">
        <v>-4.0000000000000001E-3</v>
      </c>
      <c r="I88" s="228">
        <v>84.4</v>
      </c>
      <c r="J88" s="228">
        <v>84.73</v>
      </c>
      <c r="K88" s="228">
        <v>-0.33</v>
      </c>
      <c r="L88" s="229">
        <v>-3.8999999999999998E-3</v>
      </c>
      <c r="M88" s="228">
        <v>84.79</v>
      </c>
      <c r="N88" s="228">
        <v>85.13</v>
      </c>
      <c r="O88" s="228">
        <v>-0.34</v>
      </c>
      <c r="P88" s="229">
        <v>-4.0000000000000001E-3</v>
      </c>
      <c r="Q88" s="228">
        <v>85.25</v>
      </c>
      <c r="R88" s="228">
        <v>85.67</v>
      </c>
      <c r="S88" s="228">
        <v>-0.42</v>
      </c>
      <c r="T88" s="229">
        <v>-4.8999999999999998E-3</v>
      </c>
      <c r="U88" s="228">
        <v>85.79</v>
      </c>
      <c r="V88" s="228">
        <v>86.22</v>
      </c>
      <c r="W88" s="228">
        <v>-0.43</v>
      </c>
      <c r="X88" s="229">
        <v>-5.0000000000000001E-3</v>
      </c>
      <c r="Y88" s="228">
        <v>0.39</v>
      </c>
      <c r="Z88" s="228">
        <v>0.4</v>
      </c>
      <c r="AA88" s="228">
        <v>-0.01</v>
      </c>
      <c r="AB88" s="229">
        <v>4.5999999999999999E-3</v>
      </c>
      <c r="AC88" s="228">
        <v>0.39</v>
      </c>
      <c r="AD88" s="228">
        <v>0.4</v>
      </c>
      <c r="AE88" s="228">
        <v>-0.01</v>
      </c>
      <c r="AF88" s="229">
        <v>4.5999999999999999E-3</v>
      </c>
      <c r="AG88" s="228">
        <v>0.85</v>
      </c>
      <c r="AH88" s="228">
        <v>0.94</v>
      </c>
      <c r="AI88" s="228">
        <v>-0.09</v>
      </c>
      <c r="AJ88" s="229">
        <v>1.01E-2</v>
      </c>
      <c r="AK88" s="228">
        <v>1.39</v>
      </c>
      <c r="AL88" s="228">
        <v>1.49</v>
      </c>
      <c r="AM88" s="228">
        <v>-0.1</v>
      </c>
      <c r="AN88" s="229">
        <v>1.6500000000000001E-2</v>
      </c>
      <c r="AO88" s="228">
        <v>85.41</v>
      </c>
      <c r="AP88" s="228">
        <v>85.83</v>
      </c>
      <c r="AQ88" s="228">
        <v>0</v>
      </c>
      <c r="AR88" s="230">
        <v>68069225</v>
      </c>
      <c r="AS88" s="230">
        <v>51791600</v>
      </c>
      <c r="AT88" s="230">
        <v>16277625</v>
      </c>
      <c r="AU88" s="229">
        <v>0.31430000000000002</v>
      </c>
      <c r="AV88" s="230">
        <v>62522775</v>
      </c>
      <c r="AW88" s="230">
        <v>47849725</v>
      </c>
      <c r="AX88" s="230">
        <v>14673050</v>
      </c>
      <c r="AY88" s="229">
        <v>0.30659999999999998</v>
      </c>
      <c r="AZ88" s="230">
        <v>4767350</v>
      </c>
      <c r="BA88" s="230">
        <v>3199875</v>
      </c>
      <c r="BB88" s="230">
        <v>1567475</v>
      </c>
      <c r="BC88" s="229">
        <v>0.4899</v>
      </c>
      <c r="BD88" s="230">
        <v>779100</v>
      </c>
      <c r="BE88" s="230">
        <v>742000</v>
      </c>
      <c r="BF88" s="230">
        <v>37100</v>
      </c>
      <c r="BG88" s="229">
        <v>0.05</v>
      </c>
      <c r="BH88" s="230">
        <v>119248675</v>
      </c>
      <c r="BI88" s="230">
        <v>93250850</v>
      </c>
      <c r="BJ88" s="230">
        <v>25997825</v>
      </c>
      <c r="BK88" s="229">
        <v>0.27879999999999999</v>
      </c>
      <c r="BL88" s="230">
        <v>39353825</v>
      </c>
      <c r="BM88" s="230">
        <v>39854675</v>
      </c>
      <c r="BN88" s="230">
        <v>-500850</v>
      </c>
      <c r="BO88" s="229">
        <v>-1.26E-2</v>
      </c>
      <c r="BP88" s="230">
        <v>226671725</v>
      </c>
      <c r="BQ88" s="230">
        <v>184897125</v>
      </c>
      <c r="BR88" s="230">
        <v>41774600</v>
      </c>
      <c r="BS88" s="229">
        <v>0.22589999999999999</v>
      </c>
      <c r="BT88" s="230">
        <v>45219055</v>
      </c>
      <c r="BU88" s="230">
        <v>20602475</v>
      </c>
      <c r="BV88" s="230">
        <v>24616580</v>
      </c>
      <c r="BW88" s="229">
        <v>1.1948000000000001</v>
      </c>
      <c r="BX88" s="230">
        <v>323187375</v>
      </c>
      <c r="BY88" s="230">
        <v>314682200</v>
      </c>
      <c r="BZ88" s="230">
        <v>8505175</v>
      </c>
      <c r="CA88" s="229">
        <v>2.7E-2</v>
      </c>
      <c r="CB88" s="230">
        <v>306677875</v>
      </c>
      <c r="CC88" s="230">
        <v>299582500</v>
      </c>
      <c r="CD88" s="230">
        <v>7095375</v>
      </c>
      <c r="CE88" s="229">
        <v>2.3699999999999999E-2</v>
      </c>
      <c r="CF88" s="230">
        <v>14431900</v>
      </c>
      <c r="CG88" s="230">
        <v>13439475</v>
      </c>
      <c r="CH88" s="230">
        <v>992425</v>
      </c>
      <c r="CI88" s="229">
        <v>7.3800000000000004E-2</v>
      </c>
      <c r="CJ88" s="230">
        <v>2077600</v>
      </c>
      <c r="CK88" s="230">
        <v>1660225</v>
      </c>
      <c r="CL88" s="230">
        <v>417375</v>
      </c>
      <c r="CM88" s="229">
        <v>0.25140000000000001</v>
      </c>
      <c r="CN88" s="230">
        <v>117542075</v>
      </c>
      <c r="CO88" s="230">
        <v>113498175</v>
      </c>
      <c r="CP88" s="230">
        <v>4043900</v>
      </c>
      <c r="CQ88" s="229">
        <v>3.56E-2</v>
      </c>
      <c r="CR88" s="230">
        <v>65360925</v>
      </c>
      <c r="CS88" s="230">
        <v>63014350</v>
      </c>
      <c r="CT88" s="230">
        <v>2346575</v>
      </c>
      <c r="CU88" s="229">
        <v>3.7199999999999997E-2</v>
      </c>
      <c r="CV88" s="230">
        <v>506090375</v>
      </c>
      <c r="CW88" s="230">
        <v>491194725</v>
      </c>
      <c r="CX88" s="230">
        <v>14895650</v>
      </c>
      <c r="CY88" s="229">
        <v>3.0300000000000001E-2</v>
      </c>
      <c r="CZ88" s="228">
        <v>25.5</v>
      </c>
      <c r="DA88" s="228">
        <v>25.16</v>
      </c>
      <c r="DB88" s="228">
        <v>0.34</v>
      </c>
      <c r="DC88" s="228">
        <v>0.34</v>
      </c>
      <c r="DD88" s="228">
        <v>32.19</v>
      </c>
      <c r="DE88" s="228">
        <v>32.26</v>
      </c>
      <c r="DF88" s="228">
        <v>-6.69</v>
      </c>
      <c r="DG88" s="228">
        <v>-7.0000000000000007E-2</v>
      </c>
      <c r="DH88" s="228">
        <v>25.76</v>
      </c>
      <c r="DI88" s="228">
        <v>25.33</v>
      </c>
      <c r="DJ88" s="228">
        <v>0.43</v>
      </c>
      <c r="DK88" s="228">
        <v>0.43</v>
      </c>
      <c r="DL88" s="228">
        <v>24.73</v>
      </c>
      <c r="DM88" s="228">
        <v>24.76</v>
      </c>
      <c r="DN88" s="228">
        <v>-0.03</v>
      </c>
      <c r="DO88" s="228">
        <v>-0.03</v>
      </c>
      <c r="DP88" s="228">
        <v>0.56000000000000005</v>
      </c>
      <c r="DQ88" s="228">
        <v>0.56000000000000005</v>
      </c>
      <c r="DR88" s="228">
        <v>0</v>
      </c>
      <c r="DS88" s="229">
        <v>0</v>
      </c>
      <c r="DT88" s="228">
        <v>90</v>
      </c>
      <c r="DU88" s="228">
        <v>85</v>
      </c>
      <c r="DV88" s="228">
        <v>0.33</v>
      </c>
      <c r="DW88" s="228">
        <v>0.43</v>
      </c>
      <c r="DX88" s="228">
        <v>-0.1</v>
      </c>
      <c r="DY88" s="229">
        <v>-0.2326</v>
      </c>
      <c r="DZ88" s="229">
        <v>5.11E-2</v>
      </c>
      <c r="EA88" s="230">
        <v>15099700</v>
      </c>
      <c r="EB88" s="229">
        <v>5.4000000000000003E-3</v>
      </c>
      <c r="EC88" s="229">
        <v>5.11E-2</v>
      </c>
      <c r="ED88" s="228">
        <v>0.42</v>
      </c>
      <c r="EE88" s="229">
        <v>4.8999999999999998E-3</v>
      </c>
      <c r="EF88" s="230">
        <v>29525123</v>
      </c>
      <c r="EG88" s="230">
        <v>10223845</v>
      </c>
      <c r="EH88" s="229">
        <v>1.8878999999999999</v>
      </c>
      <c r="EI88" s="229">
        <v>0.65290000000000004</v>
      </c>
      <c r="EJ88" s="231">
        <v>106238.84</v>
      </c>
      <c r="EK88" s="231">
        <v>33412.07</v>
      </c>
      <c r="EL88" s="231">
        <v>58169.43</v>
      </c>
      <c r="EM88" s="231">
        <v>4668</v>
      </c>
      <c r="EN88" s="231">
        <v>197820.34</v>
      </c>
      <c r="EO88" s="231">
        <v>160867.62</v>
      </c>
      <c r="EP88" s="231">
        <v>36952.720000000001</v>
      </c>
      <c r="EQ88" s="229">
        <v>0.22969999999999999</v>
      </c>
      <c r="ER88" s="231">
        <v>103477</v>
      </c>
      <c r="ES88" s="231">
        <v>53823</v>
      </c>
      <c r="ET88" s="231">
        <v>274118</v>
      </c>
      <c r="EU88" s="231">
        <v>936861183</v>
      </c>
      <c r="EV88" s="231">
        <v>431418</v>
      </c>
      <c r="EW88" s="231">
        <v>419585</v>
      </c>
      <c r="EX88" s="231">
        <v>11833</v>
      </c>
      <c r="EY88" s="229">
        <v>2.8199999999999999E-2</v>
      </c>
      <c r="EZ88" s="229">
        <v>0.54020000000000001</v>
      </c>
      <c r="FA88" s="227" t="s">
        <v>567</v>
      </c>
      <c r="FB88" s="161">
        <f t="shared" si="1"/>
        <v>16509500</v>
      </c>
    </row>
    <row r="89" spans="1:158" ht="17.25" hidden="1" thickBot="1" x14ac:dyDescent="0.3">
      <c r="A89" s="226">
        <v>46029</v>
      </c>
      <c r="B89" s="227" t="s">
        <v>161</v>
      </c>
      <c r="C89" s="227" t="s">
        <v>514</v>
      </c>
      <c r="D89" s="228">
        <v>3750</v>
      </c>
      <c r="E89" s="228">
        <v>155.34</v>
      </c>
      <c r="F89" s="228">
        <v>149.07</v>
      </c>
      <c r="G89" s="228">
        <v>6.27</v>
      </c>
      <c r="H89" s="229">
        <v>4.2099999999999999E-2</v>
      </c>
      <c r="I89" s="228">
        <v>154.78</v>
      </c>
      <c r="J89" s="228">
        <v>148.66999999999999</v>
      </c>
      <c r="K89" s="228">
        <v>6.11</v>
      </c>
      <c r="L89" s="229">
        <v>4.1099999999999998E-2</v>
      </c>
      <c r="M89" s="228">
        <v>155.34</v>
      </c>
      <c r="N89" s="228">
        <v>149.07</v>
      </c>
      <c r="O89" s="228">
        <v>6.27</v>
      </c>
      <c r="P89" s="229">
        <v>4.2099999999999999E-2</v>
      </c>
      <c r="Q89" s="228">
        <v>154.9</v>
      </c>
      <c r="R89" s="228">
        <v>148.74</v>
      </c>
      <c r="S89" s="228">
        <v>6.16</v>
      </c>
      <c r="T89" s="229">
        <v>4.1399999999999999E-2</v>
      </c>
      <c r="U89" s="228">
        <v>155.69999999999999</v>
      </c>
      <c r="V89" s="228">
        <v>149.13999999999999</v>
      </c>
      <c r="W89" s="228">
        <v>6.56</v>
      </c>
      <c r="X89" s="229">
        <v>4.3999999999999997E-2</v>
      </c>
      <c r="Y89" s="228">
        <v>0.56000000000000005</v>
      </c>
      <c r="Z89" s="228">
        <v>0.4</v>
      </c>
      <c r="AA89" s="228">
        <v>0.16</v>
      </c>
      <c r="AB89" s="229">
        <v>3.5999999999999999E-3</v>
      </c>
      <c r="AC89" s="228">
        <v>0.56000000000000005</v>
      </c>
      <c r="AD89" s="228">
        <v>0.4</v>
      </c>
      <c r="AE89" s="228">
        <v>0.16</v>
      </c>
      <c r="AF89" s="229">
        <v>3.5999999999999999E-3</v>
      </c>
      <c r="AG89" s="228">
        <v>0.12</v>
      </c>
      <c r="AH89" s="228">
        <v>7.0000000000000007E-2</v>
      </c>
      <c r="AI89" s="228">
        <v>0.05</v>
      </c>
      <c r="AJ89" s="229">
        <v>8.0000000000000004E-4</v>
      </c>
      <c r="AK89" s="228">
        <v>0.92</v>
      </c>
      <c r="AL89" s="228">
        <v>0.47</v>
      </c>
      <c r="AM89" s="228">
        <v>0.45</v>
      </c>
      <c r="AN89" s="229">
        <v>5.8999999999999999E-3</v>
      </c>
      <c r="AO89" s="228">
        <v>153</v>
      </c>
      <c r="AP89" s="228">
        <v>152.62</v>
      </c>
      <c r="AQ89" s="228">
        <v>0</v>
      </c>
      <c r="AR89" s="230">
        <v>88293750</v>
      </c>
      <c r="AS89" s="230">
        <v>145245000</v>
      </c>
      <c r="AT89" s="230">
        <v>-56951250</v>
      </c>
      <c r="AU89" s="229">
        <v>-0.3921</v>
      </c>
      <c r="AV89" s="230">
        <v>81258750</v>
      </c>
      <c r="AW89" s="230">
        <v>136916250</v>
      </c>
      <c r="AX89" s="230">
        <v>-55657500</v>
      </c>
      <c r="AY89" s="229">
        <v>-0.40649999999999997</v>
      </c>
      <c r="AZ89" s="230">
        <v>6371250</v>
      </c>
      <c r="BA89" s="230">
        <v>7668750</v>
      </c>
      <c r="BB89" s="230">
        <v>-1297500</v>
      </c>
      <c r="BC89" s="229">
        <v>-0.16919999999999999</v>
      </c>
      <c r="BD89" s="230">
        <v>663750</v>
      </c>
      <c r="BE89" s="230">
        <v>660000</v>
      </c>
      <c r="BF89" s="230">
        <v>3750</v>
      </c>
      <c r="BG89" s="229">
        <v>5.7000000000000002E-3</v>
      </c>
      <c r="BH89" s="230">
        <v>397335000</v>
      </c>
      <c r="BI89" s="230">
        <v>488216250</v>
      </c>
      <c r="BJ89" s="230">
        <v>-90881250</v>
      </c>
      <c r="BK89" s="229">
        <v>-0.18609999999999999</v>
      </c>
      <c r="BL89" s="230">
        <v>129930000</v>
      </c>
      <c r="BM89" s="230">
        <v>165138750</v>
      </c>
      <c r="BN89" s="230">
        <v>-35208750</v>
      </c>
      <c r="BO89" s="229">
        <v>-0.2132</v>
      </c>
      <c r="BP89" s="230">
        <v>615558750</v>
      </c>
      <c r="BQ89" s="230">
        <v>798600000</v>
      </c>
      <c r="BR89" s="230">
        <v>-183041250</v>
      </c>
      <c r="BS89" s="229">
        <v>-0.22919999999999999</v>
      </c>
      <c r="BT89" s="230">
        <v>117981797</v>
      </c>
      <c r="BU89" s="230">
        <v>84064528</v>
      </c>
      <c r="BV89" s="230">
        <v>33917269</v>
      </c>
      <c r="BW89" s="229">
        <v>0.40350000000000003</v>
      </c>
      <c r="BX89" s="230">
        <v>81183750</v>
      </c>
      <c r="BY89" s="230">
        <v>80088750</v>
      </c>
      <c r="BZ89" s="230">
        <v>1095000</v>
      </c>
      <c r="CA89" s="229">
        <v>1.37E-2</v>
      </c>
      <c r="CB89" s="230">
        <v>75333750</v>
      </c>
      <c r="CC89" s="230">
        <v>74437500</v>
      </c>
      <c r="CD89" s="230">
        <v>896250</v>
      </c>
      <c r="CE89" s="229">
        <v>1.2E-2</v>
      </c>
      <c r="CF89" s="230">
        <v>5448750</v>
      </c>
      <c r="CG89" s="230">
        <v>5362500</v>
      </c>
      <c r="CH89" s="230">
        <v>86250</v>
      </c>
      <c r="CI89" s="229">
        <v>1.61E-2</v>
      </c>
      <c r="CJ89" s="230">
        <v>401250</v>
      </c>
      <c r="CK89" s="230">
        <v>288750</v>
      </c>
      <c r="CL89" s="230">
        <v>112500</v>
      </c>
      <c r="CM89" s="229">
        <v>0.3896</v>
      </c>
      <c r="CN89" s="230">
        <v>90648750</v>
      </c>
      <c r="CO89" s="230">
        <v>89662500</v>
      </c>
      <c r="CP89" s="230">
        <v>986250</v>
      </c>
      <c r="CQ89" s="229">
        <v>1.0999999999999999E-2</v>
      </c>
      <c r="CR89" s="230">
        <v>62017500</v>
      </c>
      <c r="CS89" s="230">
        <v>52518750</v>
      </c>
      <c r="CT89" s="230">
        <v>9498750</v>
      </c>
      <c r="CU89" s="229">
        <v>0.18090000000000001</v>
      </c>
      <c r="CV89" s="230">
        <v>233850000</v>
      </c>
      <c r="CW89" s="230">
        <v>222270000</v>
      </c>
      <c r="CX89" s="230">
        <v>11580000</v>
      </c>
      <c r="CY89" s="229">
        <v>5.21E-2</v>
      </c>
      <c r="CZ89" s="228">
        <v>59.75</v>
      </c>
      <c r="DA89" s="228">
        <v>53.03</v>
      </c>
      <c r="DB89" s="228">
        <v>6.72</v>
      </c>
      <c r="DC89" s="228">
        <v>6.72</v>
      </c>
      <c r="DD89" s="228">
        <v>53.94</v>
      </c>
      <c r="DE89" s="228">
        <v>53.79</v>
      </c>
      <c r="DF89" s="228">
        <v>5.81</v>
      </c>
      <c r="DG89" s="228">
        <v>0.15</v>
      </c>
      <c r="DH89" s="228">
        <v>60.21</v>
      </c>
      <c r="DI89" s="228">
        <v>53.84</v>
      </c>
      <c r="DJ89" s="228">
        <v>6.37</v>
      </c>
      <c r="DK89" s="228">
        <v>6.37</v>
      </c>
      <c r="DL89" s="228">
        <v>58.34</v>
      </c>
      <c r="DM89" s="228">
        <v>50.62</v>
      </c>
      <c r="DN89" s="228">
        <v>7.72</v>
      </c>
      <c r="DO89" s="228">
        <v>7.72</v>
      </c>
      <c r="DP89" s="228">
        <v>0.68</v>
      </c>
      <c r="DQ89" s="228">
        <v>0.59</v>
      </c>
      <c r="DR89" s="228">
        <v>0.09</v>
      </c>
      <c r="DS89" s="229">
        <v>0.1525</v>
      </c>
      <c r="DT89" s="228">
        <v>150</v>
      </c>
      <c r="DU89" s="228">
        <v>140</v>
      </c>
      <c r="DV89" s="228">
        <v>0.33</v>
      </c>
      <c r="DW89" s="228">
        <v>0.34</v>
      </c>
      <c r="DX89" s="228">
        <v>-0.01</v>
      </c>
      <c r="DY89" s="229">
        <v>-2.9399999999999999E-2</v>
      </c>
      <c r="DZ89" s="229">
        <v>7.2099999999999997E-2</v>
      </c>
      <c r="EA89" s="230">
        <v>5651250</v>
      </c>
      <c r="EB89" s="229">
        <v>-2.8E-3</v>
      </c>
      <c r="EC89" s="229">
        <v>7.2099999999999997E-2</v>
      </c>
      <c r="ED89" s="228">
        <v>-0.38</v>
      </c>
      <c r="EE89" s="229">
        <v>-2.5000000000000001E-3</v>
      </c>
      <c r="EF89" s="230">
        <v>20542830</v>
      </c>
      <c r="EG89" s="230">
        <v>22099368</v>
      </c>
      <c r="EH89" s="229">
        <v>-7.0400000000000004E-2</v>
      </c>
      <c r="EI89" s="229">
        <v>0.1741</v>
      </c>
      <c r="EJ89" s="231">
        <v>654194.9</v>
      </c>
      <c r="EK89" s="231">
        <v>189482.56</v>
      </c>
      <c r="EL89" s="231">
        <v>135071.51</v>
      </c>
      <c r="EM89" s="231">
        <v>9462</v>
      </c>
      <c r="EN89" s="231">
        <v>978748.97</v>
      </c>
      <c r="EO89" s="231">
        <v>1204340.55</v>
      </c>
      <c r="EP89" s="231">
        <v>-225591.58</v>
      </c>
      <c r="EQ89" s="229">
        <v>-0.18729999999999999</v>
      </c>
      <c r="ER89" s="231">
        <v>139699</v>
      </c>
      <c r="ES89" s="231">
        <v>87282</v>
      </c>
      <c r="ET89" s="231">
        <v>126088</v>
      </c>
      <c r="EU89" s="231">
        <v>133395043</v>
      </c>
      <c r="EV89" s="231">
        <v>353069</v>
      </c>
      <c r="EW89" s="231">
        <v>327011</v>
      </c>
      <c r="EX89" s="231">
        <v>26058</v>
      </c>
      <c r="EY89" s="229">
        <v>7.9699999999999993E-2</v>
      </c>
      <c r="EZ89" s="229">
        <v>1.7531000000000001</v>
      </c>
      <c r="FA89" s="227" t="s">
        <v>555</v>
      </c>
      <c r="FB89" s="161">
        <f t="shared" si="1"/>
        <v>5850000</v>
      </c>
    </row>
    <row r="90" spans="1:158" ht="17.25" hidden="1" thickBot="1" x14ac:dyDescent="0.3">
      <c r="A90" s="226">
        <v>46029</v>
      </c>
      <c r="B90" s="227" t="s">
        <v>175</v>
      </c>
      <c r="C90" s="227" t="s">
        <v>666</v>
      </c>
      <c r="D90" s="228">
        <v>1650</v>
      </c>
      <c r="E90" s="228">
        <v>660.45</v>
      </c>
      <c r="F90" s="228">
        <v>668.75</v>
      </c>
      <c r="G90" s="228">
        <v>-8.3000000000000007</v>
      </c>
      <c r="H90" s="229">
        <v>-1.24E-2</v>
      </c>
      <c r="I90" s="228">
        <v>656.95</v>
      </c>
      <c r="J90" s="228">
        <v>665.15</v>
      </c>
      <c r="K90" s="228">
        <v>-8.1999999999999993</v>
      </c>
      <c r="L90" s="229">
        <v>-1.23E-2</v>
      </c>
      <c r="M90" s="228">
        <v>660.45</v>
      </c>
      <c r="N90" s="228">
        <v>668.75</v>
      </c>
      <c r="O90" s="228">
        <v>-8.3000000000000007</v>
      </c>
      <c r="P90" s="229">
        <v>-1.24E-2</v>
      </c>
      <c r="Q90" s="228">
        <v>0</v>
      </c>
      <c r="R90" s="228">
        <v>0</v>
      </c>
      <c r="S90" s="228">
        <v>0</v>
      </c>
      <c r="T90" s="229">
        <v>0</v>
      </c>
      <c r="U90" s="228">
        <v>0</v>
      </c>
      <c r="V90" s="228">
        <v>0</v>
      </c>
      <c r="W90" s="228">
        <v>0</v>
      </c>
      <c r="X90" s="229">
        <v>0</v>
      </c>
      <c r="Y90" s="228">
        <v>3.5</v>
      </c>
      <c r="Z90" s="228">
        <v>3.6</v>
      </c>
      <c r="AA90" s="228">
        <v>-0.1</v>
      </c>
      <c r="AB90" s="229">
        <v>5.3E-3</v>
      </c>
      <c r="AC90" s="228">
        <v>3.5</v>
      </c>
      <c r="AD90" s="228">
        <v>3.6</v>
      </c>
      <c r="AE90" s="228">
        <v>-0.1</v>
      </c>
      <c r="AF90" s="229">
        <v>5.3E-3</v>
      </c>
      <c r="AG90" s="228">
        <v>0</v>
      </c>
      <c r="AH90" s="228">
        <v>0</v>
      </c>
      <c r="AI90" s="228">
        <v>0</v>
      </c>
      <c r="AJ90" s="229">
        <v>0</v>
      </c>
      <c r="AK90" s="228">
        <v>0</v>
      </c>
      <c r="AL90" s="228">
        <v>0</v>
      </c>
      <c r="AM90" s="228">
        <v>0</v>
      </c>
      <c r="AN90" s="229">
        <v>0</v>
      </c>
      <c r="AO90" s="228">
        <v>659.3</v>
      </c>
      <c r="AP90" s="228">
        <v>0</v>
      </c>
      <c r="AQ90" s="228">
        <v>0</v>
      </c>
      <c r="AR90" s="230">
        <v>3201000</v>
      </c>
      <c r="AS90" s="230">
        <v>5910300</v>
      </c>
      <c r="AT90" s="230">
        <v>-2709300</v>
      </c>
      <c r="AU90" s="229">
        <v>-0.45839999999999997</v>
      </c>
      <c r="AV90" s="230">
        <v>3201000</v>
      </c>
      <c r="AW90" s="230">
        <v>5910300</v>
      </c>
      <c r="AX90" s="230">
        <v>-2709300</v>
      </c>
      <c r="AY90" s="229">
        <v>-0.45839999999999997</v>
      </c>
      <c r="AZ90" s="228">
        <v>0</v>
      </c>
      <c r="BA90" s="228">
        <v>0</v>
      </c>
      <c r="BB90" s="228">
        <v>0</v>
      </c>
      <c r="BC90" s="229">
        <v>0</v>
      </c>
      <c r="BD90" s="228">
        <v>0</v>
      </c>
      <c r="BE90" s="228">
        <v>0</v>
      </c>
      <c r="BF90" s="228">
        <v>0</v>
      </c>
      <c r="BG90" s="229">
        <v>0</v>
      </c>
      <c r="BH90" s="230">
        <v>7197300</v>
      </c>
      <c r="BI90" s="230">
        <v>26571600</v>
      </c>
      <c r="BJ90" s="230">
        <v>-19374300</v>
      </c>
      <c r="BK90" s="229">
        <v>-0.72909999999999997</v>
      </c>
      <c r="BL90" s="230">
        <v>5303100</v>
      </c>
      <c r="BM90" s="230">
        <v>10266300</v>
      </c>
      <c r="BN90" s="230">
        <v>-4963200</v>
      </c>
      <c r="BO90" s="229">
        <v>-0.4834</v>
      </c>
      <c r="BP90" s="230">
        <v>15701400</v>
      </c>
      <c r="BQ90" s="230">
        <v>42748200</v>
      </c>
      <c r="BR90" s="230">
        <v>-27046800</v>
      </c>
      <c r="BS90" s="229">
        <v>-0.63270000000000004</v>
      </c>
      <c r="BT90" s="230">
        <v>2441554</v>
      </c>
      <c r="BU90" s="230">
        <v>3929006</v>
      </c>
      <c r="BV90" s="230">
        <v>-1487452</v>
      </c>
      <c r="BW90" s="229">
        <v>-0.37859999999999999</v>
      </c>
      <c r="BX90" s="230">
        <v>11163900</v>
      </c>
      <c r="BY90" s="230">
        <v>10914750</v>
      </c>
      <c r="BZ90" s="230">
        <v>249150</v>
      </c>
      <c r="CA90" s="229">
        <v>2.2800000000000001E-2</v>
      </c>
      <c r="CB90" s="230">
        <v>11163900</v>
      </c>
      <c r="CC90" s="230">
        <v>10914750</v>
      </c>
      <c r="CD90" s="230">
        <v>249150</v>
      </c>
      <c r="CE90" s="229">
        <v>2.2800000000000001E-2</v>
      </c>
      <c r="CF90" s="228">
        <v>0</v>
      </c>
      <c r="CG90" s="228">
        <v>0</v>
      </c>
      <c r="CH90" s="228">
        <v>0</v>
      </c>
      <c r="CI90" s="229">
        <v>0</v>
      </c>
      <c r="CJ90" s="228">
        <v>0</v>
      </c>
      <c r="CK90" s="228">
        <v>0</v>
      </c>
      <c r="CL90" s="228">
        <v>0</v>
      </c>
      <c r="CM90" s="229">
        <v>0</v>
      </c>
      <c r="CN90" s="230">
        <v>5720550</v>
      </c>
      <c r="CO90" s="230">
        <v>5002800</v>
      </c>
      <c r="CP90" s="230">
        <v>717750</v>
      </c>
      <c r="CQ90" s="229">
        <v>0.14349999999999999</v>
      </c>
      <c r="CR90" s="230">
        <v>4540800</v>
      </c>
      <c r="CS90" s="230">
        <v>4954950</v>
      </c>
      <c r="CT90" s="230">
        <v>-414150</v>
      </c>
      <c r="CU90" s="229">
        <v>-8.3599999999999994E-2</v>
      </c>
      <c r="CV90" s="230">
        <v>21425250</v>
      </c>
      <c r="CW90" s="230">
        <v>20872500</v>
      </c>
      <c r="CX90" s="230">
        <v>552750</v>
      </c>
      <c r="CY90" s="229">
        <v>2.6499999999999999E-2</v>
      </c>
      <c r="CZ90" s="228">
        <v>30.96</v>
      </c>
      <c r="DA90" s="228">
        <v>31.43</v>
      </c>
      <c r="DB90" s="228">
        <v>-0.47</v>
      </c>
      <c r="DC90" s="228">
        <v>-0.47</v>
      </c>
      <c r="DD90" s="228">
        <v>48.73</v>
      </c>
      <c r="DE90" s="228">
        <v>48.83</v>
      </c>
      <c r="DF90" s="228">
        <v>-17.77</v>
      </c>
      <c r="DG90" s="228">
        <v>-0.1</v>
      </c>
      <c r="DH90" s="228">
        <v>30.7</v>
      </c>
      <c r="DI90" s="228">
        <v>31.04</v>
      </c>
      <c r="DJ90" s="228">
        <v>-0.34</v>
      </c>
      <c r="DK90" s="228">
        <v>-0.34</v>
      </c>
      <c r="DL90" s="228">
        <v>31.31</v>
      </c>
      <c r="DM90" s="228">
        <v>32.44</v>
      </c>
      <c r="DN90" s="228">
        <v>-1.1299999999999999</v>
      </c>
      <c r="DO90" s="228">
        <v>-1.1299999999999999</v>
      </c>
      <c r="DP90" s="228">
        <v>0.79</v>
      </c>
      <c r="DQ90" s="228">
        <v>0.99</v>
      </c>
      <c r="DR90" s="228">
        <v>-0.2</v>
      </c>
      <c r="DS90" s="229">
        <v>-0.20200000000000001</v>
      </c>
      <c r="DT90" s="228">
        <v>670</v>
      </c>
      <c r="DU90" s="228">
        <v>600</v>
      </c>
      <c r="DV90" s="228">
        <v>0.74</v>
      </c>
      <c r="DW90" s="228">
        <v>0.39</v>
      </c>
      <c r="DX90" s="228">
        <v>0.35</v>
      </c>
      <c r="DY90" s="229">
        <v>0.89739999999999998</v>
      </c>
      <c r="DZ90" s="229">
        <v>0</v>
      </c>
      <c r="EA90" s="228">
        <v>0</v>
      </c>
      <c r="EB90" s="229">
        <v>0</v>
      </c>
      <c r="EC90" s="229">
        <v>0</v>
      </c>
      <c r="ED90" s="228">
        <v>0</v>
      </c>
      <c r="EE90" s="229">
        <v>0</v>
      </c>
      <c r="EF90" s="230">
        <v>1327481</v>
      </c>
      <c r="EG90" s="230">
        <v>1174787</v>
      </c>
      <c r="EH90" s="229">
        <v>0.13</v>
      </c>
      <c r="EI90" s="229">
        <v>0.54369999999999996</v>
      </c>
      <c r="EJ90" s="231">
        <v>50126.6</v>
      </c>
      <c r="EK90" s="231">
        <v>34245.69</v>
      </c>
      <c r="EL90" s="231">
        <v>21104.13</v>
      </c>
      <c r="EM90" s="231">
        <v>2314</v>
      </c>
      <c r="EN90" s="231">
        <v>105476.42</v>
      </c>
      <c r="EO90" s="231">
        <v>291095.12</v>
      </c>
      <c r="EP90" s="231">
        <v>-185618.7</v>
      </c>
      <c r="EQ90" s="229">
        <v>-0.63770000000000004</v>
      </c>
      <c r="ER90" s="231">
        <v>38011</v>
      </c>
      <c r="ES90" s="231">
        <v>27724</v>
      </c>
      <c r="ET90" s="231">
        <v>73732</v>
      </c>
      <c r="EU90" s="231">
        <v>35669230</v>
      </c>
      <c r="EV90" s="231">
        <v>139467</v>
      </c>
      <c r="EW90" s="231">
        <v>136317</v>
      </c>
      <c r="EX90" s="231">
        <v>3150</v>
      </c>
      <c r="EY90" s="229">
        <v>2.3099999999999999E-2</v>
      </c>
      <c r="EZ90" s="229">
        <v>0.60070000000000001</v>
      </c>
      <c r="FA90" s="227" t="s">
        <v>567</v>
      </c>
      <c r="FB90" s="161">
        <f t="shared" si="1"/>
        <v>0</v>
      </c>
    </row>
    <row r="91" spans="1:158" ht="17.25" hidden="1" thickBot="1" x14ac:dyDescent="0.3">
      <c r="A91" s="226">
        <v>46029</v>
      </c>
      <c r="B91" s="227" t="s">
        <v>206</v>
      </c>
      <c r="C91" s="227" t="s">
        <v>501</v>
      </c>
      <c r="D91" s="228">
        <v>1000</v>
      </c>
      <c r="E91" s="228">
        <v>717.15</v>
      </c>
      <c r="F91" s="228">
        <v>729.2</v>
      </c>
      <c r="G91" s="228">
        <v>-12.05</v>
      </c>
      <c r="H91" s="229">
        <v>-1.6500000000000001E-2</v>
      </c>
      <c r="I91" s="228">
        <v>715.35</v>
      </c>
      <c r="J91" s="228">
        <v>726.4</v>
      </c>
      <c r="K91" s="228">
        <v>-11.05</v>
      </c>
      <c r="L91" s="229">
        <v>-1.52E-2</v>
      </c>
      <c r="M91" s="228">
        <v>717.15</v>
      </c>
      <c r="N91" s="228">
        <v>729.2</v>
      </c>
      <c r="O91" s="228">
        <v>-12.05</v>
      </c>
      <c r="P91" s="229">
        <v>-1.6500000000000001E-2</v>
      </c>
      <c r="Q91" s="228">
        <v>721.65</v>
      </c>
      <c r="R91" s="228">
        <v>733.2</v>
      </c>
      <c r="S91" s="228">
        <v>-11.55</v>
      </c>
      <c r="T91" s="229">
        <v>-1.5800000000000002E-2</v>
      </c>
      <c r="U91" s="228">
        <v>726.4</v>
      </c>
      <c r="V91" s="228">
        <v>738.25</v>
      </c>
      <c r="W91" s="228">
        <v>-11.85</v>
      </c>
      <c r="X91" s="229">
        <v>-1.61E-2</v>
      </c>
      <c r="Y91" s="228">
        <v>1.8</v>
      </c>
      <c r="Z91" s="228">
        <v>2.8</v>
      </c>
      <c r="AA91" s="228">
        <v>-1</v>
      </c>
      <c r="AB91" s="229">
        <v>2.5000000000000001E-3</v>
      </c>
      <c r="AC91" s="228">
        <v>1.8</v>
      </c>
      <c r="AD91" s="228">
        <v>2.8</v>
      </c>
      <c r="AE91" s="228">
        <v>-1</v>
      </c>
      <c r="AF91" s="229">
        <v>2.5000000000000001E-3</v>
      </c>
      <c r="AG91" s="228">
        <v>6.3</v>
      </c>
      <c r="AH91" s="228">
        <v>6.8</v>
      </c>
      <c r="AI91" s="228">
        <v>-0.5</v>
      </c>
      <c r="AJ91" s="229">
        <v>8.8000000000000005E-3</v>
      </c>
      <c r="AK91" s="228">
        <v>11.05</v>
      </c>
      <c r="AL91" s="228">
        <v>11.85</v>
      </c>
      <c r="AM91" s="228">
        <v>-0.8</v>
      </c>
      <c r="AN91" s="229">
        <v>1.54E-2</v>
      </c>
      <c r="AO91" s="228">
        <v>712.49</v>
      </c>
      <c r="AP91" s="228">
        <v>716.95</v>
      </c>
      <c r="AQ91" s="228">
        <v>0</v>
      </c>
      <c r="AR91" s="230">
        <v>9951000</v>
      </c>
      <c r="AS91" s="230">
        <v>6179000</v>
      </c>
      <c r="AT91" s="230">
        <v>3772000</v>
      </c>
      <c r="AU91" s="229">
        <v>0.61050000000000004</v>
      </c>
      <c r="AV91" s="230">
        <v>9000000</v>
      </c>
      <c r="AW91" s="230">
        <v>5798000</v>
      </c>
      <c r="AX91" s="230">
        <v>3202000</v>
      </c>
      <c r="AY91" s="229">
        <v>0.55230000000000001</v>
      </c>
      <c r="AZ91" s="230">
        <v>845000</v>
      </c>
      <c r="BA91" s="230">
        <v>328000</v>
      </c>
      <c r="BB91" s="230">
        <v>517000</v>
      </c>
      <c r="BC91" s="229">
        <v>1.5762</v>
      </c>
      <c r="BD91" s="230">
        <v>106000</v>
      </c>
      <c r="BE91" s="230">
        <v>53000</v>
      </c>
      <c r="BF91" s="230">
        <v>53000</v>
      </c>
      <c r="BG91" s="229">
        <v>1</v>
      </c>
      <c r="BH91" s="230">
        <v>19444000</v>
      </c>
      <c r="BI91" s="230">
        <v>10633000</v>
      </c>
      <c r="BJ91" s="230">
        <v>8811000</v>
      </c>
      <c r="BK91" s="229">
        <v>0.8286</v>
      </c>
      <c r="BL91" s="230">
        <v>13061000</v>
      </c>
      <c r="BM91" s="230">
        <v>5312000</v>
      </c>
      <c r="BN91" s="230">
        <v>7749000</v>
      </c>
      <c r="BO91" s="229">
        <v>1.4588000000000001</v>
      </c>
      <c r="BP91" s="230">
        <v>42456000</v>
      </c>
      <c r="BQ91" s="230">
        <v>22124000</v>
      </c>
      <c r="BR91" s="230">
        <v>20332000</v>
      </c>
      <c r="BS91" s="229">
        <v>0.91900000000000004</v>
      </c>
      <c r="BT91" s="230">
        <v>4125080</v>
      </c>
      <c r="BU91" s="230">
        <v>3403069</v>
      </c>
      <c r="BV91" s="230">
        <v>722011</v>
      </c>
      <c r="BW91" s="229">
        <v>0.2122</v>
      </c>
      <c r="BX91" s="230">
        <v>29166000</v>
      </c>
      <c r="BY91" s="230">
        <v>27144000</v>
      </c>
      <c r="BZ91" s="230">
        <v>2022000</v>
      </c>
      <c r="CA91" s="229">
        <v>7.4499999999999997E-2</v>
      </c>
      <c r="CB91" s="230">
        <v>28005000</v>
      </c>
      <c r="CC91" s="230">
        <v>26313000</v>
      </c>
      <c r="CD91" s="230">
        <v>1692000</v>
      </c>
      <c r="CE91" s="229">
        <v>6.4299999999999996E-2</v>
      </c>
      <c r="CF91" s="230">
        <v>1045000</v>
      </c>
      <c r="CG91" s="230">
        <v>771000</v>
      </c>
      <c r="CH91" s="230">
        <v>274000</v>
      </c>
      <c r="CI91" s="229">
        <v>0.35539999999999999</v>
      </c>
      <c r="CJ91" s="230">
        <v>116000</v>
      </c>
      <c r="CK91" s="230">
        <v>60000</v>
      </c>
      <c r="CL91" s="230">
        <v>56000</v>
      </c>
      <c r="CM91" s="229">
        <v>0.93330000000000002</v>
      </c>
      <c r="CN91" s="230">
        <v>10009000</v>
      </c>
      <c r="CO91" s="230">
        <v>8350000</v>
      </c>
      <c r="CP91" s="230">
        <v>1659000</v>
      </c>
      <c r="CQ91" s="229">
        <v>0.19869999999999999</v>
      </c>
      <c r="CR91" s="230">
        <v>6190000</v>
      </c>
      <c r="CS91" s="230">
        <v>5080000</v>
      </c>
      <c r="CT91" s="230">
        <v>1110000</v>
      </c>
      <c r="CU91" s="229">
        <v>0.2185</v>
      </c>
      <c r="CV91" s="230">
        <v>45365000</v>
      </c>
      <c r="CW91" s="230">
        <v>40574000</v>
      </c>
      <c r="CX91" s="230">
        <v>4791000</v>
      </c>
      <c r="CY91" s="229">
        <v>0.1181</v>
      </c>
      <c r="CZ91" s="228">
        <v>24.78</v>
      </c>
      <c r="DA91" s="228">
        <v>23.18</v>
      </c>
      <c r="DB91" s="228">
        <v>1.6</v>
      </c>
      <c r="DC91" s="228">
        <v>1.6</v>
      </c>
      <c r="DD91" s="228">
        <v>33.43</v>
      </c>
      <c r="DE91" s="228">
        <v>33.450000000000003</v>
      </c>
      <c r="DF91" s="228">
        <v>-8.65</v>
      </c>
      <c r="DG91" s="228">
        <v>-0.02</v>
      </c>
      <c r="DH91" s="228">
        <v>24.79</v>
      </c>
      <c r="DI91" s="228">
        <v>23.22</v>
      </c>
      <c r="DJ91" s="228">
        <v>1.57</v>
      </c>
      <c r="DK91" s="228">
        <v>1.57</v>
      </c>
      <c r="DL91" s="228">
        <v>24.76</v>
      </c>
      <c r="DM91" s="228">
        <v>23.1</v>
      </c>
      <c r="DN91" s="228">
        <v>1.66</v>
      </c>
      <c r="DO91" s="228">
        <v>1.66</v>
      </c>
      <c r="DP91" s="228">
        <v>0.62</v>
      </c>
      <c r="DQ91" s="228">
        <v>0.61</v>
      </c>
      <c r="DR91" s="228">
        <v>0.01</v>
      </c>
      <c r="DS91" s="229">
        <v>1.6400000000000001E-2</v>
      </c>
      <c r="DT91" s="228">
        <v>750</v>
      </c>
      <c r="DU91" s="228">
        <v>700</v>
      </c>
      <c r="DV91" s="228">
        <v>0.67</v>
      </c>
      <c r="DW91" s="228">
        <v>0.5</v>
      </c>
      <c r="DX91" s="228">
        <v>0.17</v>
      </c>
      <c r="DY91" s="229">
        <v>0.34</v>
      </c>
      <c r="DZ91" s="229">
        <v>3.9800000000000002E-2</v>
      </c>
      <c r="EA91" s="230">
        <v>831000</v>
      </c>
      <c r="EB91" s="229">
        <v>6.3E-3</v>
      </c>
      <c r="EC91" s="229">
        <v>3.9800000000000002E-2</v>
      </c>
      <c r="ED91" s="228">
        <v>4.46</v>
      </c>
      <c r="EE91" s="229">
        <v>6.3E-3</v>
      </c>
      <c r="EF91" s="230">
        <v>1728083</v>
      </c>
      <c r="EG91" s="230">
        <v>2352172</v>
      </c>
      <c r="EH91" s="229">
        <v>-0.26529999999999998</v>
      </c>
      <c r="EI91" s="229">
        <v>0.41889999999999999</v>
      </c>
      <c r="EJ91" s="231">
        <v>145318.66</v>
      </c>
      <c r="EK91" s="231">
        <v>93068.98</v>
      </c>
      <c r="EL91" s="231">
        <v>70947.95</v>
      </c>
      <c r="EM91" s="231">
        <v>4180</v>
      </c>
      <c r="EN91" s="231">
        <v>309335.59000000003</v>
      </c>
      <c r="EO91" s="231">
        <v>165392.29999999999</v>
      </c>
      <c r="EP91" s="231">
        <v>143943.29</v>
      </c>
      <c r="EQ91" s="229">
        <v>0.87029999999999996</v>
      </c>
      <c r="ER91" s="231">
        <v>75659</v>
      </c>
      <c r="ES91" s="231">
        <v>44454</v>
      </c>
      <c r="ET91" s="231">
        <v>209222</v>
      </c>
      <c r="EU91" s="231">
        <v>132129624</v>
      </c>
      <c r="EV91" s="231">
        <v>329335</v>
      </c>
      <c r="EW91" s="231">
        <v>298586</v>
      </c>
      <c r="EX91" s="231">
        <v>30749</v>
      </c>
      <c r="EY91" s="229">
        <v>0.10299999999999999</v>
      </c>
      <c r="EZ91" s="229">
        <v>0.34329999999999999</v>
      </c>
      <c r="FA91" s="227" t="s">
        <v>567</v>
      </c>
      <c r="FB91" s="161">
        <f t="shared" si="1"/>
        <v>1161000</v>
      </c>
    </row>
    <row r="92" spans="1:158" ht="17.25" hidden="1" thickBot="1" x14ac:dyDescent="0.3">
      <c r="A92" s="226">
        <v>46029</v>
      </c>
      <c r="B92" s="227" t="s">
        <v>172</v>
      </c>
      <c r="C92" s="227" t="s">
        <v>578</v>
      </c>
      <c r="D92" s="228">
        <v>1000</v>
      </c>
      <c r="E92" s="228">
        <v>865.9</v>
      </c>
      <c r="F92" s="228">
        <v>865.65</v>
      </c>
      <c r="G92" s="228">
        <v>0.25</v>
      </c>
      <c r="H92" s="229">
        <v>2.9999999999999997E-4</v>
      </c>
      <c r="I92" s="228">
        <v>864.6</v>
      </c>
      <c r="J92" s="228">
        <v>861.5</v>
      </c>
      <c r="K92" s="228">
        <v>3.1</v>
      </c>
      <c r="L92" s="229">
        <v>3.5999999999999999E-3</v>
      </c>
      <c r="M92" s="228">
        <v>865.9</v>
      </c>
      <c r="N92" s="228">
        <v>865.65</v>
      </c>
      <c r="O92" s="228">
        <v>0.25</v>
      </c>
      <c r="P92" s="229">
        <v>2.9999999999999997E-4</v>
      </c>
      <c r="Q92" s="228">
        <v>869</v>
      </c>
      <c r="R92" s="228">
        <v>868.95</v>
      </c>
      <c r="S92" s="228">
        <v>0.05</v>
      </c>
      <c r="T92" s="229">
        <v>1E-4</v>
      </c>
      <c r="U92" s="228">
        <v>868.15</v>
      </c>
      <c r="V92" s="228">
        <v>872.25</v>
      </c>
      <c r="W92" s="228">
        <v>-4.0999999999999996</v>
      </c>
      <c r="X92" s="229">
        <v>-4.7000000000000002E-3</v>
      </c>
      <c r="Y92" s="228">
        <v>1.3</v>
      </c>
      <c r="Z92" s="228">
        <v>4.1500000000000004</v>
      </c>
      <c r="AA92" s="228">
        <v>-2.85</v>
      </c>
      <c r="AB92" s="229">
        <v>1.5E-3</v>
      </c>
      <c r="AC92" s="228">
        <v>1.3</v>
      </c>
      <c r="AD92" s="228">
        <v>4.1500000000000004</v>
      </c>
      <c r="AE92" s="228">
        <v>-2.85</v>
      </c>
      <c r="AF92" s="229">
        <v>1.5E-3</v>
      </c>
      <c r="AG92" s="228">
        <v>4.4000000000000004</v>
      </c>
      <c r="AH92" s="228">
        <v>7.45</v>
      </c>
      <c r="AI92" s="228">
        <v>-3.05</v>
      </c>
      <c r="AJ92" s="229">
        <v>5.1000000000000004E-3</v>
      </c>
      <c r="AK92" s="228">
        <v>3.55</v>
      </c>
      <c r="AL92" s="228">
        <v>10.75</v>
      </c>
      <c r="AM92" s="228">
        <v>-7.2</v>
      </c>
      <c r="AN92" s="229">
        <v>4.1000000000000003E-3</v>
      </c>
      <c r="AO92" s="228">
        <v>861.76</v>
      </c>
      <c r="AP92" s="228">
        <v>864.73</v>
      </c>
      <c r="AQ92" s="228">
        <v>0</v>
      </c>
      <c r="AR92" s="230">
        <v>2123000</v>
      </c>
      <c r="AS92" s="230">
        <v>2276000</v>
      </c>
      <c r="AT92" s="230">
        <v>-153000</v>
      </c>
      <c r="AU92" s="229">
        <v>-6.7199999999999996E-2</v>
      </c>
      <c r="AV92" s="230">
        <v>2056000</v>
      </c>
      <c r="AW92" s="230">
        <v>2102000</v>
      </c>
      <c r="AX92" s="230">
        <v>-46000</v>
      </c>
      <c r="AY92" s="229">
        <v>-2.1899999999999999E-2</v>
      </c>
      <c r="AZ92" s="230">
        <v>60000</v>
      </c>
      <c r="BA92" s="230">
        <v>151000</v>
      </c>
      <c r="BB92" s="230">
        <v>-91000</v>
      </c>
      <c r="BC92" s="229">
        <v>-0.60260000000000002</v>
      </c>
      <c r="BD92" s="230">
        <v>7000</v>
      </c>
      <c r="BE92" s="230">
        <v>23000</v>
      </c>
      <c r="BF92" s="230">
        <v>-16000</v>
      </c>
      <c r="BG92" s="229">
        <v>-0.69569999999999999</v>
      </c>
      <c r="BH92" s="230">
        <v>3069000</v>
      </c>
      <c r="BI92" s="230">
        <v>5766000</v>
      </c>
      <c r="BJ92" s="230">
        <v>-2697000</v>
      </c>
      <c r="BK92" s="229">
        <v>-0.4677</v>
      </c>
      <c r="BL92" s="230">
        <v>1214000</v>
      </c>
      <c r="BM92" s="230">
        <v>2083000</v>
      </c>
      <c r="BN92" s="230">
        <v>-869000</v>
      </c>
      <c r="BO92" s="229">
        <v>-0.41720000000000002</v>
      </c>
      <c r="BP92" s="230">
        <v>6406000</v>
      </c>
      <c r="BQ92" s="230">
        <v>10125000</v>
      </c>
      <c r="BR92" s="230">
        <v>-3719000</v>
      </c>
      <c r="BS92" s="229">
        <v>-0.36730000000000002</v>
      </c>
      <c r="BT92" s="230">
        <v>2176026</v>
      </c>
      <c r="BU92" s="230">
        <v>1171713</v>
      </c>
      <c r="BV92" s="230">
        <v>1004313</v>
      </c>
      <c r="BW92" s="229">
        <v>0.85709999999999997</v>
      </c>
      <c r="BX92" s="230">
        <v>9489000</v>
      </c>
      <c r="BY92" s="230">
        <v>9633000</v>
      </c>
      <c r="BZ92" s="230">
        <v>-144000</v>
      </c>
      <c r="CA92" s="229">
        <v>-1.49E-2</v>
      </c>
      <c r="CB92" s="230">
        <v>9286000</v>
      </c>
      <c r="CC92" s="230">
        <v>9424000</v>
      </c>
      <c r="CD92" s="230">
        <v>-138000</v>
      </c>
      <c r="CE92" s="229">
        <v>-1.46E-2</v>
      </c>
      <c r="CF92" s="230">
        <v>160000</v>
      </c>
      <c r="CG92" s="230">
        <v>168000</v>
      </c>
      <c r="CH92" s="230">
        <v>-8000</v>
      </c>
      <c r="CI92" s="229">
        <v>-4.7600000000000003E-2</v>
      </c>
      <c r="CJ92" s="230">
        <v>43000</v>
      </c>
      <c r="CK92" s="230">
        <v>41000</v>
      </c>
      <c r="CL92" s="230">
        <v>2000</v>
      </c>
      <c r="CM92" s="229">
        <v>4.8800000000000003E-2</v>
      </c>
      <c r="CN92" s="230">
        <v>4614000</v>
      </c>
      <c r="CO92" s="230">
        <v>4560000</v>
      </c>
      <c r="CP92" s="230">
        <v>54000</v>
      </c>
      <c r="CQ92" s="229">
        <v>1.18E-2</v>
      </c>
      <c r="CR92" s="230">
        <v>3267000</v>
      </c>
      <c r="CS92" s="230">
        <v>3204000</v>
      </c>
      <c r="CT92" s="230">
        <v>63000</v>
      </c>
      <c r="CU92" s="229">
        <v>1.9699999999999999E-2</v>
      </c>
      <c r="CV92" s="230">
        <v>17370000</v>
      </c>
      <c r="CW92" s="230">
        <v>17397000</v>
      </c>
      <c r="CX92" s="230">
        <v>-27000</v>
      </c>
      <c r="CY92" s="229">
        <v>-1.6000000000000001E-3</v>
      </c>
      <c r="CZ92" s="228">
        <v>27.97</v>
      </c>
      <c r="DA92" s="228">
        <v>28.24</v>
      </c>
      <c r="DB92" s="228">
        <v>-0.27</v>
      </c>
      <c r="DC92" s="228">
        <v>-0.27</v>
      </c>
      <c r="DD92" s="228">
        <v>37.29</v>
      </c>
      <c r="DE92" s="228">
        <v>37.380000000000003</v>
      </c>
      <c r="DF92" s="228">
        <v>-9.32</v>
      </c>
      <c r="DG92" s="228">
        <v>-0.09</v>
      </c>
      <c r="DH92" s="228">
        <v>27.74</v>
      </c>
      <c r="DI92" s="228">
        <v>27.95</v>
      </c>
      <c r="DJ92" s="228">
        <v>-0.21</v>
      </c>
      <c r="DK92" s="228">
        <v>-0.21</v>
      </c>
      <c r="DL92" s="228">
        <v>28.57</v>
      </c>
      <c r="DM92" s="228">
        <v>29.05</v>
      </c>
      <c r="DN92" s="228">
        <v>-0.48</v>
      </c>
      <c r="DO92" s="228">
        <v>-0.48</v>
      </c>
      <c r="DP92" s="228">
        <v>0.71</v>
      </c>
      <c r="DQ92" s="228">
        <v>0.7</v>
      </c>
      <c r="DR92" s="228">
        <v>0.01</v>
      </c>
      <c r="DS92" s="229">
        <v>1.43E-2</v>
      </c>
      <c r="DT92" s="228">
        <v>900</v>
      </c>
      <c r="DU92" s="228">
        <v>800</v>
      </c>
      <c r="DV92" s="228">
        <v>0.4</v>
      </c>
      <c r="DW92" s="228">
        <v>0.36</v>
      </c>
      <c r="DX92" s="228">
        <v>0.04</v>
      </c>
      <c r="DY92" s="229">
        <v>0.1111</v>
      </c>
      <c r="DZ92" s="229">
        <v>2.1399999999999999E-2</v>
      </c>
      <c r="EA92" s="230">
        <v>209000</v>
      </c>
      <c r="EB92" s="229">
        <v>3.5999999999999999E-3</v>
      </c>
      <c r="EC92" s="229">
        <v>2.1399999999999999E-2</v>
      </c>
      <c r="ED92" s="228">
        <v>2.97</v>
      </c>
      <c r="EE92" s="229">
        <v>3.3999999999999998E-3</v>
      </c>
      <c r="EF92" s="230">
        <v>1293077</v>
      </c>
      <c r="EG92" s="230">
        <v>556205</v>
      </c>
      <c r="EH92" s="229">
        <v>1.3248</v>
      </c>
      <c r="EI92" s="229">
        <v>0.59419999999999995</v>
      </c>
      <c r="EJ92" s="231">
        <v>27776.19</v>
      </c>
      <c r="EK92" s="231">
        <v>10251.91</v>
      </c>
      <c r="EL92" s="231">
        <v>18297.25</v>
      </c>
      <c r="EM92" s="231">
        <v>3098</v>
      </c>
      <c r="EN92" s="231">
        <v>56325.35</v>
      </c>
      <c r="EO92" s="231">
        <v>89435.16</v>
      </c>
      <c r="EP92" s="231">
        <v>-33109.81</v>
      </c>
      <c r="EQ92" s="229">
        <v>-0.37019999999999997</v>
      </c>
      <c r="ER92" s="231">
        <v>40659</v>
      </c>
      <c r="ES92" s="231">
        <v>26357</v>
      </c>
      <c r="ET92" s="231">
        <v>82171</v>
      </c>
      <c r="EU92" s="231">
        <v>52862157</v>
      </c>
      <c r="EV92" s="231">
        <v>149187</v>
      </c>
      <c r="EW92" s="231">
        <v>149345</v>
      </c>
      <c r="EX92" s="228">
        <v>-158</v>
      </c>
      <c r="EY92" s="229">
        <v>-1.1000000000000001E-3</v>
      </c>
      <c r="EZ92" s="229">
        <v>0.3286</v>
      </c>
      <c r="FA92" s="227" t="s">
        <v>556</v>
      </c>
      <c r="FB92" s="161">
        <f t="shared" si="1"/>
        <v>203000</v>
      </c>
    </row>
    <row r="93" spans="1:158" ht="17.25" hidden="1" thickBot="1" x14ac:dyDescent="0.3">
      <c r="A93" s="226">
        <v>46029</v>
      </c>
      <c r="B93" s="227" t="s">
        <v>181</v>
      </c>
      <c r="C93" s="227" t="s">
        <v>688</v>
      </c>
      <c r="D93" s="228">
        <v>1</v>
      </c>
      <c r="E93" s="228">
        <v>9.9499999999999993</v>
      </c>
      <c r="F93" s="228">
        <v>10.02</v>
      </c>
      <c r="G93" s="228">
        <v>-7.0000000000000007E-2</v>
      </c>
      <c r="H93" s="229">
        <v>-7.0000000000000001E-3</v>
      </c>
      <c r="I93" s="228">
        <v>9.9499999999999993</v>
      </c>
      <c r="J93" s="228">
        <v>10.02</v>
      </c>
      <c r="K93" s="228">
        <v>-7.0000000000000007E-2</v>
      </c>
      <c r="L93" s="229">
        <v>-7.0000000000000001E-3</v>
      </c>
      <c r="M93" s="228">
        <v>0</v>
      </c>
      <c r="N93" s="228">
        <v>0</v>
      </c>
      <c r="O93" s="228">
        <v>0</v>
      </c>
      <c r="P93" s="229">
        <v>0</v>
      </c>
      <c r="Q93" s="228">
        <v>0</v>
      </c>
      <c r="R93" s="228">
        <v>0</v>
      </c>
      <c r="S93" s="228">
        <v>0</v>
      </c>
      <c r="T93" s="229">
        <v>0</v>
      </c>
      <c r="U93" s="228">
        <v>0</v>
      </c>
      <c r="V93" s="228">
        <v>0</v>
      </c>
      <c r="W93" s="228">
        <v>0</v>
      </c>
      <c r="X93" s="229">
        <v>0</v>
      </c>
      <c r="Y93" s="228">
        <v>0</v>
      </c>
      <c r="Z93" s="228">
        <v>0</v>
      </c>
      <c r="AA93" s="228">
        <v>0</v>
      </c>
      <c r="AB93" s="229">
        <v>0</v>
      </c>
      <c r="AC93" s="228">
        <v>0</v>
      </c>
      <c r="AD93" s="228">
        <v>0</v>
      </c>
      <c r="AE93" s="228">
        <v>0</v>
      </c>
      <c r="AF93" s="229">
        <v>0</v>
      </c>
      <c r="AG93" s="228">
        <v>0</v>
      </c>
      <c r="AH93" s="228">
        <v>0</v>
      </c>
      <c r="AI93" s="228">
        <v>0</v>
      </c>
      <c r="AJ93" s="229">
        <v>0</v>
      </c>
      <c r="AK93" s="228">
        <v>0</v>
      </c>
      <c r="AL93" s="228">
        <v>0</v>
      </c>
      <c r="AM93" s="228">
        <v>0</v>
      </c>
      <c r="AN93" s="229">
        <v>0</v>
      </c>
      <c r="AO93" s="228">
        <v>0</v>
      </c>
      <c r="AP93" s="228">
        <v>0</v>
      </c>
      <c r="AQ93" s="228">
        <v>0</v>
      </c>
      <c r="AR93" s="228">
        <v>0</v>
      </c>
      <c r="AS93" s="228">
        <v>0</v>
      </c>
      <c r="AT93" s="228">
        <v>0</v>
      </c>
      <c r="AU93" s="229">
        <v>0</v>
      </c>
      <c r="AV93" s="228">
        <v>0</v>
      </c>
      <c r="AW93" s="228">
        <v>0</v>
      </c>
      <c r="AX93" s="228">
        <v>0</v>
      </c>
      <c r="AY93" s="229">
        <v>0</v>
      </c>
      <c r="AZ93" s="228">
        <v>0</v>
      </c>
      <c r="BA93" s="228">
        <v>0</v>
      </c>
      <c r="BB93" s="228">
        <v>0</v>
      </c>
      <c r="BC93" s="229">
        <v>0</v>
      </c>
      <c r="BD93" s="228">
        <v>0</v>
      </c>
      <c r="BE93" s="228">
        <v>0</v>
      </c>
      <c r="BF93" s="228">
        <v>0</v>
      </c>
      <c r="BG93" s="229">
        <v>0</v>
      </c>
      <c r="BH93" s="228">
        <v>0</v>
      </c>
      <c r="BI93" s="228">
        <v>0</v>
      </c>
      <c r="BJ93" s="228">
        <v>0</v>
      </c>
      <c r="BK93" s="229">
        <v>0</v>
      </c>
      <c r="BL93" s="228">
        <v>0</v>
      </c>
      <c r="BM93" s="228">
        <v>0</v>
      </c>
      <c r="BN93" s="228">
        <v>0</v>
      </c>
      <c r="BO93" s="229">
        <v>0</v>
      </c>
      <c r="BP93" s="228">
        <v>0</v>
      </c>
      <c r="BQ93" s="228">
        <v>0</v>
      </c>
      <c r="BR93" s="228">
        <v>0</v>
      </c>
      <c r="BS93" s="229">
        <v>0</v>
      </c>
      <c r="BT93" s="228">
        <v>0</v>
      </c>
      <c r="BU93" s="228">
        <v>0</v>
      </c>
      <c r="BV93" s="228">
        <v>0</v>
      </c>
      <c r="BW93" s="229">
        <v>0</v>
      </c>
      <c r="BX93" s="228">
        <v>0</v>
      </c>
      <c r="BY93" s="228">
        <v>0</v>
      </c>
      <c r="BZ93" s="228">
        <v>0</v>
      </c>
      <c r="CA93" s="229">
        <v>0</v>
      </c>
      <c r="CB93" s="228">
        <v>0</v>
      </c>
      <c r="CC93" s="228">
        <v>0</v>
      </c>
      <c r="CD93" s="228">
        <v>0</v>
      </c>
      <c r="CE93" s="229">
        <v>0</v>
      </c>
      <c r="CF93" s="228">
        <v>0</v>
      </c>
      <c r="CG93" s="228">
        <v>0</v>
      </c>
      <c r="CH93" s="228">
        <v>0</v>
      </c>
      <c r="CI93" s="229">
        <v>0</v>
      </c>
      <c r="CJ93" s="228">
        <v>0</v>
      </c>
      <c r="CK93" s="228">
        <v>0</v>
      </c>
      <c r="CL93" s="228">
        <v>0</v>
      </c>
      <c r="CM93" s="229">
        <v>0</v>
      </c>
      <c r="CN93" s="228">
        <v>0</v>
      </c>
      <c r="CO93" s="228">
        <v>0</v>
      </c>
      <c r="CP93" s="228">
        <v>0</v>
      </c>
      <c r="CQ93" s="229">
        <v>0</v>
      </c>
      <c r="CR93" s="228">
        <v>0</v>
      </c>
      <c r="CS93" s="228">
        <v>0</v>
      </c>
      <c r="CT93" s="228">
        <v>0</v>
      </c>
      <c r="CU93" s="229">
        <v>0</v>
      </c>
      <c r="CV93" s="228">
        <v>0</v>
      </c>
      <c r="CW93" s="228">
        <v>0</v>
      </c>
      <c r="CX93" s="228">
        <v>0</v>
      </c>
      <c r="CY93" s="229">
        <v>0</v>
      </c>
      <c r="CZ93" s="228">
        <v>0</v>
      </c>
      <c r="DA93" s="228">
        <v>0</v>
      </c>
      <c r="DB93" s="228">
        <v>0</v>
      </c>
      <c r="DC93" s="228">
        <v>0</v>
      </c>
      <c r="DD93" s="228">
        <v>0</v>
      </c>
      <c r="DE93" s="228">
        <v>0</v>
      </c>
      <c r="DF93" s="228">
        <v>0</v>
      </c>
      <c r="DG93" s="228">
        <v>0</v>
      </c>
      <c r="DH93" s="228">
        <v>0</v>
      </c>
      <c r="DI93" s="228">
        <v>0</v>
      </c>
      <c r="DJ93" s="228">
        <v>0</v>
      </c>
      <c r="DK93" s="228">
        <v>0</v>
      </c>
      <c r="DL93" s="228">
        <v>0</v>
      </c>
      <c r="DM93" s="228">
        <v>0</v>
      </c>
      <c r="DN93" s="228">
        <v>0</v>
      </c>
      <c r="DO93" s="228">
        <v>0</v>
      </c>
      <c r="DP93" s="228">
        <v>0</v>
      </c>
      <c r="DQ93" s="228">
        <v>0</v>
      </c>
      <c r="DR93" s="228">
        <v>0</v>
      </c>
      <c r="DS93" s="229">
        <v>0</v>
      </c>
      <c r="DT93" s="228">
        <v>0</v>
      </c>
      <c r="DU93" s="228">
        <v>0</v>
      </c>
      <c r="DV93" s="228">
        <v>0</v>
      </c>
      <c r="DW93" s="228">
        <v>0</v>
      </c>
      <c r="DX93" s="228">
        <v>0</v>
      </c>
      <c r="DY93" s="229">
        <v>0</v>
      </c>
      <c r="DZ93" s="229">
        <v>0</v>
      </c>
      <c r="EA93" s="228">
        <v>0</v>
      </c>
      <c r="EB93" s="229">
        <v>0</v>
      </c>
      <c r="EC93" s="229">
        <v>0</v>
      </c>
      <c r="ED93" s="228">
        <v>0</v>
      </c>
      <c r="EE93" s="229">
        <v>0</v>
      </c>
      <c r="EF93" s="228">
        <v>0</v>
      </c>
      <c r="EG93" s="228">
        <v>0</v>
      </c>
      <c r="EH93" s="229">
        <v>0</v>
      </c>
      <c r="EI93" s="229">
        <v>0</v>
      </c>
      <c r="EJ93" s="228">
        <v>0</v>
      </c>
      <c r="EK93" s="228">
        <v>0</v>
      </c>
      <c r="EL93" s="228">
        <v>0</v>
      </c>
      <c r="EM93" s="228">
        <v>0</v>
      </c>
      <c r="EN93" s="228">
        <v>0</v>
      </c>
      <c r="EO93" s="228">
        <v>0</v>
      </c>
      <c r="EP93" s="228">
        <v>0</v>
      </c>
      <c r="EQ93" s="229">
        <v>0</v>
      </c>
      <c r="ER93" s="228">
        <v>0</v>
      </c>
      <c r="ES93" s="228">
        <v>0</v>
      </c>
      <c r="ET93" s="228">
        <v>0</v>
      </c>
      <c r="EU93" s="228">
        <v>0</v>
      </c>
      <c r="EV93" s="228">
        <v>0</v>
      </c>
      <c r="EW93" s="228">
        <v>0</v>
      </c>
      <c r="EX93" s="228">
        <v>0</v>
      </c>
      <c r="EY93" s="229">
        <v>0</v>
      </c>
      <c r="EZ93" s="229">
        <v>0</v>
      </c>
      <c r="FA93" s="227" t="s">
        <v>237</v>
      </c>
      <c r="FB93" s="161">
        <f t="shared" si="1"/>
        <v>0</v>
      </c>
    </row>
    <row r="94" spans="1:158" ht="17.25" hidden="1" thickBot="1" x14ac:dyDescent="0.3">
      <c r="A94" s="226">
        <v>46029</v>
      </c>
      <c r="B94" s="227" t="s">
        <v>215</v>
      </c>
      <c r="C94" s="227" t="s">
        <v>238</v>
      </c>
      <c r="D94" s="228">
        <v>150</v>
      </c>
      <c r="E94" s="231">
        <v>4975.5</v>
      </c>
      <c r="F94" s="231">
        <v>5029.5</v>
      </c>
      <c r="G94" s="228">
        <v>-54</v>
      </c>
      <c r="H94" s="229">
        <v>-1.0699999999999999E-2</v>
      </c>
      <c r="I94" s="231">
        <v>4951</v>
      </c>
      <c r="J94" s="231">
        <v>5002.5</v>
      </c>
      <c r="K94" s="228">
        <v>-51.5</v>
      </c>
      <c r="L94" s="229">
        <v>-1.03E-2</v>
      </c>
      <c r="M94" s="231">
        <v>4975.5</v>
      </c>
      <c r="N94" s="231">
        <v>5029.5</v>
      </c>
      <c r="O94" s="228">
        <v>-54</v>
      </c>
      <c r="P94" s="229">
        <v>-1.0699999999999999E-2</v>
      </c>
      <c r="Q94" s="231">
        <v>5001.5</v>
      </c>
      <c r="R94" s="231">
        <v>5057</v>
      </c>
      <c r="S94" s="228">
        <v>-55.5</v>
      </c>
      <c r="T94" s="229">
        <v>-1.0999999999999999E-2</v>
      </c>
      <c r="U94" s="231">
        <v>5030</v>
      </c>
      <c r="V94" s="231">
        <v>5091</v>
      </c>
      <c r="W94" s="228">
        <v>-61</v>
      </c>
      <c r="X94" s="229">
        <v>-1.2E-2</v>
      </c>
      <c r="Y94" s="228">
        <v>24.5</v>
      </c>
      <c r="Z94" s="228">
        <v>27</v>
      </c>
      <c r="AA94" s="228">
        <v>-2.5</v>
      </c>
      <c r="AB94" s="229">
        <v>4.8999999999999998E-3</v>
      </c>
      <c r="AC94" s="228">
        <v>24.5</v>
      </c>
      <c r="AD94" s="228">
        <v>27</v>
      </c>
      <c r="AE94" s="228">
        <v>-2.5</v>
      </c>
      <c r="AF94" s="229">
        <v>4.8999999999999998E-3</v>
      </c>
      <c r="AG94" s="228">
        <v>50.5</v>
      </c>
      <c r="AH94" s="228">
        <v>54.5</v>
      </c>
      <c r="AI94" s="228">
        <v>-4</v>
      </c>
      <c r="AJ94" s="229">
        <v>1.0200000000000001E-2</v>
      </c>
      <c r="AK94" s="228">
        <v>79</v>
      </c>
      <c r="AL94" s="228">
        <v>88.5</v>
      </c>
      <c r="AM94" s="228">
        <v>-9.5</v>
      </c>
      <c r="AN94" s="229">
        <v>1.6E-2</v>
      </c>
      <c r="AO94" s="231">
        <v>4984.43</v>
      </c>
      <c r="AP94" s="231">
        <v>5011.08</v>
      </c>
      <c r="AQ94" s="228">
        <v>0</v>
      </c>
      <c r="AR94" s="230">
        <v>1311900</v>
      </c>
      <c r="AS94" s="230">
        <v>1080300</v>
      </c>
      <c r="AT94" s="230">
        <v>231600</v>
      </c>
      <c r="AU94" s="229">
        <v>0.21440000000000001</v>
      </c>
      <c r="AV94" s="230">
        <v>1173450</v>
      </c>
      <c r="AW94" s="230">
        <v>996600</v>
      </c>
      <c r="AX94" s="230">
        <v>176850</v>
      </c>
      <c r="AY94" s="229">
        <v>0.17749999999999999</v>
      </c>
      <c r="AZ94" s="230">
        <v>120300</v>
      </c>
      <c r="BA94" s="230">
        <v>72750</v>
      </c>
      <c r="BB94" s="230">
        <v>47550</v>
      </c>
      <c r="BC94" s="229">
        <v>0.65359999999999996</v>
      </c>
      <c r="BD94" s="230">
        <v>18150</v>
      </c>
      <c r="BE94" s="230">
        <v>10950</v>
      </c>
      <c r="BF94" s="230">
        <v>7200</v>
      </c>
      <c r="BG94" s="229">
        <v>0.65749999999999997</v>
      </c>
      <c r="BH94" s="230">
        <v>6109800</v>
      </c>
      <c r="BI94" s="230">
        <v>4963950</v>
      </c>
      <c r="BJ94" s="230">
        <v>1145850</v>
      </c>
      <c r="BK94" s="229">
        <v>0.23080000000000001</v>
      </c>
      <c r="BL94" s="230">
        <v>5196450</v>
      </c>
      <c r="BM94" s="230">
        <v>3314400</v>
      </c>
      <c r="BN94" s="230">
        <v>1882050</v>
      </c>
      <c r="BO94" s="229">
        <v>0.56779999999999997</v>
      </c>
      <c r="BP94" s="230">
        <v>12618150</v>
      </c>
      <c r="BQ94" s="230">
        <v>9358650</v>
      </c>
      <c r="BR94" s="230">
        <v>3259500</v>
      </c>
      <c r="BS94" s="229">
        <v>0.3483</v>
      </c>
      <c r="BT94" s="230">
        <v>1179149</v>
      </c>
      <c r="BU94" s="230">
        <v>874683</v>
      </c>
      <c r="BV94" s="230">
        <v>304466</v>
      </c>
      <c r="BW94" s="229">
        <v>0.34810000000000002</v>
      </c>
      <c r="BX94" s="230">
        <v>8445900</v>
      </c>
      <c r="BY94" s="230">
        <v>8390400</v>
      </c>
      <c r="BZ94" s="230">
        <v>55500</v>
      </c>
      <c r="CA94" s="229">
        <v>6.6E-3</v>
      </c>
      <c r="CB94" s="230">
        <v>8142300</v>
      </c>
      <c r="CC94" s="230">
        <v>8133600</v>
      </c>
      <c r="CD94" s="230">
        <v>8700</v>
      </c>
      <c r="CE94" s="229">
        <v>1.1000000000000001E-3</v>
      </c>
      <c r="CF94" s="230">
        <v>283350</v>
      </c>
      <c r="CG94" s="230">
        <v>240150</v>
      </c>
      <c r="CH94" s="230">
        <v>43200</v>
      </c>
      <c r="CI94" s="229">
        <v>0.1799</v>
      </c>
      <c r="CJ94" s="230">
        <v>20250</v>
      </c>
      <c r="CK94" s="230">
        <v>16650</v>
      </c>
      <c r="CL94" s="230">
        <v>3600</v>
      </c>
      <c r="CM94" s="229">
        <v>0.2162</v>
      </c>
      <c r="CN94" s="230">
        <v>5078100</v>
      </c>
      <c r="CO94" s="230">
        <v>4571100</v>
      </c>
      <c r="CP94" s="230">
        <v>507000</v>
      </c>
      <c r="CQ94" s="229">
        <v>0.1109</v>
      </c>
      <c r="CR94" s="230">
        <v>3437400</v>
      </c>
      <c r="CS94" s="230">
        <v>3466800</v>
      </c>
      <c r="CT94" s="230">
        <v>-29400</v>
      </c>
      <c r="CU94" s="229">
        <v>-8.5000000000000006E-3</v>
      </c>
      <c r="CV94" s="230">
        <v>16961400</v>
      </c>
      <c r="CW94" s="230">
        <v>16428300</v>
      </c>
      <c r="CX94" s="230">
        <v>533100</v>
      </c>
      <c r="CY94" s="229">
        <v>3.2500000000000001E-2</v>
      </c>
      <c r="CZ94" s="228">
        <v>25.17</v>
      </c>
      <c r="DA94" s="228">
        <v>25.01</v>
      </c>
      <c r="DB94" s="228">
        <v>0.16</v>
      </c>
      <c r="DC94" s="228">
        <v>0.16</v>
      </c>
      <c r="DD94" s="228">
        <v>33.130000000000003</v>
      </c>
      <c r="DE94" s="228">
        <v>33.18</v>
      </c>
      <c r="DF94" s="228">
        <v>-7.96</v>
      </c>
      <c r="DG94" s="228">
        <v>-0.05</v>
      </c>
      <c r="DH94" s="228">
        <v>24.93</v>
      </c>
      <c r="DI94" s="228">
        <v>24.77</v>
      </c>
      <c r="DJ94" s="228">
        <v>0.16</v>
      </c>
      <c r="DK94" s="228">
        <v>0.16</v>
      </c>
      <c r="DL94" s="228">
        <v>25.46</v>
      </c>
      <c r="DM94" s="228">
        <v>25.38</v>
      </c>
      <c r="DN94" s="228">
        <v>0.08</v>
      </c>
      <c r="DO94" s="228">
        <v>0.08</v>
      </c>
      <c r="DP94" s="228">
        <v>0.68</v>
      </c>
      <c r="DQ94" s="228">
        <v>0.76</v>
      </c>
      <c r="DR94" s="228">
        <v>-0.08</v>
      </c>
      <c r="DS94" s="229">
        <v>-0.1053</v>
      </c>
      <c r="DT94" s="231">
        <v>5100</v>
      </c>
      <c r="DU94" s="231">
        <v>5000</v>
      </c>
      <c r="DV94" s="228">
        <v>0.85</v>
      </c>
      <c r="DW94" s="228">
        <v>0.67</v>
      </c>
      <c r="DX94" s="228">
        <v>0.18</v>
      </c>
      <c r="DY94" s="229">
        <v>0.26869999999999999</v>
      </c>
      <c r="DZ94" s="229">
        <v>3.5900000000000001E-2</v>
      </c>
      <c r="EA94" s="230">
        <v>256800</v>
      </c>
      <c r="EB94" s="229">
        <v>5.1999999999999998E-3</v>
      </c>
      <c r="EC94" s="229">
        <v>3.5900000000000001E-2</v>
      </c>
      <c r="ED94" s="228">
        <v>26.65</v>
      </c>
      <c r="EE94" s="229">
        <v>5.3E-3</v>
      </c>
      <c r="EF94" s="230">
        <v>762634</v>
      </c>
      <c r="EG94" s="230">
        <v>515800</v>
      </c>
      <c r="EH94" s="229">
        <v>0.47849999999999998</v>
      </c>
      <c r="EI94" s="229">
        <v>0.64680000000000004</v>
      </c>
      <c r="EJ94" s="231">
        <v>322175.15999999997</v>
      </c>
      <c r="EK94" s="231">
        <v>256301.09</v>
      </c>
      <c r="EL94" s="231">
        <v>65432.52</v>
      </c>
      <c r="EM94" s="231">
        <v>6054</v>
      </c>
      <c r="EN94" s="231">
        <v>643908.77</v>
      </c>
      <c r="EO94" s="231">
        <v>486420.49</v>
      </c>
      <c r="EP94" s="231">
        <v>157488.28</v>
      </c>
      <c r="EQ94" s="229">
        <v>0.32379999999999998</v>
      </c>
      <c r="ER94" s="231">
        <v>270570</v>
      </c>
      <c r="ES94" s="231">
        <v>168028</v>
      </c>
      <c r="ET94" s="231">
        <v>420310</v>
      </c>
      <c r="EU94" s="231">
        <v>33874835</v>
      </c>
      <c r="EV94" s="231">
        <v>858908</v>
      </c>
      <c r="EW94" s="231">
        <v>836586</v>
      </c>
      <c r="EX94" s="231">
        <v>22322</v>
      </c>
      <c r="EY94" s="229">
        <v>2.6700000000000002E-2</v>
      </c>
      <c r="EZ94" s="229">
        <v>0.50070000000000003</v>
      </c>
      <c r="FA94" s="227" t="s">
        <v>567</v>
      </c>
      <c r="FB94" s="161">
        <f t="shared" si="1"/>
        <v>303600</v>
      </c>
    </row>
    <row r="95" spans="1:158" ht="17.25" hidden="1" thickBot="1" x14ac:dyDescent="0.3">
      <c r="A95" s="226">
        <v>46029</v>
      </c>
      <c r="B95" s="227" t="s">
        <v>172</v>
      </c>
      <c r="C95" s="227" t="s">
        <v>239</v>
      </c>
      <c r="D95" s="228">
        <v>700</v>
      </c>
      <c r="E95" s="228">
        <v>900.3</v>
      </c>
      <c r="F95" s="228">
        <v>916.4</v>
      </c>
      <c r="G95" s="228">
        <v>-16.100000000000001</v>
      </c>
      <c r="H95" s="229">
        <v>-1.7600000000000001E-2</v>
      </c>
      <c r="I95" s="228">
        <v>897.85</v>
      </c>
      <c r="J95" s="228">
        <v>914.25</v>
      </c>
      <c r="K95" s="228">
        <v>-16.399999999999999</v>
      </c>
      <c r="L95" s="229">
        <v>-1.7899999999999999E-2</v>
      </c>
      <c r="M95" s="228">
        <v>900.3</v>
      </c>
      <c r="N95" s="228">
        <v>916.4</v>
      </c>
      <c r="O95" s="228">
        <v>-16.100000000000001</v>
      </c>
      <c r="P95" s="229">
        <v>-1.7600000000000001E-2</v>
      </c>
      <c r="Q95" s="228">
        <v>905.7</v>
      </c>
      <c r="R95" s="228">
        <v>923.05</v>
      </c>
      <c r="S95" s="228">
        <v>-17.350000000000001</v>
      </c>
      <c r="T95" s="229">
        <v>-1.8800000000000001E-2</v>
      </c>
      <c r="U95" s="228">
        <v>911.05</v>
      </c>
      <c r="V95" s="228">
        <v>932.05</v>
      </c>
      <c r="W95" s="228">
        <v>-21</v>
      </c>
      <c r="X95" s="229">
        <v>-2.2499999999999999E-2</v>
      </c>
      <c r="Y95" s="228">
        <v>2.4500000000000002</v>
      </c>
      <c r="Z95" s="228">
        <v>2.15</v>
      </c>
      <c r="AA95" s="228">
        <v>0.3</v>
      </c>
      <c r="AB95" s="229">
        <v>2.7000000000000001E-3</v>
      </c>
      <c r="AC95" s="228">
        <v>2.4500000000000002</v>
      </c>
      <c r="AD95" s="228">
        <v>2.15</v>
      </c>
      <c r="AE95" s="228">
        <v>0.3</v>
      </c>
      <c r="AF95" s="229">
        <v>2.7000000000000001E-3</v>
      </c>
      <c r="AG95" s="228">
        <v>7.85</v>
      </c>
      <c r="AH95" s="228">
        <v>8.8000000000000007</v>
      </c>
      <c r="AI95" s="228">
        <v>-0.95</v>
      </c>
      <c r="AJ95" s="229">
        <v>8.6999999999999994E-3</v>
      </c>
      <c r="AK95" s="228">
        <v>13.2</v>
      </c>
      <c r="AL95" s="228">
        <v>17.8</v>
      </c>
      <c r="AM95" s="228">
        <v>-4.5999999999999996</v>
      </c>
      <c r="AN95" s="229">
        <v>1.47E-2</v>
      </c>
      <c r="AO95" s="228">
        <v>904.61</v>
      </c>
      <c r="AP95" s="228">
        <v>907.18</v>
      </c>
      <c r="AQ95" s="228">
        <v>0</v>
      </c>
      <c r="AR95" s="230">
        <v>10896900</v>
      </c>
      <c r="AS95" s="230">
        <v>15799000</v>
      </c>
      <c r="AT95" s="230">
        <v>-4902100</v>
      </c>
      <c r="AU95" s="229">
        <v>-0.31030000000000002</v>
      </c>
      <c r="AV95" s="230">
        <v>9868600</v>
      </c>
      <c r="AW95" s="230">
        <v>15399300</v>
      </c>
      <c r="AX95" s="230">
        <v>-5530700</v>
      </c>
      <c r="AY95" s="229">
        <v>-0.35920000000000002</v>
      </c>
      <c r="AZ95" s="230">
        <v>949200</v>
      </c>
      <c r="BA95" s="230">
        <v>363300</v>
      </c>
      <c r="BB95" s="230">
        <v>585900</v>
      </c>
      <c r="BC95" s="229">
        <v>1.6127</v>
      </c>
      <c r="BD95" s="230">
        <v>79100</v>
      </c>
      <c r="BE95" s="230">
        <v>36400</v>
      </c>
      <c r="BF95" s="230">
        <v>42700</v>
      </c>
      <c r="BG95" s="229">
        <v>1.1731</v>
      </c>
      <c r="BH95" s="230">
        <v>14798700</v>
      </c>
      <c r="BI95" s="230">
        <v>32635400</v>
      </c>
      <c r="BJ95" s="230">
        <v>-17836700</v>
      </c>
      <c r="BK95" s="229">
        <v>-0.54649999999999999</v>
      </c>
      <c r="BL95" s="230">
        <v>10023300</v>
      </c>
      <c r="BM95" s="230">
        <v>21589400</v>
      </c>
      <c r="BN95" s="230">
        <v>-11566100</v>
      </c>
      <c r="BO95" s="229">
        <v>-0.53569999999999995</v>
      </c>
      <c r="BP95" s="230">
        <v>35718900</v>
      </c>
      <c r="BQ95" s="230">
        <v>70023800</v>
      </c>
      <c r="BR95" s="230">
        <v>-34304900</v>
      </c>
      <c r="BS95" s="229">
        <v>-0.4899</v>
      </c>
      <c r="BT95" s="230">
        <v>3073727</v>
      </c>
      <c r="BU95" s="230">
        <v>8558631</v>
      </c>
      <c r="BV95" s="230">
        <v>-5484904</v>
      </c>
      <c r="BW95" s="229">
        <v>-0.64090000000000003</v>
      </c>
      <c r="BX95" s="230">
        <v>46146800</v>
      </c>
      <c r="BY95" s="230">
        <v>43979600</v>
      </c>
      <c r="BZ95" s="230">
        <v>2167200</v>
      </c>
      <c r="CA95" s="229">
        <v>4.9299999999999997E-2</v>
      </c>
      <c r="CB95" s="230">
        <v>44514400</v>
      </c>
      <c r="CC95" s="230">
        <v>43145200</v>
      </c>
      <c r="CD95" s="230">
        <v>1369200</v>
      </c>
      <c r="CE95" s="229">
        <v>3.1699999999999999E-2</v>
      </c>
      <c r="CF95" s="230">
        <v>1524600</v>
      </c>
      <c r="CG95" s="230">
        <v>775600</v>
      </c>
      <c r="CH95" s="230">
        <v>749000</v>
      </c>
      <c r="CI95" s="229">
        <v>0.9657</v>
      </c>
      <c r="CJ95" s="230">
        <v>107800</v>
      </c>
      <c r="CK95" s="230">
        <v>58800</v>
      </c>
      <c r="CL95" s="230">
        <v>49000</v>
      </c>
      <c r="CM95" s="229">
        <v>0.83330000000000004</v>
      </c>
      <c r="CN95" s="230">
        <v>12360600</v>
      </c>
      <c r="CO95" s="230">
        <v>11797100</v>
      </c>
      <c r="CP95" s="230">
        <v>563500</v>
      </c>
      <c r="CQ95" s="229">
        <v>4.7800000000000002E-2</v>
      </c>
      <c r="CR95" s="230">
        <v>10198300</v>
      </c>
      <c r="CS95" s="230">
        <v>10703700</v>
      </c>
      <c r="CT95" s="230">
        <v>-505400</v>
      </c>
      <c r="CU95" s="229">
        <v>-4.7199999999999999E-2</v>
      </c>
      <c r="CV95" s="230">
        <v>68705700</v>
      </c>
      <c r="CW95" s="230">
        <v>66480400</v>
      </c>
      <c r="CX95" s="230">
        <v>2225300</v>
      </c>
      <c r="CY95" s="229">
        <v>3.3500000000000002E-2</v>
      </c>
      <c r="CZ95" s="228">
        <v>29.39</v>
      </c>
      <c r="DA95" s="228">
        <v>28.8</v>
      </c>
      <c r="DB95" s="228">
        <v>0.59</v>
      </c>
      <c r="DC95" s="228">
        <v>0.59</v>
      </c>
      <c r="DD95" s="228">
        <v>43.39</v>
      </c>
      <c r="DE95" s="228">
        <v>43.43</v>
      </c>
      <c r="DF95" s="228">
        <v>-14</v>
      </c>
      <c r="DG95" s="228">
        <v>-0.04</v>
      </c>
      <c r="DH95" s="228">
        <v>29.53</v>
      </c>
      <c r="DI95" s="228">
        <v>28.67</v>
      </c>
      <c r="DJ95" s="228">
        <v>0.86</v>
      </c>
      <c r="DK95" s="228">
        <v>0.86</v>
      </c>
      <c r="DL95" s="228">
        <v>29.19</v>
      </c>
      <c r="DM95" s="228">
        <v>29</v>
      </c>
      <c r="DN95" s="228">
        <v>0.19</v>
      </c>
      <c r="DO95" s="228">
        <v>0.19</v>
      </c>
      <c r="DP95" s="228">
        <v>0.83</v>
      </c>
      <c r="DQ95" s="228">
        <v>0.91</v>
      </c>
      <c r="DR95" s="228">
        <v>-0.08</v>
      </c>
      <c r="DS95" s="229">
        <v>-8.7900000000000006E-2</v>
      </c>
      <c r="DT95" s="228">
        <v>900</v>
      </c>
      <c r="DU95" s="228">
        <v>900</v>
      </c>
      <c r="DV95" s="228">
        <v>0.68</v>
      </c>
      <c r="DW95" s="228">
        <v>0.66</v>
      </c>
      <c r="DX95" s="228">
        <v>0.02</v>
      </c>
      <c r="DY95" s="229">
        <v>3.0300000000000001E-2</v>
      </c>
      <c r="DZ95" s="229">
        <v>3.5400000000000001E-2</v>
      </c>
      <c r="EA95" s="230">
        <v>834400</v>
      </c>
      <c r="EB95" s="229">
        <v>6.0000000000000001E-3</v>
      </c>
      <c r="EC95" s="229">
        <v>3.5400000000000001E-2</v>
      </c>
      <c r="ED95" s="228">
        <v>2.57</v>
      </c>
      <c r="EE95" s="229">
        <v>2.8E-3</v>
      </c>
      <c r="EF95" s="230">
        <v>1238157</v>
      </c>
      <c r="EG95" s="230">
        <v>4505353</v>
      </c>
      <c r="EH95" s="229">
        <v>-0.72519999999999996</v>
      </c>
      <c r="EI95" s="229">
        <v>0.40279999999999999</v>
      </c>
      <c r="EJ95" s="231">
        <v>139888.45000000001</v>
      </c>
      <c r="EK95" s="231">
        <v>90770.51</v>
      </c>
      <c r="EL95" s="231">
        <v>98606.52</v>
      </c>
      <c r="EM95" s="231">
        <v>14433</v>
      </c>
      <c r="EN95" s="231">
        <v>329265.48</v>
      </c>
      <c r="EO95" s="231">
        <v>647331.39</v>
      </c>
      <c r="EP95" s="231">
        <v>-318065.90999999997</v>
      </c>
      <c r="EQ95" s="229">
        <v>-0.49130000000000001</v>
      </c>
      <c r="ER95" s="231">
        <v>113171</v>
      </c>
      <c r="ES95" s="231">
        <v>87851</v>
      </c>
      <c r="ET95" s="231">
        <v>415554</v>
      </c>
      <c r="EU95" s="231">
        <v>93808799</v>
      </c>
      <c r="EV95" s="231">
        <v>616576</v>
      </c>
      <c r="EW95" s="231">
        <v>603013</v>
      </c>
      <c r="EX95" s="231">
        <v>13563</v>
      </c>
      <c r="EY95" s="229">
        <v>2.2499999999999999E-2</v>
      </c>
      <c r="EZ95" s="229">
        <v>0.73240000000000005</v>
      </c>
      <c r="FA95" s="227" t="s">
        <v>567</v>
      </c>
      <c r="FB95" s="161">
        <f t="shared" si="1"/>
        <v>1632400</v>
      </c>
    </row>
    <row r="96" spans="1:158" ht="17.25" hidden="1" thickBot="1" x14ac:dyDescent="0.3">
      <c r="A96" s="226">
        <v>46029</v>
      </c>
      <c r="B96" s="227" t="s">
        <v>188</v>
      </c>
      <c r="C96" s="227" t="s">
        <v>473</v>
      </c>
      <c r="D96" s="228">
        <v>1700</v>
      </c>
      <c r="E96" s="228">
        <v>430.3</v>
      </c>
      <c r="F96" s="228">
        <v>434.35</v>
      </c>
      <c r="G96" s="228">
        <v>-4.05</v>
      </c>
      <c r="H96" s="229">
        <v>-9.2999999999999992E-3</v>
      </c>
      <c r="I96" s="228">
        <v>429</v>
      </c>
      <c r="J96" s="228">
        <v>432.25</v>
      </c>
      <c r="K96" s="228">
        <v>-3.25</v>
      </c>
      <c r="L96" s="229">
        <v>-7.4999999999999997E-3</v>
      </c>
      <c r="M96" s="228">
        <v>430.3</v>
      </c>
      <c r="N96" s="228">
        <v>434.35</v>
      </c>
      <c r="O96" s="228">
        <v>-4.05</v>
      </c>
      <c r="P96" s="229">
        <v>-9.2999999999999992E-3</v>
      </c>
      <c r="Q96" s="228">
        <v>432.65</v>
      </c>
      <c r="R96" s="228">
        <v>437.15</v>
      </c>
      <c r="S96" s="228">
        <v>-4.5</v>
      </c>
      <c r="T96" s="229">
        <v>-1.03E-2</v>
      </c>
      <c r="U96" s="228">
        <v>435.9</v>
      </c>
      <c r="V96" s="228">
        <v>438.25</v>
      </c>
      <c r="W96" s="228">
        <v>-2.35</v>
      </c>
      <c r="X96" s="229">
        <v>-5.4000000000000003E-3</v>
      </c>
      <c r="Y96" s="228">
        <v>1.3</v>
      </c>
      <c r="Z96" s="228">
        <v>2.1</v>
      </c>
      <c r="AA96" s="228">
        <v>-0.8</v>
      </c>
      <c r="AB96" s="229">
        <v>3.0000000000000001E-3</v>
      </c>
      <c r="AC96" s="228">
        <v>1.3</v>
      </c>
      <c r="AD96" s="228">
        <v>2.1</v>
      </c>
      <c r="AE96" s="228">
        <v>-0.8</v>
      </c>
      <c r="AF96" s="229">
        <v>3.0000000000000001E-3</v>
      </c>
      <c r="AG96" s="228">
        <v>3.65</v>
      </c>
      <c r="AH96" s="228">
        <v>4.9000000000000004</v>
      </c>
      <c r="AI96" s="228">
        <v>-1.25</v>
      </c>
      <c r="AJ96" s="229">
        <v>8.5000000000000006E-3</v>
      </c>
      <c r="AK96" s="228">
        <v>6.9</v>
      </c>
      <c r="AL96" s="228">
        <v>6</v>
      </c>
      <c r="AM96" s="228">
        <v>0.9</v>
      </c>
      <c r="AN96" s="229">
        <v>1.61E-2</v>
      </c>
      <c r="AO96" s="228">
        <v>431.14</v>
      </c>
      <c r="AP96" s="228">
        <v>433.3</v>
      </c>
      <c r="AQ96" s="228">
        <v>0</v>
      </c>
      <c r="AR96" s="230">
        <v>7002300</v>
      </c>
      <c r="AS96" s="230">
        <v>8268800</v>
      </c>
      <c r="AT96" s="230">
        <v>-1266500</v>
      </c>
      <c r="AU96" s="229">
        <v>-0.1532</v>
      </c>
      <c r="AV96" s="230">
        <v>6682700</v>
      </c>
      <c r="AW96" s="230">
        <v>7974700</v>
      </c>
      <c r="AX96" s="230">
        <v>-1292000</v>
      </c>
      <c r="AY96" s="229">
        <v>-0.16200000000000001</v>
      </c>
      <c r="AZ96" s="230">
        <v>287300</v>
      </c>
      <c r="BA96" s="230">
        <v>273700</v>
      </c>
      <c r="BB96" s="230">
        <v>13600</v>
      </c>
      <c r="BC96" s="229">
        <v>4.9700000000000001E-2</v>
      </c>
      <c r="BD96" s="230">
        <v>32300</v>
      </c>
      <c r="BE96" s="230">
        <v>20400</v>
      </c>
      <c r="BF96" s="230">
        <v>11900</v>
      </c>
      <c r="BG96" s="229">
        <v>0.58330000000000004</v>
      </c>
      <c r="BH96" s="230">
        <v>15876300</v>
      </c>
      <c r="BI96" s="230">
        <v>12816300</v>
      </c>
      <c r="BJ96" s="230">
        <v>3060000</v>
      </c>
      <c r="BK96" s="229">
        <v>0.23880000000000001</v>
      </c>
      <c r="BL96" s="230">
        <v>5917700</v>
      </c>
      <c r="BM96" s="230">
        <v>6171000</v>
      </c>
      <c r="BN96" s="230">
        <v>-253300</v>
      </c>
      <c r="BO96" s="229">
        <v>-4.1000000000000002E-2</v>
      </c>
      <c r="BP96" s="230">
        <v>28796300</v>
      </c>
      <c r="BQ96" s="230">
        <v>27256100</v>
      </c>
      <c r="BR96" s="230">
        <v>1540200</v>
      </c>
      <c r="BS96" s="229">
        <v>5.6500000000000002E-2</v>
      </c>
      <c r="BT96" s="230">
        <v>5115308</v>
      </c>
      <c r="BU96" s="230">
        <v>5888273</v>
      </c>
      <c r="BV96" s="230">
        <v>-772965</v>
      </c>
      <c r="BW96" s="229">
        <v>-0.1313</v>
      </c>
      <c r="BX96" s="230">
        <v>92806400</v>
      </c>
      <c r="BY96" s="230">
        <v>92775800</v>
      </c>
      <c r="BZ96" s="230">
        <v>30600</v>
      </c>
      <c r="CA96" s="229">
        <v>2.9999999999999997E-4</v>
      </c>
      <c r="CB96" s="230">
        <v>91752400</v>
      </c>
      <c r="CC96" s="230">
        <v>91803400</v>
      </c>
      <c r="CD96" s="230">
        <v>-51000</v>
      </c>
      <c r="CE96" s="229">
        <v>-5.9999999999999995E-4</v>
      </c>
      <c r="CF96" s="230">
        <v>921400</v>
      </c>
      <c r="CG96" s="230">
        <v>846600</v>
      </c>
      <c r="CH96" s="230">
        <v>74800</v>
      </c>
      <c r="CI96" s="229">
        <v>8.8400000000000006E-2</v>
      </c>
      <c r="CJ96" s="230">
        <v>132600</v>
      </c>
      <c r="CK96" s="230">
        <v>125800</v>
      </c>
      <c r="CL96" s="230">
        <v>6800</v>
      </c>
      <c r="CM96" s="229">
        <v>5.4100000000000002E-2</v>
      </c>
      <c r="CN96" s="230">
        <v>25027400</v>
      </c>
      <c r="CO96" s="230">
        <v>24872700</v>
      </c>
      <c r="CP96" s="230">
        <v>154700</v>
      </c>
      <c r="CQ96" s="229">
        <v>6.1999999999999998E-3</v>
      </c>
      <c r="CR96" s="230">
        <v>16881000</v>
      </c>
      <c r="CS96" s="230">
        <v>16779000</v>
      </c>
      <c r="CT96" s="230">
        <v>102000</v>
      </c>
      <c r="CU96" s="229">
        <v>6.1000000000000004E-3</v>
      </c>
      <c r="CV96" s="230">
        <v>134714800</v>
      </c>
      <c r="CW96" s="230">
        <v>134427500</v>
      </c>
      <c r="CX96" s="230">
        <v>287300</v>
      </c>
      <c r="CY96" s="229">
        <v>2.0999999999999999E-3</v>
      </c>
      <c r="CZ96" s="228">
        <v>27.66</v>
      </c>
      <c r="DA96" s="228">
        <v>27.64</v>
      </c>
      <c r="DB96" s="228">
        <v>0.02</v>
      </c>
      <c r="DC96" s="228">
        <v>0.02</v>
      </c>
      <c r="DD96" s="228">
        <v>38.03</v>
      </c>
      <c r="DE96" s="228">
        <v>38.11</v>
      </c>
      <c r="DF96" s="228">
        <v>-10.37</v>
      </c>
      <c r="DG96" s="228">
        <v>-0.08</v>
      </c>
      <c r="DH96" s="228">
        <v>28.02</v>
      </c>
      <c r="DI96" s="228">
        <v>27.92</v>
      </c>
      <c r="DJ96" s="228">
        <v>0.1</v>
      </c>
      <c r="DK96" s="228">
        <v>0.1</v>
      </c>
      <c r="DL96" s="228">
        <v>26.69</v>
      </c>
      <c r="DM96" s="228">
        <v>27.06</v>
      </c>
      <c r="DN96" s="228">
        <v>-0.37</v>
      </c>
      <c r="DO96" s="228">
        <v>-0.37</v>
      </c>
      <c r="DP96" s="228">
        <v>0.67</v>
      </c>
      <c r="DQ96" s="228">
        <v>0.67</v>
      </c>
      <c r="DR96" s="228">
        <v>0</v>
      </c>
      <c r="DS96" s="229">
        <v>0</v>
      </c>
      <c r="DT96" s="228">
        <v>450</v>
      </c>
      <c r="DU96" s="228">
        <v>420</v>
      </c>
      <c r="DV96" s="228">
        <v>0.37</v>
      </c>
      <c r="DW96" s="228">
        <v>0.48</v>
      </c>
      <c r="DX96" s="228">
        <v>-0.11</v>
      </c>
      <c r="DY96" s="229">
        <v>-0.22919999999999999</v>
      </c>
      <c r="DZ96" s="229">
        <v>1.14E-2</v>
      </c>
      <c r="EA96" s="230">
        <v>972400</v>
      </c>
      <c r="EB96" s="229">
        <v>5.4999999999999997E-3</v>
      </c>
      <c r="EC96" s="229">
        <v>1.14E-2</v>
      </c>
      <c r="ED96" s="228">
        <v>2.16</v>
      </c>
      <c r="EE96" s="229">
        <v>5.0000000000000001E-3</v>
      </c>
      <c r="EF96" s="230">
        <v>3377263</v>
      </c>
      <c r="EG96" s="230">
        <v>4177152</v>
      </c>
      <c r="EH96" s="229">
        <v>-0.1915</v>
      </c>
      <c r="EI96" s="229">
        <v>0.66020000000000001</v>
      </c>
      <c r="EJ96" s="231">
        <v>72432.39</v>
      </c>
      <c r="EK96" s="231">
        <v>25486.92</v>
      </c>
      <c r="EL96" s="231">
        <v>30197.52</v>
      </c>
      <c r="EM96" s="231">
        <v>14520</v>
      </c>
      <c r="EN96" s="231">
        <v>128116.83</v>
      </c>
      <c r="EO96" s="231">
        <v>121197.31</v>
      </c>
      <c r="EP96" s="231">
        <v>6919.52</v>
      </c>
      <c r="EQ96" s="229">
        <v>5.7099999999999998E-2</v>
      </c>
      <c r="ER96" s="231">
        <v>112672</v>
      </c>
      <c r="ES96" s="231">
        <v>70567</v>
      </c>
      <c r="ET96" s="231">
        <v>399375</v>
      </c>
      <c r="EU96" s="231">
        <v>193623116</v>
      </c>
      <c r="EV96" s="231">
        <v>582614</v>
      </c>
      <c r="EW96" s="231">
        <v>585153</v>
      </c>
      <c r="EX96" s="231">
        <v>-2539</v>
      </c>
      <c r="EY96" s="229">
        <v>-4.3E-3</v>
      </c>
      <c r="EZ96" s="229">
        <v>0.69579999999999997</v>
      </c>
      <c r="FA96" s="227" t="s">
        <v>567</v>
      </c>
      <c r="FB96" s="161">
        <f t="shared" si="1"/>
        <v>1054000</v>
      </c>
    </row>
    <row r="97" spans="1:158" ht="17.25" hidden="1" thickBot="1" x14ac:dyDescent="0.3">
      <c r="A97" s="226">
        <v>46029</v>
      </c>
      <c r="B97" s="227" t="s">
        <v>221</v>
      </c>
      <c r="C97" s="227" t="s">
        <v>240</v>
      </c>
      <c r="D97" s="228">
        <v>400</v>
      </c>
      <c r="E97" s="231">
        <v>1644.6</v>
      </c>
      <c r="F97" s="231">
        <v>1616.8</v>
      </c>
      <c r="G97" s="228">
        <v>27.8</v>
      </c>
      <c r="H97" s="229">
        <v>1.72E-2</v>
      </c>
      <c r="I97" s="231">
        <v>1639</v>
      </c>
      <c r="J97" s="231">
        <v>1612.2</v>
      </c>
      <c r="K97" s="228">
        <v>26.8</v>
      </c>
      <c r="L97" s="229">
        <v>1.66E-2</v>
      </c>
      <c r="M97" s="231">
        <v>1644.6</v>
      </c>
      <c r="N97" s="231">
        <v>1616.8</v>
      </c>
      <c r="O97" s="228">
        <v>27.8</v>
      </c>
      <c r="P97" s="229">
        <v>1.72E-2</v>
      </c>
      <c r="Q97" s="231">
        <v>1652.7</v>
      </c>
      <c r="R97" s="231">
        <v>1623</v>
      </c>
      <c r="S97" s="228">
        <v>29.7</v>
      </c>
      <c r="T97" s="229">
        <v>1.83E-2</v>
      </c>
      <c r="U97" s="231">
        <v>1663.4</v>
      </c>
      <c r="V97" s="231">
        <v>1633.5</v>
      </c>
      <c r="W97" s="228">
        <v>29.9</v>
      </c>
      <c r="X97" s="229">
        <v>1.83E-2</v>
      </c>
      <c r="Y97" s="228">
        <v>5.6</v>
      </c>
      <c r="Z97" s="228">
        <v>4.5999999999999996</v>
      </c>
      <c r="AA97" s="228">
        <v>1</v>
      </c>
      <c r="AB97" s="229">
        <v>3.3999999999999998E-3</v>
      </c>
      <c r="AC97" s="228">
        <v>5.6</v>
      </c>
      <c r="AD97" s="228">
        <v>4.5999999999999996</v>
      </c>
      <c r="AE97" s="228">
        <v>1</v>
      </c>
      <c r="AF97" s="229">
        <v>3.3999999999999998E-3</v>
      </c>
      <c r="AG97" s="228">
        <v>13.7</v>
      </c>
      <c r="AH97" s="228">
        <v>10.8</v>
      </c>
      <c r="AI97" s="228">
        <v>2.9</v>
      </c>
      <c r="AJ97" s="229">
        <v>8.3999999999999995E-3</v>
      </c>
      <c r="AK97" s="228">
        <v>24.4</v>
      </c>
      <c r="AL97" s="228">
        <v>21.3</v>
      </c>
      <c r="AM97" s="228">
        <v>3.1</v>
      </c>
      <c r="AN97" s="229">
        <v>1.49E-2</v>
      </c>
      <c r="AO97" s="231">
        <v>1638.96</v>
      </c>
      <c r="AP97" s="231">
        <v>1645.56</v>
      </c>
      <c r="AQ97" s="228">
        <v>0</v>
      </c>
      <c r="AR97" s="230">
        <v>7399200</v>
      </c>
      <c r="AS97" s="230">
        <v>5182000</v>
      </c>
      <c r="AT97" s="230">
        <v>2217200</v>
      </c>
      <c r="AU97" s="229">
        <v>0.4279</v>
      </c>
      <c r="AV97" s="230">
        <v>7040400</v>
      </c>
      <c r="AW97" s="230">
        <v>4943600</v>
      </c>
      <c r="AX97" s="230">
        <v>2096800</v>
      </c>
      <c r="AY97" s="229">
        <v>0.42409999999999998</v>
      </c>
      <c r="AZ97" s="230">
        <v>262400</v>
      </c>
      <c r="BA97" s="230">
        <v>185600</v>
      </c>
      <c r="BB97" s="230">
        <v>76800</v>
      </c>
      <c r="BC97" s="229">
        <v>0.4138</v>
      </c>
      <c r="BD97" s="230">
        <v>96400</v>
      </c>
      <c r="BE97" s="230">
        <v>52800</v>
      </c>
      <c r="BF97" s="230">
        <v>43600</v>
      </c>
      <c r="BG97" s="229">
        <v>0.82579999999999998</v>
      </c>
      <c r="BH97" s="230">
        <v>33395200</v>
      </c>
      <c r="BI97" s="230">
        <v>14010000</v>
      </c>
      <c r="BJ97" s="230">
        <v>19385200</v>
      </c>
      <c r="BK97" s="229">
        <v>1.3836999999999999</v>
      </c>
      <c r="BL97" s="230">
        <v>11377200</v>
      </c>
      <c r="BM97" s="230">
        <v>7538400</v>
      </c>
      <c r="BN97" s="230">
        <v>3838800</v>
      </c>
      <c r="BO97" s="229">
        <v>0.50919999999999999</v>
      </c>
      <c r="BP97" s="230">
        <v>52171600</v>
      </c>
      <c r="BQ97" s="230">
        <v>26730400</v>
      </c>
      <c r="BR97" s="230">
        <v>25441200</v>
      </c>
      <c r="BS97" s="229">
        <v>0.95179999999999998</v>
      </c>
      <c r="BT97" s="230">
        <v>4820926</v>
      </c>
      <c r="BU97" s="230">
        <v>4687323</v>
      </c>
      <c r="BV97" s="230">
        <v>133603</v>
      </c>
      <c r="BW97" s="229">
        <v>2.8500000000000001E-2</v>
      </c>
      <c r="BX97" s="230">
        <v>72222000</v>
      </c>
      <c r="BY97" s="230">
        <v>72608400</v>
      </c>
      <c r="BZ97" s="230">
        <v>-386400</v>
      </c>
      <c r="CA97" s="229">
        <v>-5.3E-3</v>
      </c>
      <c r="CB97" s="230">
        <v>71134800</v>
      </c>
      <c r="CC97" s="230">
        <v>71514800</v>
      </c>
      <c r="CD97" s="230">
        <v>-380000</v>
      </c>
      <c r="CE97" s="229">
        <v>-5.3E-3</v>
      </c>
      <c r="CF97" s="230">
        <v>974000</v>
      </c>
      <c r="CG97" s="230">
        <v>960400</v>
      </c>
      <c r="CH97" s="230">
        <v>13600</v>
      </c>
      <c r="CI97" s="229">
        <v>1.4200000000000001E-2</v>
      </c>
      <c r="CJ97" s="230">
        <v>113200</v>
      </c>
      <c r="CK97" s="230">
        <v>133200</v>
      </c>
      <c r="CL97" s="230">
        <v>-20000</v>
      </c>
      <c r="CM97" s="229">
        <v>-0.1502</v>
      </c>
      <c r="CN97" s="230">
        <v>23622400</v>
      </c>
      <c r="CO97" s="230">
        <v>18463600</v>
      </c>
      <c r="CP97" s="230">
        <v>5158800</v>
      </c>
      <c r="CQ97" s="229">
        <v>0.27939999999999998</v>
      </c>
      <c r="CR97" s="230">
        <v>12043600</v>
      </c>
      <c r="CS97" s="230">
        <v>11089600</v>
      </c>
      <c r="CT97" s="230">
        <v>954000</v>
      </c>
      <c r="CU97" s="229">
        <v>8.5999999999999993E-2</v>
      </c>
      <c r="CV97" s="230">
        <v>107888000</v>
      </c>
      <c r="CW97" s="230">
        <v>102161600</v>
      </c>
      <c r="CX97" s="230">
        <v>5726400</v>
      </c>
      <c r="CY97" s="229">
        <v>5.6099999999999997E-2</v>
      </c>
      <c r="CZ97" s="228">
        <v>24.31</v>
      </c>
      <c r="DA97" s="228">
        <v>24.7</v>
      </c>
      <c r="DB97" s="228">
        <v>-0.39</v>
      </c>
      <c r="DC97" s="228">
        <v>-0.39</v>
      </c>
      <c r="DD97" s="228">
        <v>28.22</v>
      </c>
      <c r="DE97" s="228">
        <v>28.2</v>
      </c>
      <c r="DF97" s="228">
        <v>-3.91</v>
      </c>
      <c r="DG97" s="228">
        <v>0.02</v>
      </c>
      <c r="DH97" s="228">
        <v>23.81</v>
      </c>
      <c r="DI97" s="228">
        <v>24.08</v>
      </c>
      <c r="DJ97" s="228">
        <v>-0.27</v>
      </c>
      <c r="DK97" s="228">
        <v>-0.27</v>
      </c>
      <c r="DL97" s="228">
        <v>25.78</v>
      </c>
      <c r="DM97" s="228">
        <v>25.84</v>
      </c>
      <c r="DN97" s="228">
        <v>-0.06</v>
      </c>
      <c r="DO97" s="228">
        <v>-0.06</v>
      </c>
      <c r="DP97" s="228">
        <v>0.51</v>
      </c>
      <c r="DQ97" s="228">
        <v>0.6</v>
      </c>
      <c r="DR97" s="228">
        <v>-0.09</v>
      </c>
      <c r="DS97" s="229">
        <v>-0.15</v>
      </c>
      <c r="DT97" s="231">
        <v>1660</v>
      </c>
      <c r="DU97" s="231">
        <v>1620</v>
      </c>
      <c r="DV97" s="228">
        <v>0.34</v>
      </c>
      <c r="DW97" s="228">
        <v>0.54</v>
      </c>
      <c r="DX97" s="228">
        <v>-0.2</v>
      </c>
      <c r="DY97" s="229">
        <v>-0.37040000000000001</v>
      </c>
      <c r="DZ97" s="229">
        <v>1.5100000000000001E-2</v>
      </c>
      <c r="EA97" s="230">
        <v>1093600</v>
      </c>
      <c r="EB97" s="229">
        <v>4.8999999999999998E-3</v>
      </c>
      <c r="EC97" s="229">
        <v>1.5100000000000001E-2</v>
      </c>
      <c r="ED97" s="228">
        <v>6.6</v>
      </c>
      <c r="EE97" s="229">
        <v>4.0000000000000001E-3</v>
      </c>
      <c r="EF97" s="230">
        <v>2597866</v>
      </c>
      <c r="EG97" s="230">
        <v>2694505</v>
      </c>
      <c r="EH97" s="229">
        <v>-3.5900000000000001E-2</v>
      </c>
      <c r="EI97" s="229">
        <v>0.53890000000000005</v>
      </c>
      <c r="EJ97" s="231">
        <v>568188.38</v>
      </c>
      <c r="EK97" s="231">
        <v>182622.98</v>
      </c>
      <c r="EL97" s="231">
        <v>121303.92</v>
      </c>
      <c r="EM97" s="231">
        <v>15131</v>
      </c>
      <c r="EN97" s="231">
        <v>872115.28</v>
      </c>
      <c r="EO97" s="231">
        <v>440711.6</v>
      </c>
      <c r="EP97" s="231">
        <v>431403.68</v>
      </c>
      <c r="EQ97" s="229">
        <v>0.97889999999999999</v>
      </c>
      <c r="ER97" s="231">
        <v>398356</v>
      </c>
      <c r="ES97" s="231">
        <v>188977</v>
      </c>
      <c r="ET97" s="231">
        <v>1187863</v>
      </c>
      <c r="EU97" s="231">
        <v>368703409</v>
      </c>
      <c r="EV97" s="231">
        <v>1775196</v>
      </c>
      <c r="EW97" s="231">
        <v>1659017</v>
      </c>
      <c r="EX97" s="231">
        <v>116179</v>
      </c>
      <c r="EY97" s="229">
        <v>7.0000000000000007E-2</v>
      </c>
      <c r="EZ97" s="229">
        <v>0.29260000000000003</v>
      </c>
      <c r="FA97" s="227" t="s">
        <v>556</v>
      </c>
      <c r="FB97" s="161">
        <f t="shared" si="1"/>
        <v>1087200</v>
      </c>
    </row>
    <row r="98" spans="1:158" ht="17.25" hidden="1" thickBot="1" x14ac:dyDescent="0.3">
      <c r="A98" s="226">
        <v>46029</v>
      </c>
      <c r="B98" s="227" t="s">
        <v>161</v>
      </c>
      <c r="C98" s="227" t="s">
        <v>669</v>
      </c>
      <c r="D98" s="228">
        <v>3575</v>
      </c>
      <c r="E98" s="228">
        <v>123.23</v>
      </c>
      <c r="F98" s="228">
        <v>123.33</v>
      </c>
      <c r="G98" s="228">
        <v>-0.1</v>
      </c>
      <c r="H98" s="229">
        <v>-8.0000000000000004E-4</v>
      </c>
      <c r="I98" s="228">
        <v>122.94</v>
      </c>
      <c r="J98" s="228">
        <v>122.57</v>
      </c>
      <c r="K98" s="228">
        <v>0.37</v>
      </c>
      <c r="L98" s="229">
        <v>3.0000000000000001E-3</v>
      </c>
      <c r="M98" s="228">
        <v>123.23</v>
      </c>
      <c r="N98" s="228">
        <v>123.33</v>
      </c>
      <c r="O98" s="228">
        <v>-0.1</v>
      </c>
      <c r="P98" s="229">
        <v>-8.0000000000000004E-4</v>
      </c>
      <c r="Q98" s="228">
        <v>123.95</v>
      </c>
      <c r="R98" s="228">
        <v>123.98</v>
      </c>
      <c r="S98" s="228">
        <v>-0.03</v>
      </c>
      <c r="T98" s="229">
        <v>-2.0000000000000001E-4</v>
      </c>
      <c r="U98" s="228">
        <v>123.88</v>
      </c>
      <c r="V98" s="228">
        <v>125.02</v>
      </c>
      <c r="W98" s="228">
        <v>-1.1399999999999999</v>
      </c>
      <c r="X98" s="229">
        <v>-9.1000000000000004E-3</v>
      </c>
      <c r="Y98" s="228">
        <v>0.28999999999999998</v>
      </c>
      <c r="Z98" s="228">
        <v>0.76</v>
      </c>
      <c r="AA98" s="228">
        <v>-0.47</v>
      </c>
      <c r="AB98" s="229">
        <v>2.3999999999999998E-3</v>
      </c>
      <c r="AC98" s="228">
        <v>0.28999999999999998</v>
      </c>
      <c r="AD98" s="228">
        <v>0.76</v>
      </c>
      <c r="AE98" s="228">
        <v>-0.47</v>
      </c>
      <c r="AF98" s="229">
        <v>2.3999999999999998E-3</v>
      </c>
      <c r="AG98" s="228">
        <v>1.01</v>
      </c>
      <c r="AH98" s="228">
        <v>1.41</v>
      </c>
      <c r="AI98" s="228">
        <v>-0.4</v>
      </c>
      <c r="AJ98" s="229">
        <v>8.2000000000000007E-3</v>
      </c>
      <c r="AK98" s="228">
        <v>0.94</v>
      </c>
      <c r="AL98" s="228">
        <v>2.4500000000000002</v>
      </c>
      <c r="AM98" s="228">
        <v>-1.51</v>
      </c>
      <c r="AN98" s="229">
        <v>7.6E-3</v>
      </c>
      <c r="AO98" s="228">
        <v>123.21</v>
      </c>
      <c r="AP98" s="228">
        <v>123.77</v>
      </c>
      <c r="AQ98" s="228">
        <v>0</v>
      </c>
      <c r="AR98" s="230">
        <v>11751025</v>
      </c>
      <c r="AS98" s="230">
        <v>15690675</v>
      </c>
      <c r="AT98" s="230">
        <v>-3939650</v>
      </c>
      <c r="AU98" s="229">
        <v>-0.25109999999999999</v>
      </c>
      <c r="AV98" s="230">
        <v>10585575</v>
      </c>
      <c r="AW98" s="230">
        <v>14128400</v>
      </c>
      <c r="AX98" s="230">
        <v>-3542825</v>
      </c>
      <c r="AY98" s="229">
        <v>-0.25080000000000002</v>
      </c>
      <c r="AZ98" s="230">
        <v>1086800</v>
      </c>
      <c r="BA98" s="230">
        <v>1319175</v>
      </c>
      <c r="BB98" s="230">
        <v>-232375</v>
      </c>
      <c r="BC98" s="229">
        <v>-0.1762</v>
      </c>
      <c r="BD98" s="230">
        <v>78650</v>
      </c>
      <c r="BE98" s="230">
        <v>243100</v>
      </c>
      <c r="BF98" s="230">
        <v>-164450</v>
      </c>
      <c r="BG98" s="229">
        <v>-0.67649999999999999</v>
      </c>
      <c r="BH98" s="230">
        <v>17031300</v>
      </c>
      <c r="BI98" s="230">
        <v>19523075</v>
      </c>
      <c r="BJ98" s="230">
        <v>-2491775</v>
      </c>
      <c r="BK98" s="229">
        <v>-0.12759999999999999</v>
      </c>
      <c r="BL98" s="230">
        <v>8558550</v>
      </c>
      <c r="BM98" s="230">
        <v>8751600</v>
      </c>
      <c r="BN98" s="230">
        <v>-193050</v>
      </c>
      <c r="BO98" s="229">
        <v>-2.2100000000000002E-2</v>
      </c>
      <c r="BP98" s="230">
        <v>37340875</v>
      </c>
      <c r="BQ98" s="230">
        <v>43965350</v>
      </c>
      <c r="BR98" s="230">
        <v>-6624475</v>
      </c>
      <c r="BS98" s="229">
        <v>-0.1507</v>
      </c>
      <c r="BT98" s="230">
        <v>8480101</v>
      </c>
      <c r="BU98" s="230">
        <v>10400172</v>
      </c>
      <c r="BV98" s="230">
        <v>-1920071</v>
      </c>
      <c r="BW98" s="229">
        <v>-0.18459999999999999</v>
      </c>
      <c r="BX98" s="230">
        <v>95974450</v>
      </c>
      <c r="BY98" s="230">
        <v>95398875</v>
      </c>
      <c r="BZ98" s="230">
        <v>575575</v>
      </c>
      <c r="CA98" s="229">
        <v>6.0000000000000001E-3</v>
      </c>
      <c r="CB98" s="230">
        <v>90754950</v>
      </c>
      <c r="CC98" s="230">
        <v>90597650</v>
      </c>
      <c r="CD98" s="230">
        <v>157300</v>
      </c>
      <c r="CE98" s="229">
        <v>1.6999999999999999E-3</v>
      </c>
      <c r="CF98" s="230">
        <v>4954950</v>
      </c>
      <c r="CG98" s="230">
        <v>4543825</v>
      </c>
      <c r="CH98" s="230">
        <v>411125</v>
      </c>
      <c r="CI98" s="229">
        <v>9.0499999999999997E-2</v>
      </c>
      <c r="CJ98" s="230">
        <v>264550</v>
      </c>
      <c r="CK98" s="230">
        <v>257400</v>
      </c>
      <c r="CL98" s="230">
        <v>7150</v>
      </c>
      <c r="CM98" s="229">
        <v>2.7799999999999998E-2</v>
      </c>
      <c r="CN98" s="230">
        <v>27030575</v>
      </c>
      <c r="CO98" s="230">
        <v>24113375</v>
      </c>
      <c r="CP98" s="230">
        <v>2917200</v>
      </c>
      <c r="CQ98" s="229">
        <v>0.121</v>
      </c>
      <c r="CR98" s="230">
        <v>17213625</v>
      </c>
      <c r="CS98" s="230">
        <v>16430700</v>
      </c>
      <c r="CT98" s="230">
        <v>782925</v>
      </c>
      <c r="CU98" s="229">
        <v>4.7699999999999999E-2</v>
      </c>
      <c r="CV98" s="230">
        <v>140218650</v>
      </c>
      <c r="CW98" s="230">
        <v>135942950</v>
      </c>
      <c r="CX98" s="230">
        <v>4275700</v>
      </c>
      <c r="CY98" s="229">
        <v>3.15E-2</v>
      </c>
      <c r="CZ98" s="228">
        <v>38.64</v>
      </c>
      <c r="DA98" s="228">
        <v>36.86</v>
      </c>
      <c r="DB98" s="228">
        <v>1.78</v>
      </c>
      <c r="DC98" s="228">
        <v>1.78</v>
      </c>
      <c r="DD98" s="228">
        <v>51.97</v>
      </c>
      <c r="DE98" s="228">
        <v>52.1</v>
      </c>
      <c r="DF98" s="228">
        <v>-13.33</v>
      </c>
      <c r="DG98" s="228">
        <v>-0.13</v>
      </c>
      <c r="DH98" s="228">
        <v>37.78</v>
      </c>
      <c r="DI98" s="228">
        <v>36.83</v>
      </c>
      <c r="DJ98" s="228">
        <v>0.95</v>
      </c>
      <c r="DK98" s="228">
        <v>0.95</v>
      </c>
      <c r="DL98" s="228">
        <v>40.35</v>
      </c>
      <c r="DM98" s="228">
        <v>36.92</v>
      </c>
      <c r="DN98" s="228">
        <v>3.43</v>
      </c>
      <c r="DO98" s="228">
        <v>3.43</v>
      </c>
      <c r="DP98" s="228">
        <v>0.64</v>
      </c>
      <c r="DQ98" s="228">
        <v>0.68</v>
      </c>
      <c r="DR98" s="228">
        <v>-0.04</v>
      </c>
      <c r="DS98" s="229">
        <v>-5.8799999999999998E-2</v>
      </c>
      <c r="DT98" s="228">
        <v>125</v>
      </c>
      <c r="DU98" s="228">
        <v>125</v>
      </c>
      <c r="DV98" s="228">
        <v>0.5</v>
      </c>
      <c r="DW98" s="228">
        <v>0.45</v>
      </c>
      <c r="DX98" s="228">
        <v>0.05</v>
      </c>
      <c r="DY98" s="229">
        <v>0.1111</v>
      </c>
      <c r="DZ98" s="229">
        <v>5.4399999999999997E-2</v>
      </c>
      <c r="EA98" s="230">
        <v>4801225</v>
      </c>
      <c r="EB98" s="229">
        <v>5.7999999999999996E-3</v>
      </c>
      <c r="EC98" s="229">
        <v>5.4399999999999997E-2</v>
      </c>
      <c r="ED98" s="228">
        <v>0.56000000000000005</v>
      </c>
      <c r="EE98" s="229">
        <v>4.4999999999999997E-3</v>
      </c>
      <c r="EF98" s="230">
        <v>4010877</v>
      </c>
      <c r="EG98" s="230">
        <v>4866055</v>
      </c>
      <c r="EH98" s="229">
        <v>-0.1757</v>
      </c>
      <c r="EI98" s="229">
        <v>0.47299999999999998</v>
      </c>
      <c r="EJ98" s="231">
        <v>22652.63</v>
      </c>
      <c r="EK98" s="231">
        <v>9925.3700000000008</v>
      </c>
      <c r="EL98" s="231">
        <v>14485.87</v>
      </c>
      <c r="EM98" s="231">
        <v>3668</v>
      </c>
      <c r="EN98" s="231">
        <v>47063.87</v>
      </c>
      <c r="EO98" s="231">
        <v>56030.99</v>
      </c>
      <c r="EP98" s="231">
        <v>-8967.1200000000008</v>
      </c>
      <c r="EQ98" s="229">
        <v>-0.16</v>
      </c>
      <c r="ER98" s="231">
        <v>36300</v>
      </c>
      <c r="ES98" s="231">
        <v>21528</v>
      </c>
      <c r="ET98" s="231">
        <v>118307</v>
      </c>
      <c r="EU98" s="231">
        <v>144708707</v>
      </c>
      <c r="EV98" s="231">
        <v>176135</v>
      </c>
      <c r="EW98" s="231">
        <v>170781</v>
      </c>
      <c r="EX98" s="231">
        <v>5354</v>
      </c>
      <c r="EY98" s="229">
        <v>3.1399999999999997E-2</v>
      </c>
      <c r="EZ98" s="229">
        <v>0.96899999999999997</v>
      </c>
      <c r="FA98" s="227" t="s">
        <v>567</v>
      </c>
      <c r="FB98" s="161">
        <f t="shared" si="1"/>
        <v>5219500</v>
      </c>
    </row>
    <row r="99" spans="1:158" ht="17.25" hidden="1" thickBot="1" x14ac:dyDescent="0.3">
      <c r="A99" s="226">
        <v>46029</v>
      </c>
      <c r="B99" s="227" t="s">
        <v>193</v>
      </c>
      <c r="C99" s="227" t="s">
        <v>241</v>
      </c>
      <c r="D99" s="228">
        <v>4875</v>
      </c>
      <c r="E99" s="228">
        <v>163.31</v>
      </c>
      <c r="F99" s="228">
        <v>164.39</v>
      </c>
      <c r="G99" s="228">
        <v>-1.08</v>
      </c>
      <c r="H99" s="229">
        <v>-6.6E-3</v>
      </c>
      <c r="I99" s="228">
        <v>162.66999999999999</v>
      </c>
      <c r="J99" s="228">
        <v>164</v>
      </c>
      <c r="K99" s="228">
        <v>-1.33</v>
      </c>
      <c r="L99" s="229">
        <v>-8.0999999999999996E-3</v>
      </c>
      <c r="M99" s="228">
        <v>163.31</v>
      </c>
      <c r="N99" s="228">
        <v>164.39</v>
      </c>
      <c r="O99" s="228">
        <v>-1.08</v>
      </c>
      <c r="P99" s="229">
        <v>-6.6E-3</v>
      </c>
      <c r="Q99" s="228">
        <v>164.2</v>
      </c>
      <c r="R99" s="228">
        <v>165.37</v>
      </c>
      <c r="S99" s="228">
        <v>-1.17</v>
      </c>
      <c r="T99" s="229">
        <v>-7.1000000000000004E-3</v>
      </c>
      <c r="U99" s="228">
        <v>164.78</v>
      </c>
      <c r="V99" s="228">
        <v>165.8</v>
      </c>
      <c r="W99" s="228">
        <v>-1.02</v>
      </c>
      <c r="X99" s="229">
        <v>-6.1999999999999998E-3</v>
      </c>
      <c r="Y99" s="228">
        <v>0.64</v>
      </c>
      <c r="Z99" s="228">
        <v>0.39</v>
      </c>
      <c r="AA99" s="228">
        <v>0.25</v>
      </c>
      <c r="AB99" s="229">
        <v>3.8999999999999998E-3</v>
      </c>
      <c r="AC99" s="228">
        <v>0.64</v>
      </c>
      <c r="AD99" s="228">
        <v>0.39</v>
      </c>
      <c r="AE99" s="228">
        <v>0.25</v>
      </c>
      <c r="AF99" s="229">
        <v>3.8999999999999998E-3</v>
      </c>
      <c r="AG99" s="228">
        <v>1.53</v>
      </c>
      <c r="AH99" s="228">
        <v>1.37</v>
      </c>
      <c r="AI99" s="228">
        <v>0.16</v>
      </c>
      <c r="AJ99" s="229">
        <v>9.4000000000000004E-3</v>
      </c>
      <c r="AK99" s="228">
        <v>2.11</v>
      </c>
      <c r="AL99" s="228">
        <v>1.8</v>
      </c>
      <c r="AM99" s="228">
        <v>0.31</v>
      </c>
      <c r="AN99" s="229">
        <v>1.2999999999999999E-2</v>
      </c>
      <c r="AO99" s="228">
        <v>163.57</v>
      </c>
      <c r="AP99" s="228">
        <v>164.5</v>
      </c>
      <c r="AQ99" s="228">
        <v>0</v>
      </c>
      <c r="AR99" s="230">
        <v>8024250</v>
      </c>
      <c r="AS99" s="230">
        <v>17564625</v>
      </c>
      <c r="AT99" s="230">
        <v>-9540375</v>
      </c>
      <c r="AU99" s="229">
        <v>-0.54320000000000002</v>
      </c>
      <c r="AV99" s="230">
        <v>7531875</v>
      </c>
      <c r="AW99" s="230">
        <v>15639000</v>
      </c>
      <c r="AX99" s="230">
        <v>-8107125</v>
      </c>
      <c r="AY99" s="229">
        <v>-0.51839999999999997</v>
      </c>
      <c r="AZ99" s="230">
        <v>409500</v>
      </c>
      <c r="BA99" s="230">
        <v>1530750</v>
      </c>
      <c r="BB99" s="230">
        <v>-1121250</v>
      </c>
      <c r="BC99" s="229">
        <v>-0.73250000000000004</v>
      </c>
      <c r="BD99" s="230">
        <v>82875</v>
      </c>
      <c r="BE99" s="230">
        <v>394875</v>
      </c>
      <c r="BF99" s="230">
        <v>-312000</v>
      </c>
      <c r="BG99" s="229">
        <v>-0.79010000000000002</v>
      </c>
      <c r="BH99" s="230">
        <v>30244500</v>
      </c>
      <c r="BI99" s="230">
        <v>57837000</v>
      </c>
      <c r="BJ99" s="230">
        <v>-27592500</v>
      </c>
      <c r="BK99" s="229">
        <v>-0.47710000000000002</v>
      </c>
      <c r="BL99" s="230">
        <v>15468375</v>
      </c>
      <c r="BM99" s="230">
        <v>35982375</v>
      </c>
      <c r="BN99" s="230">
        <v>-20514000</v>
      </c>
      <c r="BO99" s="229">
        <v>-0.57010000000000005</v>
      </c>
      <c r="BP99" s="230">
        <v>53737125</v>
      </c>
      <c r="BQ99" s="230">
        <v>111384000</v>
      </c>
      <c r="BR99" s="230">
        <v>-57646875</v>
      </c>
      <c r="BS99" s="229">
        <v>-0.51759999999999995</v>
      </c>
      <c r="BT99" s="230">
        <v>11183737</v>
      </c>
      <c r="BU99" s="230">
        <v>11847476</v>
      </c>
      <c r="BV99" s="230">
        <v>-663739</v>
      </c>
      <c r="BW99" s="229">
        <v>-5.6000000000000001E-2</v>
      </c>
      <c r="BX99" s="230">
        <v>107484000</v>
      </c>
      <c r="BY99" s="230">
        <v>106635750</v>
      </c>
      <c r="BZ99" s="230">
        <v>848250</v>
      </c>
      <c r="CA99" s="229">
        <v>8.0000000000000002E-3</v>
      </c>
      <c r="CB99" s="230">
        <v>103623000</v>
      </c>
      <c r="CC99" s="230">
        <v>102804000</v>
      </c>
      <c r="CD99" s="230">
        <v>819000</v>
      </c>
      <c r="CE99" s="229">
        <v>8.0000000000000002E-3</v>
      </c>
      <c r="CF99" s="230">
        <v>3105375</v>
      </c>
      <c r="CG99" s="230">
        <v>3085875</v>
      </c>
      <c r="CH99" s="230">
        <v>19500</v>
      </c>
      <c r="CI99" s="229">
        <v>6.3E-3</v>
      </c>
      <c r="CJ99" s="230">
        <v>755625</v>
      </c>
      <c r="CK99" s="230">
        <v>745875</v>
      </c>
      <c r="CL99" s="230">
        <v>9750</v>
      </c>
      <c r="CM99" s="229">
        <v>1.3100000000000001E-2</v>
      </c>
      <c r="CN99" s="230">
        <v>51333750</v>
      </c>
      <c r="CO99" s="230">
        <v>48126000</v>
      </c>
      <c r="CP99" s="230">
        <v>3207750</v>
      </c>
      <c r="CQ99" s="229">
        <v>6.6699999999999995E-2</v>
      </c>
      <c r="CR99" s="230">
        <v>30722250</v>
      </c>
      <c r="CS99" s="230">
        <v>29293875</v>
      </c>
      <c r="CT99" s="230">
        <v>1428375</v>
      </c>
      <c r="CU99" s="229">
        <v>4.8800000000000003E-2</v>
      </c>
      <c r="CV99" s="230">
        <v>189540000</v>
      </c>
      <c r="CW99" s="230">
        <v>184055625</v>
      </c>
      <c r="CX99" s="230">
        <v>5484375</v>
      </c>
      <c r="CY99" s="229">
        <v>2.98E-2</v>
      </c>
      <c r="CZ99" s="228">
        <v>23.54</v>
      </c>
      <c r="DA99" s="228">
        <v>23.51</v>
      </c>
      <c r="DB99" s="228">
        <v>0.03</v>
      </c>
      <c r="DC99" s="228">
        <v>0.03</v>
      </c>
      <c r="DD99" s="228">
        <v>30.45</v>
      </c>
      <c r="DE99" s="228">
        <v>30.51</v>
      </c>
      <c r="DF99" s="228">
        <v>-6.91</v>
      </c>
      <c r="DG99" s="228">
        <v>-0.06</v>
      </c>
      <c r="DH99" s="228">
        <v>23.6</v>
      </c>
      <c r="DI99" s="228">
        <v>23.45</v>
      </c>
      <c r="DJ99" s="228">
        <v>0.15</v>
      </c>
      <c r="DK99" s="228">
        <v>0.15</v>
      </c>
      <c r="DL99" s="228">
        <v>23.41</v>
      </c>
      <c r="DM99" s="228">
        <v>23.59</v>
      </c>
      <c r="DN99" s="228">
        <v>-0.18</v>
      </c>
      <c r="DO99" s="228">
        <v>-0.18</v>
      </c>
      <c r="DP99" s="228">
        <v>0.6</v>
      </c>
      <c r="DQ99" s="228">
        <v>0.61</v>
      </c>
      <c r="DR99" s="228">
        <v>-0.01</v>
      </c>
      <c r="DS99" s="229">
        <v>-1.6400000000000001E-2</v>
      </c>
      <c r="DT99" s="228">
        <v>170</v>
      </c>
      <c r="DU99" s="228">
        <v>160</v>
      </c>
      <c r="DV99" s="228">
        <v>0.51</v>
      </c>
      <c r="DW99" s="228">
        <v>0.62</v>
      </c>
      <c r="DX99" s="228">
        <v>-0.11</v>
      </c>
      <c r="DY99" s="229">
        <v>-0.1774</v>
      </c>
      <c r="DZ99" s="229">
        <v>3.5900000000000001E-2</v>
      </c>
      <c r="EA99" s="230">
        <v>3831750</v>
      </c>
      <c r="EB99" s="229">
        <v>5.4000000000000003E-3</v>
      </c>
      <c r="EC99" s="229">
        <v>3.5900000000000001E-2</v>
      </c>
      <c r="ED99" s="228">
        <v>0.93</v>
      </c>
      <c r="EE99" s="229">
        <v>5.7000000000000002E-3</v>
      </c>
      <c r="EF99" s="230">
        <v>6581230</v>
      </c>
      <c r="EG99" s="230">
        <v>5413350</v>
      </c>
      <c r="EH99" s="229">
        <v>0.2157</v>
      </c>
      <c r="EI99" s="229">
        <v>0.58850000000000002</v>
      </c>
      <c r="EJ99" s="231">
        <v>51410.63</v>
      </c>
      <c r="EK99" s="231">
        <v>25105.17</v>
      </c>
      <c r="EL99" s="231">
        <v>13130</v>
      </c>
      <c r="EM99" s="231">
        <v>4235</v>
      </c>
      <c r="EN99" s="231">
        <v>89645.8</v>
      </c>
      <c r="EO99" s="231">
        <v>185694.01</v>
      </c>
      <c r="EP99" s="231">
        <v>-96048.21</v>
      </c>
      <c r="EQ99" s="229">
        <v>-0.51719999999999999</v>
      </c>
      <c r="ER99" s="231">
        <v>87420</v>
      </c>
      <c r="ES99" s="231">
        <v>49315</v>
      </c>
      <c r="ET99" s="231">
        <v>175571</v>
      </c>
      <c r="EU99" s="231">
        <v>684903861</v>
      </c>
      <c r="EV99" s="231">
        <v>312305</v>
      </c>
      <c r="EW99" s="231">
        <v>304392</v>
      </c>
      <c r="EX99" s="231">
        <v>7913</v>
      </c>
      <c r="EY99" s="229">
        <v>2.5999999999999999E-2</v>
      </c>
      <c r="EZ99" s="229">
        <v>0.2767</v>
      </c>
      <c r="FA99" s="227" t="s">
        <v>567</v>
      </c>
      <c r="FB99" s="161">
        <f t="shared" si="1"/>
        <v>3861000</v>
      </c>
    </row>
    <row r="100" spans="1:158" ht="17.25" hidden="1" thickBot="1" x14ac:dyDescent="0.3">
      <c r="A100" s="226">
        <v>46029</v>
      </c>
      <c r="B100" s="227" t="s">
        <v>215</v>
      </c>
      <c r="C100" s="227" t="s">
        <v>490</v>
      </c>
      <c r="D100" s="228">
        <v>875</v>
      </c>
      <c r="E100" s="228">
        <v>674.6</v>
      </c>
      <c r="F100" s="228">
        <v>672.5</v>
      </c>
      <c r="G100" s="228">
        <v>2.1</v>
      </c>
      <c r="H100" s="229">
        <v>3.0999999999999999E-3</v>
      </c>
      <c r="I100" s="228">
        <v>672.8</v>
      </c>
      <c r="J100" s="228">
        <v>671.2</v>
      </c>
      <c r="K100" s="228">
        <v>1.6</v>
      </c>
      <c r="L100" s="229">
        <v>2.3999999999999998E-3</v>
      </c>
      <c r="M100" s="228">
        <v>674.6</v>
      </c>
      <c r="N100" s="228">
        <v>672.5</v>
      </c>
      <c r="O100" s="228">
        <v>2.1</v>
      </c>
      <c r="P100" s="229">
        <v>3.0999999999999999E-3</v>
      </c>
      <c r="Q100" s="228">
        <v>675.75</v>
      </c>
      <c r="R100" s="228">
        <v>674.5</v>
      </c>
      <c r="S100" s="228">
        <v>1.25</v>
      </c>
      <c r="T100" s="229">
        <v>1.9E-3</v>
      </c>
      <c r="U100" s="228">
        <v>0</v>
      </c>
      <c r="V100" s="228">
        <v>0</v>
      </c>
      <c r="W100" s="228">
        <v>0</v>
      </c>
      <c r="X100" s="229">
        <v>0</v>
      </c>
      <c r="Y100" s="228">
        <v>1.8</v>
      </c>
      <c r="Z100" s="228">
        <v>1.3</v>
      </c>
      <c r="AA100" s="228">
        <v>0.5</v>
      </c>
      <c r="AB100" s="229">
        <v>2.7000000000000001E-3</v>
      </c>
      <c r="AC100" s="228">
        <v>1.8</v>
      </c>
      <c r="AD100" s="228">
        <v>1.3</v>
      </c>
      <c r="AE100" s="228">
        <v>0.5</v>
      </c>
      <c r="AF100" s="229">
        <v>2.7000000000000001E-3</v>
      </c>
      <c r="AG100" s="228">
        <v>2.95</v>
      </c>
      <c r="AH100" s="228">
        <v>3.3</v>
      </c>
      <c r="AI100" s="228">
        <v>-0.35</v>
      </c>
      <c r="AJ100" s="229">
        <v>4.4000000000000003E-3</v>
      </c>
      <c r="AK100" s="228">
        <v>0</v>
      </c>
      <c r="AL100" s="228">
        <v>0</v>
      </c>
      <c r="AM100" s="228">
        <v>0</v>
      </c>
      <c r="AN100" s="229">
        <v>0</v>
      </c>
      <c r="AO100" s="228">
        <v>672.35</v>
      </c>
      <c r="AP100" s="228">
        <v>673.97</v>
      </c>
      <c r="AQ100" s="228">
        <v>0</v>
      </c>
      <c r="AR100" s="230">
        <v>3106250</v>
      </c>
      <c r="AS100" s="230">
        <v>3201625</v>
      </c>
      <c r="AT100" s="230">
        <v>-95375</v>
      </c>
      <c r="AU100" s="229">
        <v>-2.98E-2</v>
      </c>
      <c r="AV100" s="230">
        <v>2504250</v>
      </c>
      <c r="AW100" s="230">
        <v>2770250</v>
      </c>
      <c r="AX100" s="230">
        <v>-266000</v>
      </c>
      <c r="AY100" s="229">
        <v>-9.6000000000000002E-2</v>
      </c>
      <c r="AZ100" s="230">
        <v>602000</v>
      </c>
      <c r="BA100" s="230">
        <v>431375</v>
      </c>
      <c r="BB100" s="230">
        <v>170625</v>
      </c>
      <c r="BC100" s="229">
        <v>0.39550000000000002</v>
      </c>
      <c r="BD100" s="228">
        <v>0</v>
      </c>
      <c r="BE100" s="228">
        <v>0</v>
      </c>
      <c r="BF100" s="228">
        <v>0</v>
      </c>
      <c r="BG100" s="229">
        <v>0</v>
      </c>
      <c r="BH100" s="230">
        <v>14800625</v>
      </c>
      <c r="BI100" s="230">
        <v>12524750</v>
      </c>
      <c r="BJ100" s="230">
        <v>2275875</v>
      </c>
      <c r="BK100" s="229">
        <v>0.1817</v>
      </c>
      <c r="BL100" s="230">
        <v>2856000</v>
      </c>
      <c r="BM100" s="230">
        <v>4021500</v>
      </c>
      <c r="BN100" s="230">
        <v>-1165500</v>
      </c>
      <c r="BO100" s="229">
        <v>-0.2898</v>
      </c>
      <c r="BP100" s="230">
        <v>20762875</v>
      </c>
      <c r="BQ100" s="230">
        <v>19747875</v>
      </c>
      <c r="BR100" s="230">
        <v>1015000</v>
      </c>
      <c r="BS100" s="229">
        <v>5.1400000000000001E-2</v>
      </c>
      <c r="BT100" s="230">
        <v>1015915</v>
      </c>
      <c r="BU100" s="230">
        <v>1474257</v>
      </c>
      <c r="BV100" s="230">
        <v>-458342</v>
      </c>
      <c r="BW100" s="229">
        <v>-0.31090000000000001</v>
      </c>
      <c r="BX100" s="230">
        <v>23880500</v>
      </c>
      <c r="BY100" s="230">
        <v>23135875</v>
      </c>
      <c r="BZ100" s="230">
        <v>744625</v>
      </c>
      <c r="CA100" s="229">
        <v>3.2199999999999999E-2</v>
      </c>
      <c r="CB100" s="230">
        <v>21239750</v>
      </c>
      <c r="CC100" s="230">
        <v>20671000</v>
      </c>
      <c r="CD100" s="230">
        <v>568750</v>
      </c>
      <c r="CE100" s="229">
        <v>2.75E-2</v>
      </c>
      <c r="CF100" s="230">
        <v>2640750</v>
      </c>
      <c r="CG100" s="230">
        <v>2464875</v>
      </c>
      <c r="CH100" s="230">
        <v>175875</v>
      </c>
      <c r="CI100" s="229">
        <v>7.1400000000000005E-2</v>
      </c>
      <c r="CJ100" s="228">
        <v>0</v>
      </c>
      <c r="CK100" s="228">
        <v>0</v>
      </c>
      <c r="CL100" s="228">
        <v>0</v>
      </c>
      <c r="CM100" s="229">
        <v>0</v>
      </c>
      <c r="CN100" s="230">
        <v>22952125</v>
      </c>
      <c r="CO100" s="230">
        <v>20714750</v>
      </c>
      <c r="CP100" s="230">
        <v>2237375</v>
      </c>
      <c r="CQ100" s="229">
        <v>0.108</v>
      </c>
      <c r="CR100" s="230">
        <v>10192875</v>
      </c>
      <c r="CS100" s="230">
        <v>9744000</v>
      </c>
      <c r="CT100" s="230">
        <v>448875</v>
      </c>
      <c r="CU100" s="229">
        <v>4.6100000000000002E-2</v>
      </c>
      <c r="CV100" s="230">
        <v>57025500</v>
      </c>
      <c r="CW100" s="230">
        <v>53594625</v>
      </c>
      <c r="CX100" s="230">
        <v>3430875</v>
      </c>
      <c r="CY100" s="229">
        <v>6.4000000000000001E-2</v>
      </c>
      <c r="CZ100" s="228">
        <v>27.08</v>
      </c>
      <c r="DA100" s="228">
        <v>25.79</v>
      </c>
      <c r="DB100" s="228">
        <v>1.29</v>
      </c>
      <c r="DC100" s="228">
        <v>1.29</v>
      </c>
      <c r="DD100" s="228">
        <v>29.25</v>
      </c>
      <c r="DE100" s="228">
        <v>29.32</v>
      </c>
      <c r="DF100" s="228">
        <v>-2.17</v>
      </c>
      <c r="DG100" s="228">
        <v>-7.0000000000000007E-2</v>
      </c>
      <c r="DH100" s="228">
        <v>27.56</v>
      </c>
      <c r="DI100" s="228">
        <v>26.2</v>
      </c>
      <c r="DJ100" s="228">
        <v>1.36</v>
      </c>
      <c r="DK100" s="228">
        <v>1.36</v>
      </c>
      <c r="DL100" s="228">
        <v>24.6</v>
      </c>
      <c r="DM100" s="228">
        <v>24.49</v>
      </c>
      <c r="DN100" s="228">
        <v>0.11</v>
      </c>
      <c r="DO100" s="228">
        <v>0.11</v>
      </c>
      <c r="DP100" s="228">
        <v>0.44</v>
      </c>
      <c r="DQ100" s="228">
        <v>0.47</v>
      </c>
      <c r="DR100" s="228">
        <v>-0.03</v>
      </c>
      <c r="DS100" s="229">
        <v>-6.3799999999999996E-2</v>
      </c>
      <c r="DT100" s="228">
        <v>700</v>
      </c>
      <c r="DU100" s="228">
        <v>700</v>
      </c>
      <c r="DV100" s="228">
        <v>0.19</v>
      </c>
      <c r="DW100" s="228">
        <v>0.32</v>
      </c>
      <c r="DX100" s="228">
        <v>-0.13</v>
      </c>
      <c r="DY100" s="229">
        <v>-0.40629999999999999</v>
      </c>
      <c r="DZ100" s="229">
        <v>0.1106</v>
      </c>
      <c r="EA100" s="230">
        <v>2464875</v>
      </c>
      <c r="EB100" s="229">
        <v>1.6999999999999999E-3</v>
      </c>
      <c r="EC100" s="229">
        <v>0.1106</v>
      </c>
      <c r="ED100" s="228">
        <v>1.62</v>
      </c>
      <c r="EE100" s="229">
        <v>2.3999999999999998E-3</v>
      </c>
      <c r="EF100" s="230">
        <v>382230</v>
      </c>
      <c r="EG100" s="230">
        <v>632405</v>
      </c>
      <c r="EH100" s="229">
        <v>-0.39560000000000001</v>
      </c>
      <c r="EI100" s="229">
        <v>0.37619999999999998</v>
      </c>
      <c r="EJ100" s="231">
        <v>106047.56</v>
      </c>
      <c r="EK100" s="231">
        <v>19059.79</v>
      </c>
      <c r="EL100" s="231">
        <v>20894.73</v>
      </c>
      <c r="EM100" s="231">
        <v>3748</v>
      </c>
      <c r="EN100" s="231">
        <v>146002.07999999999</v>
      </c>
      <c r="EO100" s="231">
        <v>137641.01999999999</v>
      </c>
      <c r="EP100" s="231">
        <v>8361.06</v>
      </c>
      <c r="EQ100" s="229">
        <v>6.0699999999999997E-2</v>
      </c>
      <c r="ER100" s="231">
        <v>166273</v>
      </c>
      <c r="ES100" s="231">
        <v>69090</v>
      </c>
      <c r="ET100" s="231">
        <v>161128</v>
      </c>
      <c r="EU100" s="231">
        <v>32504261</v>
      </c>
      <c r="EV100" s="231">
        <v>396491</v>
      </c>
      <c r="EW100" s="231">
        <v>372204</v>
      </c>
      <c r="EX100" s="231">
        <v>24287</v>
      </c>
      <c r="EY100" s="229">
        <v>6.5299999999999997E-2</v>
      </c>
      <c r="EZ100" s="229">
        <v>1.7544</v>
      </c>
      <c r="FA100" s="227" t="s">
        <v>555</v>
      </c>
      <c r="FB100" s="161">
        <f t="shared" si="1"/>
        <v>2640750</v>
      </c>
    </row>
    <row r="101" spans="1:158" ht="17.25" hidden="1" thickBot="1" x14ac:dyDescent="0.3">
      <c r="A101" s="226">
        <v>46029</v>
      </c>
      <c r="B101" s="227" t="s">
        <v>175</v>
      </c>
      <c r="C101" s="227" t="s">
        <v>664</v>
      </c>
      <c r="D101" s="228">
        <v>3450</v>
      </c>
      <c r="E101" s="228">
        <v>145.9</v>
      </c>
      <c r="F101" s="228">
        <v>143.82</v>
      </c>
      <c r="G101" s="228">
        <v>2.08</v>
      </c>
      <c r="H101" s="229">
        <v>1.4500000000000001E-2</v>
      </c>
      <c r="I101" s="228">
        <v>146.03</v>
      </c>
      <c r="J101" s="228">
        <v>143.55000000000001</v>
      </c>
      <c r="K101" s="228">
        <v>2.48</v>
      </c>
      <c r="L101" s="229">
        <v>1.7299999999999999E-2</v>
      </c>
      <c r="M101" s="228">
        <v>145.9</v>
      </c>
      <c r="N101" s="228">
        <v>143.82</v>
      </c>
      <c r="O101" s="228">
        <v>2.08</v>
      </c>
      <c r="P101" s="229">
        <v>1.4500000000000001E-2</v>
      </c>
      <c r="Q101" s="228">
        <v>145.58000000000001</v>
      </c>
      <c r="R101" s="228">
        <v>143.5</v>
      </c>
      <c r="S101" s="228">
        <v>2.08</v>
      </c>
      <c r="T101" s="229">
        <v>1.4500000000000001E-2</v>
      </c>
      <c r="U101" s="228">
        <v>145.6</v>
      </c>
      <c r="V101" s="228">
        <v>143.72999999999999</v>
      </c>
      <c r="W101" s="228">
        <v>1.87</v>
      </c>
      <c r="X101" s="229">
        <v>1.2999999999999999E-2</v>
      </c>
      <c r="Y101" s="228">
        <v>-0.13</v>
      </c>
      <c r="Z101" s="228">
        <v>0.27</v>
      </c>
      <c r="AA101" s="228">
        <v>-0.4</v>
      </c>
      <c r="AB101" s="229">
        <v>-8.9999999999999998E-4</v>
      </c>
      <c r="AC101" s="228">
        <v>-0.13</v>
      </c>
      <c r="AD101" s="228">
        <v>0.27</v>
      </c>
      <c r="AE101" s="228">
        <v>-0.4</v>
      </c>
      <c r="AF101" s="229">
        <v>-8.9999999999999998E-4</v>
      </c>
      <c r="AG101" s="228">
        <v>-0.45</v>
      </c>
      <c r="AH101" s="228">
        <v>-0.05</v>
      </c>
      <c r="AI101" s="228">
        <v>-0.4</v>
      </c>
      <c r="AJ101" s="229">
        <v>-3.0999999999999999E-3</v>
      </c>
      <c r="AK101" s="228">
        <v>-0.43</v>
      </c>
      <c r="AL101" s="228">
        <v>0.18</v>
      </c>
      <c r="AM101" s="228">
        <v>-0.61</v>
      </c>
      <c r="AN101" s="229">
        <v>-2.8999999999999998E-3</v>
      </c>
      <c r="AO101" s="228">
        <v>145.28</v>
      </c>
      <c r="AP101" s="228">
        <v>144.94</v>
      </c>
      <c r="AQ101" s="228">
        <v>0</v>
      </c>
      <c r="AR101" s="230">
        <v>16542750</v>
      </c>
      <c r="AS101" s="230">
        <v>11874900</v>
      </c>
      <c r="AT101" s="230">
        <v>4667850</v>
      </c>
      <c r="AU101" s="229">
        <v>0.3931</v>
      </c>
      <c r="AV101" s="230">
        <v>14676300</v>
      </c>
      <c r="AW101" s="230">
        <v>10481100</v>
      </c>
      <c r="AX101" s="230">
        <v>4195200</v>
      </c>
      <c r="AY101" s="229">
        <v>0.40029999999999999</v>
      </c>
      <c r="AZ101" s="230">
        <v>1621500</v>
      </c>
      <c r="BA101" s="230">
        <v>1235100</v>
      </c>
      <c r="BB101" s="230">
        <v>386400</v>
      </c>
      <c r="BC101" s="229">
        <v>0.31280000000000002</v>
      </c>
      <c r="BD101" s="230">
        <v>244950</v>
      </c>
      <c r="BE101" s="230">
        <v>158700</v>
      </c>
      <c r="BF101" s="230">
        <v>86250</v>
      </c>
      <c r="BG101" s="229">
        <v>0.54349999999999998</v>
      </c>
      <c r="BH101" s="230">
        <v>30166800</v>
      </c>
      <c r="BI101" s="230">
        <v>23232300</v>
      </c>
      <c r="BJ101" s="230">
        <v>6934500</v>
      </c>
      <c r="BK101" s="229">
        <v>0.29849999999999999</v>
      </c>
      <c r="BL101" s="230">
        <v>6679200</v>
      </c>
      <c r="BM101" s="230">
        <v>7921200</v>
      </c>
      <c r="BN101" s="230">
        <v>-1242000</v>
      </c>
      <c r="BO101" s="229">
        <v>-0.15679999999999999</v>
      </c>
      <c r="BP101" s="230">
        <v>53388750</v>
      </c>
      <c r="BQ101" s="230">
        <v>43028400</v>
      </c>
      <c r="BR101" s="230">
        <v>10360350</v>
      </c>
      <c r="BS101" s="229">
        <v>0.24079999999999999</v>
      </c>
      <c r="BT101" s="230">
        <v>9576609</v>
      </c>
      <c r="BU101" s="230">
        <v>9068318</v>
      </c>
      <c r="BV101" s="230">
        <v>508291</v>
      </c>
      <c r="BW101" s="229">
        <v>5.6099999999999997E-2</v>
      </c>
      <c r="BX101" s="230">
        <v>57994500</v>
      </c>
      <c r="BY101" s="230">
        <v>53488800</v>
      </c>
      <c r="BZ101" s="230">
        <v>4505700</v>
      </c>
      <c r="CA101" s="229">
        <v>8.4199999999999997E-2</v>
      </c>
      <c r="CB101" s="230">
        <v>50977200</v>
      </c>
      <c r="CC101" s="230">
        <v>47085600</v>
      </c>
      <c r="CD101" s="230">
        <v>3891600</v>
      </c>
      <c r="CE101" s="229">
        <v>8.2600000000000007E-2</v>
      </c>
      <c r="CF101" s="230">
        <v>6106500</v>
      </c>
      <c r="CG101" s="230">
        <v>5613150</v>
      </c>
      <c r="CH101" s="230">
        <v>493350</v>
      </c>
      <c r="CI101" s="229">
        <v>8.7900000000000006E-2</v>
      </c>
      <c r="CJ101" s="230">
        <v>910800</v>
      </c>
      <c r="CK101" s="230">
        <v>790050</v>
      </c>
      <c r="CL101" s="230">
        <v>120750</v>
      </c>
      <c r="CM101" s="229">
        <v>0.15279999999999999</v>
      </c>
      <c r="CN101" s="230">
        <v>34879500</v>
      </c>
      <c r="CO101" s="230">
        <v>33927300</v>
      </c>
      <c r="CP101" s="230">
        <v>952200</v>
      </c>
      <c r="CQ101" s="229">
        <v>2.81E-2</v>
      </c>
      <c r="CR101" s="230">
        <v>19982400</v>
      </c>
      <c r="CS101" s="230">
        <v>19382100</v>
      </c>
      <c r="CT101" s="230">
        <v>600300</v>
      </c>
      <c r="CU101" s="229">
        <v>3.1E-2</v>
      </c>
      <c r="CV101" s="230">
        <v>112856400</v>
      </c>
      <c r="CW101" s="230">
        <v>106798200</v>
      </c>
      <c r="CX101" s="230">
        <v>6058200</v>
      </c>
      <c r="CY101" s="229">
        <v>5.67E-2</v>
      </c>
      <c r="CZ101" s="228">
        <v>44.48</v>
      </c>
      <c r="DA101" s="228">
        <v>42.63</v>
      </c>
      <c r="DB101" s="228">
        <v>1.85</v>
      </c>
      <c r="DC101" s="228">
        <v>1.85</v>
      </c>
      <c r="DD101" s="228">
        <v>48.23</v>
      </c>
      <c r="DE101" s="228">
        <v>48.31</v>
      </c>
      <c r="DF101" s="228">
        <v>-3.75</v>
      </c>
      <c r="DG101" s="228">
        <v>-0.08</v>
      </c>
      <c r="DH101" s="228">
        <v>44.45</v>
      </c>
      <c r="DI101" s="228">
        <v>42.55</v>
      </c>
      <c r="DJ101" s="228">
        <v>1.9</v>
      </c>
      <c r="DK101" s="228">
        <v>1.9</v>
      </c>
      <c r="DL101" s="228">
        <v>44.59</v>
      </c>
      <c r="DM101" s="228">
        <v>42.87</v>
      </c>
      <c r="DN101" s="228">
        <v>1.72</v>
      </c>
      <c r="DO101" s="228">
        <v>1.72</v>
      </c>
      <c r="DP101" s="228">
        <v>0.56999999999999995</v>
      </c>
      <c r="DQ101" s="228">
        <v>0.56999999999999995</v>
      </c>
      <c r="DR101" s="228">
        <v>0</v>
      </c>
      <c r="DS101" s="229">
        <v>0</v>
      </c>
      <c r="DT101" s="228">
        <v>145</v>
      </c>
      <c r="DU101" s="228">
        <v>140</v>
      </c>
      <c r="DV101" s="228">
        <v>0.22</v>
      </c>
      <c r="DW101" s="228">
        <v>0.34</v>
      </c>
      <c r="DX101" s="228">
        <v>-0.12</v>
      </c>
      <c r="DY101" s="229">
        <v>-0.35289999999999999</v>
      </c>
      <c r="DZ101" s="229">
        <v>0.121</v>
      </c>
      <c r="EA101" s="230">
        <v>6403200</v>
      </c>
      <c r="EB101" s="229">
        <v>-2.2000000000000001E-3</v>
      </c>
      <c r="EC101" s="229">
        <v>0.121</v>
      </c>
      <c r="ED101" s="228">
        <v>-0.34</v>
      </c>
      <c r="EE101" s="229">
        <v>-2.3E-3</v>
      </c>
      <c r="EF101" s="230">
        <v>3080388</v>
      </c>
      <c r="EG101" s="230">
        <v>2330260</v>
      </c>
      <c r="EH101" s="229">
        <v>0.32190000000000002</v>
      </c>
      <c r="EI101" s="229">
        <v>0.32169999999999999</v>
      </c>
      <c r="EJ101" s="231">
        <v>47043.42</v>
      </c>
      <c r="EK101" s="231">
        <v>9570.74</v>
      </c>
      <c r="EL101" s="231">
        <v>24027.66</v>
      </c>
      <c r="EM101" s="231">
        <v>4525</v>
      </c>
      <c r="EN101" s="231">
        <v>80641.820000000007</v>
      </c>
      <c r="EO101" s="231">
        <v>64254.44</v>
      </c>
      <c r="EP101" s="231">
        <v>16387.38</v>
      </c>
      <c r="EQ101" s="229">
        <v>0.255</v>
      </c>
      <c r="ER101" s="231">
        <v>52132</v>
      </c>
      <c r="ES101" s="231">
        <v>27872</v>
      </c>
      <c r="ET101" s="231">
        <v>84592</v>
      </c>
      <c r="EU101" s="231">
        <v>119011160</v>
      </c>
      <c r="EV101" s="231">
        <v>164596</v>
      </c>
      <c r="EW101" s="231">
        <v>154487</v>
      </c>
      <c r="EX101" s="231">
        <v>10109</v>
      </c>
      <c r="EY101" s="229">
        <v>6.54E-2</v>
      </c>
      <c r="EZ101" s="229">
        <v>0.94830000000000003</v>
      </c>
      <c r="FA101" s="227" t="s">
        <v>555</v>
      </c>
      <c r="FB101" s="161">
        <f t="shared" si="1"/>
        <v>7017300</v>
      </c>
    </row>
    <row r="102" spans="1:158" ht="17.25" hidden="1" thickBot="1" x14ac:dyDescent="0.3">
      <c r="A102" s="226">
        <v>46029</v>
      </c>
      <c r="B102" s="227" t="s">
        <v>215</v>
      </c>
      <c r="C102" s="227" t="s">
        <v>592</v>
      </c>
      <c r="D102" s="228">
        <v>4250</v>
      </c>
      <c r="E102" s="228">
        <v>128.65</v>
      </c>
      <c r="F102" s="228">
        <v>127.83</v>
      </c>
      <c r="G102" s="228">
        <v>0.82</v>
      </c>
      <c r="H102" s="229">
        <v>6.4000000000000003E-3</v>
      </c>
      <c r="I102" s="228">
        <v>128.04</v>
      </c>
      <c r="J102" s="228">
        <v>127.22</v>
      </c>
      <c r="K102" s="228">
        <v>0.82</v>
      </c>
      <c r="L102" s="229">
        <v>6.4000000000000003E-3</v>
      </c>
      <c r="M102" s="228">
        <v>128.65</v>
      </c>
      <c r="N102" s="228">
        <v>127.83</v>
      </c>
      <c r="O102" s="228">
        <v>0.82</v>
      </c>
      <c r="P102" s="229">
        <v>6.4000000000000003E-3</v>
      </c>
      <c r="Q102" s="228">
        <v>129.29</v>
      </c>
      <c r="R102" s="228">
        <v>128.44</v>
      </c>
      <c r="S102" s="228">
        <v>0.85</v>
      </c>
      <c r="T102" s="229">
        <v>6.6E-3</v>
      </c>
      <c r="U102" s="228">
        <v>129.77000000000001</v>
      </c>
      <c r="V102" s="228">
        <v>128.96</v>
      </c>
      <c r="W102" s="228">
        <v>0.81</v>
      </c>
      <c r="X102" s="229">
        <v>6.3E-3</v>
      </c>
      <c r="Y102" s="228">
        <v>0.61</v>
      </c>
      <c r="Z102" s="228">
        <v>0.61</v>
      </c>
      <c r="AA102" s="228">
        <v>0</v>
      </c>
      <c r="AB102" s="229">
        <v>4.7999999999999996E-3</v>
      </c>
      <c r="AC102" s="228">
        <v>0.61</v>
      </c>
      <c r="AD102" s="228">
        <v>0.61</v>
      </c>
      <c r="AE102" s="228">
        <v>0</v>
      </c>
      <c r="AF102" s="229">
        <v>4.7999999999999996E-3</v>
      </c>
      <c r="AG102" s="228">
        <v>1.25</v>
      </c>
      <c r="AH102" s="228">
        <v>1.22</v>
      </c>
      <c r="AI102" s="228">
        <v>0.03</v>
      </c>
      <c r="AJ102" s="229">
        <v>9.7999999999999997E-3</v>
      </c>
      <c r="AK102" s="228">
        <v>1.73</v>
      </c>
      <c r="AL102" s="228">
        <v>1.74</v>
      </c>
      <c r="AM102" s="228">
        <v>-0.01</v>
      </c>
      <c r="AN102" s="229">
        <v>1.35E-2</v>
      </c>
      <c r="AO102" s="228">
        <v>128.5</v>
      </c>
      <c r="AP102" s="228">
        <v>129.06</v>
      </c>
      <c r="AQ102" s="228">
        <v>0</v>
      </c>
      <c r="AR102" s="230">
        <v>10994750</v>
      </c>
      <c r="AS102" s="230">
        <v>14535000</v>
      </c>
      <c r="AT102" s="230">
        <v>-3540250</v>
      </c>
      <c r="AU102" s="229">
        <v>-0.24360000000000001</v>
      </c>
      <c r="AV102" s="230">
        <v>9596500</v>
      </c>
      <c r="AW102" s="230">
        <v>12711750</v>
      </c>
      <c r="AX102" s="230">
        <v>-3115250</v>
      </c>
      <c r="AY102" s="229">
        <v>-0.24510000000000001</v>
      </c>
      <c r="AZ102" s="230">
        <v>1202750</v>
      </c>
      <c r="BA102" s="230">
        <v>1683000</v>
      </c>
      <c r="BB102" s="230">
        <v>-480250</v>
      </c>
      <c r="BC102" s="229">
        <v>-0.28539999999999999</v>
      </c>
      <c r="BD102" s="230">
        <v>195500</v>
      </c>
      <c r="BE102" s="230">
        <v>140250</v>
      </c>
      <c r="BF102" s="230">
        <v>55250</v>
      </c>
      <c r="BG102" s="229">
        <v>0.39389999999999997</v>
      </c>
      <c r="BH102" s="230">
        <v>27353000</v>
      </c>
      <c r="BI102" s="230">
        <v>42100500</v>
      </c>
      <c r="BJ102" s="230">
        <v>-14747500</v>
      </c>
      <c r="BK102" s="229">
        <v>-0.3503</v>
      </c>
      <c r="BL102" s="230">
        <v>8916500</v>
      </c>
      <c r="BM102" s="230">
        <v>11878750</v>
      </c>
      <c r="BN102" s="230">
        <v>-2962250</v>
      </c>
      <c r="BO102" s="229">
        <v>-0.24940000000000001</v>
      </c>
      <c r="BP102" s="230">
        <v>47264250</v>
      </c>
      <c r="BQ102" s="230">
        <v>68514250</v>
      </c>
      <c r="BR102" s="230">
        <v>-21250000</v>
      </c>
      <c r="BS102" s="229">
        <v>-0.31019999999999998</v>
      </c>
      <c r="BT102" s="230">
        <v>11484512</v>
      </c>
      <c r="BU102" s="230">
        <v>15619992</v>
      </c>
      <c r="BV102" s="230">
        <v>-4135480</v>
      </c>
      <c r="BW102" s="229">
        <v>-0.26479999999999998</v>
      </c>
      <c r="BX102" s="230">
        <v>65637000</v>
      </c>
      <c r="BY102" s="230">
        <v>65505250</v>
      </c>
      <c r="BZ102" s="230">
        <v>131750</v>
      </c>
      <c r="CA102" s="229">
        <v>2E-3</v>
      </c>
      <c r="CB102" s="230">
        <v>59827250</v>
      </c>
      <c r="CC102" s="230">
        <v>59946250</v>
      </c>
      <c r="CD102" s="230">
        <v>-119000</v>
      </c>
      <c r="CE102" s="229">
        <v>-2E-3</v>
      </c>
      <c r="CF102" s="230">
        <v>5393250</v>
      </c>
      <c r="CG102" s="230">
        <v>5163750</v>
      </c>
      <c r="CH102" s="230">
        <v>229500</v>
      </c>
      <c r="CI102" s="229">
        <v>4.4400000000000002E-2</v>
      </c>
      <c r="CJ102" s="230">
        <v>416500</v>
      </c>
      <c r="CK102" s="230">
        <v>395250</v>
      </c>
      <c r="CL102" s="230">
        <v>21250</v>
      </c>
      <c r="CM102" s="229">
        <v>5.3800000000000001E-2</v>
      </c>
      <c r="CN102" s="230">
        <v>79258250</v>
      </c>
      <c r="CO102" s="230">
        <v>79173250</v>
      </c>
      <c r="CP102" s="230">
        <v>85000</v>
      </c>
      <c r="CQ102" s="229">
        <v>1.1000000000000001E-3</v>
      </c>
      <c r="CR102" s="230">
        <v>36571250</v>
      </c>
      <c r="CS102" s="230">
        <v>35462000</v>
      </c>
      <c r="CT102" s="230">
        <v>1109250</v>
      </c>
      <c r="CU102" s="229">
        <v>3.1300000000000001E-2</v>
      </c>
      <c r="CV102" s="230">
        <v>181466500</v>
      </c>
      <c r="CW102" s="230">
        <v>180140500</v>
      </c>
      <c r="CX102" s="230">
        <v>1326000</v>
      </c>
      <c r="CY102" s="229">
        <v>7.4000000000000003E-3</v>
      </c>
      <c r="CZ102" s="228">
        <v>39.31</v>
      </c>
      <c r="DA102" s="228">
        <v>39.44</v>
      </c>
      <c r="DB102" s="228">
        <v>-0.13</v>
      </c>
      <c r="DC102" s="228">
        <v>-0.13</v>
      </c>
      <c r="DD102" s="228">
        <v>45.53</v>
      </c>
      <c r="DE102" s="228">
        <v>45.63</v>
      </c>
      <c r="DF102" s="228">
        <v>-6.22</v>
      </c>
      <c r="DG102" s="228">
        <v>-0.1</v>
      </c>
      <c r="DH102" s="228">
        <v>39.61</v>
      </c>
      <c r="DI102" s="228">
        <v>39.79</v>
      </c>
      <c r="DJ102" s="228">
        <v>-0.18</v>
      </c>
      <c r="DK102" s="228">
        <v>-0.18</v>
      </c>
      <c r="DL102" s="228">
        <v>38.369999999999997</v>
      </c>
      <c r="DM102" s="228">
        <v>38.200000000000003</v>
      </c>
      <c r="DN102" s="228">
        <v>0.17</v>
      </c>
      <c r="DO102" s="228">
        <v>0.17</v>
      </c>
      <c r="DP102" s="228">
        <v>0.46</v>
      </c>
      <c r="DQ102" s="228">
        <v>0.45</v>
      </c>
      <c r="DR102" s="228">
        <v>0.01</v>
      </c>
      <c r="DS102" s="229">
        <v>2.2200000000000001E-2</v>
      </c>
      <c r="DT102" s="228">
        <v>140</v>
      </c>
      <c r="DU102" s="228">
        <v>125</v>
      </c>
      <c r="DV102" s="228">
        <v>0.33</v>
      </c>
      <c r="DW102" s="228">
        <v>0.28000000000000003</v>
      </c>
      <c r="DX102" s="228">
        <v>0.05</v>
      </c>
      <c r="DY102" s="229">
        <v>0.17860000000000001</v>
      </c>
      <c r="DZ102" s="229">
        <v>8.8499999999999995E-2</v>
      </c>
      <c r="EA102" s="230">
        <v>5559000</v>
      </c>
      <c r="EB102" s="229">
        <v>5.0000000000000001E-3</v>
      </c>
      <c r="EC102" s="229">
        <v>8.8499999999999995E-2</v>
      </c>
      <c r="ED102" s="228">
        <v>0.56000000000000005</v>
      </c>
      <c r="EE102" s="229">
        <v>4.4000000000000003E-3</v>
      </c>
      <c r="EF102" s="230">
        <v>3667092</v>
      </c>
      <c r="EG102" s="230">
        <v>3897523</v>
      </c>
      <c r="EH102" s="229">
        <v>-5.91E-2</v>
      </c>
      <c r="EI102" s="229">
        <v>0.31929999999999997</v>
      </c>
      <c r="EJ102" s="231">
        <v>37639.35</v>
      </c>
      <c r="EK102" s="231">
        <v>11194.4</v>
      </c>
      <c r="EL102" s="231">
        <v>14137.05</v>
      </c>
      <c r="EM102" s="231">
        <v>3927</v>
      </c>
      <c r="EN102" s="231">
        <v>62970.8</v>
      </c>
      <c r="EO102" s="231">
        <v>91335.76</v>
      </c>
      <c r="EP102" s="231">
        <v>-28364.959999999999</v>
      </c>
      <c r="EQ102" s="229">
        <v>-0.31059999999999999</v>
      </c>
      <c r="ER102" s="231">
        <v>108075</v>
      </c>
      <c r="ES102" s="231">
        <v>44511</v>
      </c>
      <c r="ET102" s="231">
        <v>84481</v>
      </c>
      <c r="EU102" s="231">
        <v>200960551</v>
      </c>
      <c r="EV102" s="231">
        <v>237067</v>
      </c>
      <c r="EW102" s="231">
        <v>234659</v>
      </c>
      <c r="EX102" s="231">
        <v>2408</v>
      </c>
      <c r="EY102" s="229">
        <v>1.03E-2</v>
      </c>
      <c r="EZ102" s="229">
        <v>0.90300000000000002</v>
      </c>
      <c r="FA102" s="227" t="s">
        <v>555</v>
      </c>
      <c r="FB102" s="161">
        <f t="shared" si="1"/>
        <v>5809750</v>
      </c>
    </row>
    <row r="103" spans="1:158" ht="17.25" hidden="1" thickBot="1" x14ac:dyDescent="0.3">
      <c r="A103" s="226">
        <v>46029</v>
      </c>
      <c r="B103" s="227" t="s">
        <v>168</v>
      </c>
      <c r="C103" s="227" t="s">
        <v>242</v>
      </c>
      <c r="D103" s="228">
        <v>1600</v>
      </c>
      <c r="E103" s="228">
        <v>342.9</v>
      </c>
      <c r="F103" s="228">
        <v>344.2</v>
      </c>
      <c r="G103" s="228">
        <v>-1.3</v>
      </c>
      <c r="H103" s="229">
        <v>-3.8E-3</v>
      </c>
      <c r="I103" s="228">
        <v>341.25</v>
      </c>
      <c r="J103" s="228">
        <v>342.45</v>
      </c>
      <c r="K103" s="228">
        <v>-1.2</v>
      </c>
      <c r="L103" s="229">
        <v>-3.5000000000000001E-3</v>
      </c>
      <c r="M103" s="228">
        <v>342.9</v>
      </c>
      <c r="N103" s="228">
        <v>344.2</v>
      </c>
      <c r="O103" s="228">
        <v>-1.3</v>
      </c>
      <c r="P103" s="229">
        <v>-3.8E-3</v>
      </c>
      <c r="Q103" s="228">
        <v>343.15</v>
      </c>
      <c r="R103" s="228">
        <v>344.75</v>
      </c>
      <c r="S103" s="228">
        <v>-1.6</v>
      </c>
      <c r="T103" s="229">
        <v>-4.5999999999999999E-3</v>
      </c>
      <c r="U103" s="228">
        <v>345.75</v>
      </c>
      <c r="V103" s="228">
        <v>347.2</v>
      </c>
      <c r="W103" s="228">
        <v>-1.45</v>
      </c>
      <c r="X103" s="229">
        <v>-4.1999999999999997E-3</v>
      </c>
      <c r="Y103" s="228">
        <v>1.65</v>
      </c>
      <c r="Z103" s="228">
        <v>1.75</v>
      </c>
      <c r="AA103" s="228">
        <v>-0.1</v>
      </c>
      <c r="AB103" s="229">
        <v>4.7999999999999996E-3</v>
      </c>
      <c r="AC103" s="228">
        <v>1.65</v>
      </c>
      <c r="AD103" s="228">
        <v>1.75</v>
      </c>
      <c r="AE103" s="228">
        <v>-0.1</v>
      </c>
      <c r="AF103" s="229">
        <v>4.7999999999999996E-3</v>
      </c>
      <c r="AG103" s="228">
        <v>1.9</v>
      </c>
      <c r="AH103" s="228">
        <v>2.2999999999999998</v>
      </c>
      <c r="AI103" s="228">
        <v>-0.4</v>
      </c>
      <c r="AJ103" s="229">
        <v>5.5999999999999999E-3</v>
      </c>
      <c r="AK103" s="228">
        <v>4.5</v>
      </c>
      <c r="AL103" s="228">
        <v>4.75</v>
      </c>
      <c r="AM103" s="228">
        <v>-0.25</v>
      </c>
      <c r="AN103" s="229">
        <v>1.32E-2</v>
      </c>
      <c r="AO103" s="228">
        <v>343.16</v>
      </c>
      <c r="AP103" s="228">
        <v>343.61</v>
      </c>
      <c r="AQ103" s="228">
        <v>0</v>
      </c>
      <c r="AR103" s="230">
        <v>24948800</v>
      </c>
      <c r="AS103" s="230">
        <v>64011200</v>
      </c>
      <c r="AT103" s="230">
        <v>-39062400</v>
      </c>
      <c r="AU103" s="229">
        <v>-0.61019999999999996</v>
      </c>
      <c r="AV103" s="230">
        <v>20227200</v>
      </c>
      <c r="AW103" s="230">
        <v>53422400</v>
      </c>
      <c r="AX103" s="230">
        <v>-33195200</v>
      </c>
      <c r="AY103" s="229">
        <v>-0.62139999999999995</v>
      </c>
      <c r="AZ103" s="230">
        <v>3851200</v>
      </c>
      <c r="BA103" s="230">
        <v>8884800</v>
      </c>
      <c r="BB103" s="230">
        <v>-5033600</v>
      </c>
      <c r="BC103" s="229">
        <v>-0.5665</v>
      </c>
      <c r="BD103" s="230">
        <v>870400</v>
      </c>
      <c r="BE103" s="230">
        <v>1704000</v>
      </c>
      <c r="BF103" s="230">
        <v>-833600</v>
      </c>
      <c r="BG103" s="229">
        <v>-0.48920000000000002</v>
      </c>
      <c r="BH103" s="230">
        <v>252681600</v>
      </c>
      <c r="BI103" s="230">
        <v>575462400</v>
      </c>
      <c r="BJ103" s="230">
        <v>-322780800</v>
      </c>
      <c r="BK103" s="229">
        <v>-0.56089999999999995</v>
      </c>
      <c r="BL103" s="230">
        <v>97454400</v>
      </c>
      <c r="BM103" s="230">
        <v>236424000</v>
      </c>
      <c r="BN103" s="230">
        <v>-138969600</v>
      </c>
      <c r="BO103" s="229">
        <v>-0.58779999999999999</v>
      </c>
      <c r="BP103" s="230">
        <v>375084800</v>
      </c>
      <c r="BQ103" s="230">
        <v>875897600</v>
      </c>
      <c r="BR103" s="230">
        <v>-500812800</v>
      </c>
      <c r="BS103" s="229">
        <v>-0.57179999999999997</v>
      </c>
      <c r="BT103" s="230">
        <v>31497241</v>
      </c>
      <c r="BU103" s="230">
        <v>76438159</v>
      </c>
      <c r="BV103" s="230">
        <v>-44940918</v>
      </c>
      <c r="BW103" s="229">
        <v>-0.58789999999999998</v>
      </c>
      <c r="BX103" s="230">
        <v>250537600</v>
      </c>
      <c r="BY103" s="230">
        <v>247624000</v>
      </c>
      <c r="BZ103" s="230">
        <v>2913600</v>
      </c>
      <c r="CA103" s="229">
        <v>1.18E-2</v>
      </c>
      <c r="CB103" s="230">
        <v>216180800</v>
      </c>
      <c r="CC103" s="230">
        <v>215056000</v>
      </c>
      <c r="CD103" s="230">
        <v>1124800</v>
      </c>
      <c r="CE103" s="229">
        <v>5.1999999999999998E-3</v>
      </c>
      <c r="CF103" s="230">
        <v>28747200</v>
      </c>
      <c r="CG103" s="230">
        <v>27332800</v>
      </c>
      <c r="CH103" s="230">
        <v>1414400</v>
      </c>
      <c r="CI103" s="229">
        <v>5.1700000000000003E-2</v>
      </c>
      <c r="CJ103" s="230">
        <v>5609600</v>
      </c>
      <c r="CK103" s="230">
        <v>5235200</v>
      </c>
      <c r="CL103" s="230">
        <v>374400</v>
      </c>
      <c r="CM103" s="229">
        <v>7.1499999999999994E-2</v>
      </c>
      <c r="CN103" s="230">
        <v>366438400</v>
      </c>
      <c r="CO103" s="230">
        <v>352721600</v>
      </c>
      <c r="CP103" s="230">
        <v>13716800</v>
      </c>
      <c r="CQ103" s="229">
        <v>3.8899999999999997E-2</v>
      </c>
      <c r="CR103" s="230">
        <v>136670400</v>
      </c>
      <c r="CS103" s="230">
        <v>132219200</v>
      </c>
      <c r="CT103" s="230">
        <v>4451200</v>
      </c>
      <c r="CU103" s="229">
        <v>3.3700000000000001E-2</v>
      </c>
      <c r="CV103" s="230">
        <v>753646400</v>
      </c>
      <c r="CW103" s="230">
        <v>732564800</v>
      </c>
      <c r="CX103" s="230">
        <v>21081600</v>
      </c>
      <c r="CY103" s="229">
        <v>2.8799999999999999E-2</v>
      </c>
      <c r="CZ103" s="228">
        <v>23.09</v>
      </c>
      <c r="DA103" s="228">
        <v>23.11</v>
      </c>
      <c r="DB103" s="228">
        <v>-0.02</v>
      </c>
      <c r="DC103" s="228">
        <v>-0.02</v>
      </c>
      <c r="DD103" s="228">
        <v>23.34</v>
      </c>
      <c r="DE103" s="228">
        <v>23.4</v>
      </c>
      <c r="DF103" s="228">
        <v>-0.25</v>
      </c>
      <c r="DG103" s="228">
        <v>-0.06</v>
      </c>
      <c r="DH103" s="228">
        <v>23.63</v>
      </c>
      <c r="DI103" s="228">
        <v>23.72</v>
      </c>
      <c r="DJ103" s="228">
        <v>-0.09</v>
      </c>
      <c r="DK103" s="228">
        <v>-0.09</v>
      </c>
      <c r="DL103" s="228">
        <v>21.69</v>
      </c>
      <c r="DM103" s="228">
        <v>21.6</v>
      </c>
      <c r="DN103" s="228">
        <v>0.09</v>
      </c>
      <c r="DO103" s="228">
        <v>0.09</v>
      </c>
      <c r="DP103" s="228">
        <v>0.37</v>
      </c>
      <c r="DQ103" s="228">
        <v>0.37</v>
      </c>
      <c r="DR103" s="228">
        <v>0</v>
      </c>
      <c r="DS103" s="229">
        <v>0</v>
      </c>
      <c r="DT103" s="228">
        <v>400</v>
      </c>
      <c r="DU103" s="228">
        <v>350</v>
      </c>
      <c r="DV103" s="228">
        <v>0.39</v>
      </c>
      <c r="DW103" s="228">
        <v>0.41</v>
      </c>
      <c r="DX103" s="228">
        <v>-0.02</v>
      </c>
      <c r="DY103" s="229">
        <v>-4.8800000000000003E-2</v>
      </c>
      <c r="DZ103" s="229">
        <v>0.1371</v>
      </c>
      <c r="EA103" s="230">
        <v>32568000</v>
      </c>
      <c r="EB103" s="229">
        <v>6.9999999999999999E-4</v>
      </c>
      <c r="EC103" s="229">
        <v>0.1371</v>
      </c>
      <c r="ED103" s="228">
        <v>0.45</v>
      </c>
      <c r="EE103" s="229">
        <v>1.2999999999999999E-3</v>
      </c>
      <c r="EF103" s="230">
        <v>19862953</v>
      </c>
      <c r="EG103" s="230">
        <v>46689412</v>
      </c>
      <c r="EH103" s="229">
        <v>-0.5746</v>
      </c>
      <c r="EI103" s="229">
        <v>0.63060000000000005</v>
      </c>
      <c r="EJ103" s="231">
        <v>926990.27</v>
      </c>
      <c r="EK103" s="231">
        <v>331489.67</v>
      </c>
      <c r="EL103" s="231">
        <v>85658.03</v>
      </c>
      <c r="EM103" s="231">
        <v>56652</v>
      </c>
      <c r="EN103" s="231">
        <v>1344137.97</v>
      </c>
      <c r="EO103" s="231">
        <v>3163095.1</v>
      </c>
      <c r="EP103" s="231">
        <v>-1818957.13</v>
      </c>
      <c r="EQ103" s="229">
        <v>-0.57509999999999994</v>
      </c>
      <c r="ER103" s="231">
        <v>1381981</v>
      </c>
      <c r="ES103" s="231">
        <v>480971</v>
      </c>
      <c r="ET103" s="231">
        <v>859325</v>
      </c>
      <c r="EU103" s="231">
        <v>1252401670</v>
      </c>
      <c r="EV103" s="231">
        <v>2722277</v>
      </c>
      <c r="EW103" s="231">
        <v>2654584</v>
      </c>
      <c r="EX103" s="231">
        <v>67693</v>
      </c>
      <c r="EY103" s="229">
        <v>2.5499999999999998E-2</v>
      </c>
      <c r="EZ103" s="229">
        <v>0.6018</v>
      </c>
      <c r="FA103" s="227" t="s">
        <v>567</v>
      </c>
      <c r="FB103" s="161">
        <f t="shared" si="1"/>
        <v>34356800</v>
      </c>
    </row>
    <row r="104" spans="1:158" ht="17.25" hidden="1" thickBot="1" x14ac:dyDescent="0.3">
      <c r="A104" s="226">
        <v>46029</v>
      </c>
      <c r="B104" s="227" t="s">
        <v>227</v>
      </c>
      <c r="C104" s="227" t="s">
        <v>243</v>
      </c>
      <c r="D104" s="228">
        <v>625</v>
      </c>
      <c r="E104" s="231">
        <v>1077.3</v>
      </c>
      <c r="F104" s="231">
        <v>1083.5999999999999</v>
      </c>
      <c r="G104" s="228">
        <v>-6.3</v>
      </c>
      <c r="H104" s="229">
        <v>-5.7999999999999996E-3</v>
      </c>
      <c r="I104" s="231">
        <v>1074.7</v>
      </c>
      <c r="J104" s="231">
        <v>1079.8</v>
      </c>
      <c r="K104" s="228">
        <v>-5.0999999999999996</v>
      </c>
      <c r="L104" s="229">
        <v>-4.7000000000000002E-3</v>
      </c>
      <c r="M104" s="231">
        <v>1077.3</v>
      </c>
      <c r="N104" s="231">
        <v>1083.5999999999999</v>
      </c>
      <c r="O104" s="228">
        <v>-6.3</v>
      </c>
      <c r="P104" s="229">
        <v>-5.7999999999999996E-3</v>
      </c>
      <c r="Q104" s="231">
        <v>1083.7</v>
      </c>
      <c r="R104" s="231">
        <v>1090.4000000000001</v>
      </c>
      <c r="S104" s="228">
        <v>-6.7</v>
      </c>
      <c r="T104" s="229">
        <v>-6.1000000000000004E-3</v>
      </c>
      <c r="U104" s="231">
        <v>1090.2</v>
      </c>
      <c r="V104" s="231">
        <v>1096.2</v>
      </c>
      <c r="W104" s="228">
        <v>-6</v>
      </c>
      <c r="X104" s="229">
        <v>-5.4999999999999997E-3</v>
      </c>
      <c r="Y104" s="228">
        <v>2.6</v>
      </c>
      <c r="Z104" s="228">
        <v>3.8</v>
      </c>
      <c r="AA104" s="228">
        <v>-1.2</v>
      </c>
      <c r="AB104" s="229">
        <v>2.3999999999999998E-3</v>
      </c>
      <c r="AC104" s="228">
        <v>2.6</v>
      </c>
      <c r="AD104" s="228">
        <v>3.8</v>
      </c>
      <c r="AE104" s="228">
        <v>-1.2</v>
      </c>
      <c r="AF104" s="229">
        <v>2.3999999999999998E-3</v>
      </c>
      <c r="AG104" s="228">
        <v>9</v>
      </c>
      <c r="AH104" s="228">
        <v>10.6</v>
      </c>
      <c r="AI104" s="228">
        <v>-1.6</v>
      </c>
      <c r="AJ104" s="229">
        <v>8.3999999999999995E-3</v>
      </c>
      <c r="AK104" s="228">
        <v>15.5</v>
      </c>
      <c r="AL104" s="228">
        <v>16.399999999999999</v>
      </c>
      <c r="AM104" s="228">
        <v>-0.9</v>
      </c>
      <c r="AN104" s="229">
        <v>1.44E-2</v>
      </c>
      <c r="AO104" s="231">
        <v>1079.6600000000001</v>
      </c>
      <c r="AP104" s="231">
        <v>1086.93</v>
      </c>
      <c r="AQ104" s="228">
        <v>0</v>
      </c>
      <c r="AR104" s="230">
        <v>2167500</v>
      </c>
      <c r="AS104" s="230">
        <v>2003750</v>
      </c>
      <c r="AT104" s="230">
        <v>163750</v>
      </c>
      <c r="AU104" s="229">
        <v>8.1699999999999995E-2</v>
      </c>
      <c r="AV104" s="230">
        <v>2133750</v>
      </c>
      <c r="AW104" s="230">
        <v>1955625</v>
      </c>
      <c r="AX104" s="230">
        <v>178125</v>
      </c>
      <c r="AY104" s="229">
        <v>9.11E-2</v>
      </c>
      <c r="AZ104" s="230">
        <v>28125</v>
      </c>
      <c r="BA104" s="230">
        <v>33750</v>
      </c>
      <c r="BB104" s="230">
        <v>-5625</v>
      </c>
      <c r="BC104" s="229">
        <v>-0.16669999999999999</v>
      </c>
      <c r="BD104" s="230">
        <v>5625</v>
      </c>
      <c r="BE104" s="230">
        <v>14375</v>
      </c>
      <c r="BF104" s="230">
        <v>-8750</v>
      </c>
      <c r="BG104" s="229">
        <v>-0.60870000000000002</v>
      </c>
      <c r="BH104" s="230">
        <v>3637500</v>
      </c>
      <c r="BI104" s="230">
        <v>5040625</v>
      </c>
      <c r="BJ104" s="230">
        <v>-1403125</v>
      </c>
      <c r="BK104" s="229">
        <v>-0.27839999999999998</v>
      </c>
      <c r="BL104" s="230">
        <v>4066875</v>
      </c>
      <c r="BM104" s="230">
        <v>2614375</v>
      </c>
      <c r="BN104" s="230">
        <v>1452500</v>
      </c>
      <c r="BO104" s="229">
        <v>0.55559999999999998</v>
      </c>
      <c r="BP104" s="230">
        <v>9871875</v>
      </c>
      <c r="BQ104" s="230">
        <v>9658750</v>
      </c>
      <c r="BR104" s="230">
        <v>213125</v>
      </c>
      <c r="BS104" s="229">
        <v>2.2100000000000002E-2</v>
      </c>
      <c r="BT104" s="230">
        <v>571515</v>
      </c>
      <c r="BU104" s="230">
        <v>1128233</v>
      </c>
      <c r="BV104" s="230">
        <v>-556718</v>
      </c>
      <c r="BW104" s="229">
        <v>-0.49340000000000001</v>
      </c>
      <c r="BX104" s="230">
        <v>12940625</v>
      </c>
      <c r="BY104" s="230">
        <v>12598750</v>
      </c>
      <c r="BZ104" s="230">
        <v>341875</v>
      </c>
      <c r="CA104" s="229">
        <v>2.7099999999999999E-2</v>
      </c>
      <c r="CB104" s="230">
        <v>12777500</v>
      </c>
      <c r="CC104" s="230">
        <v>12441250</v>
      </c>
      <c r="CD104" s="230">
        <v>336250</v>
      </c>
      <c r="CE104" s="229">
        <v>2.7E-2</v>
      </c>
      <c r="CF104" s="230">
        <v>147500</v>
      </c>
      <c r="CG104" s="230">
        <v>142500</v>
      </c>
      <c r="CH104" s="230">
        <v>5000</v>
      </c>
      <c r="CI104" s="229">
        <v>3.5099999999999999E-2</v>
      </c>
      <c r="CJ104" s="230">
        <v>15625</v>
      </c>
      <c r="CK104" s="230">
        <v>15000</v>
      </c>
      <c r="CL104" s="228">
        <v>625</v>
      </c>
      <c r="CM104" s="229">
        <v>4.1700000000000001E-2</v>
      </c>
      <c r="CN104" s="230">
        <v>4240625</v>
      </c>
      <c r="CO104" s="230">
        <v>4060000</v>
      </c>
      <c r="CP104" s="230">
        <v>180625</v>
      </c>
      <c r="CQ104" s="229">
        <v>4.4499999999999998E-2</v>
      </c>
      <c r="CR104" s="230">
        <v>4328750</v>
      </c>
      <c r="CS104" s="230">
        <v>3817500</v>
      </c>
      <c r="CT104" s="230">
        <v>511250</v>
      </c>
      <c r="CU104" s="229">
        <v>0.13389999999999999</v>
      </c>
      <c r="CV104" s="230">
        <v>21510000</v>
      </c>
      <c r="CW104" s="230">
        <v>20476250</v>
      </c>
      <c r="CX104" s="230">
        <v>1033750</v>
      </c>
      <c r="CY104" s="229">
        <v>5.0500000000000003E-2</v>
      </c>
      <c r="CZ104" s="228">
        <v>26.62</v>
      </c>
      <c r="DA104" s="228">
        <v>25.63</v>
      </c>
      <c r="DB104" s="228">
        <v>0.99</v>
      </c>
      <c r="DC104" s="228">
        <v>0.99</v>
      </c>
      <c r="DD104" s="228">
        <v>34.03</v>
      </c>
      <c r="DE104" s="228">
        <v>34.11</v>
      </c>
      <c r="DF104" s="228">
        <v>-7.41</v>
      </c>
      <c r="DG104" s="228">
        <v>-0.08</v>
      </c>
      <c r="DH104" s="228">
        <v>26.33</v>
      </c>
      <c r="DI104" s="228">
        <v>25.23</v>
      </c>
      <c r="DJ104" s="228">
        <v>1.1000000000000001</v>
      </c>
      <c r="DK104" s="228">
        <v>1.1000000000000001</v>
      </c>
      <c r="DL104" s="228">
        <v>26.87</v>
      </c>
      <c r="DM104" s="228">
        <v>26.39</v>
      </c>
      <c r="DN104" s="228">
        <v>0.48</v>
      </c>
      <c r="DO104" s="228">
        <v>0.48</v>
      </c>
      <c r="DP104" s="228">
        <v>1.02</v>
      </c>
      <c r="DQ104" s="228">
        <v>0.94</v>
      </c>
      <c r="DR104" s="228">
        <v>0.08</v>
      </c>
      <c r="DS104" s="229">
        <v>8.5099999999999995E-2</v>
      </c>
      <c r="DT104" s="231">
        <v>1100</v>
      </c>
      <c r="DU104" s="231">
        <v>1000</v>
      </c>
      <c r="DV104" s="228">
        <v>1.1200000000000001</v>
      </c>
      <c r="DW104" s="228">
        <v>0.52</v>
      </c>
      <c r="DX104" s="228">
        <v>0.6</v>
      </c>
      <c r="DY104" s="229">
        <v>1.1537999999999999</v>
      </c>
      <c r="DZ104" s="229">
        <v>1.26E-2</v>
      </c>
      <c r="EA104" s="230">
        <v>157500</v>
      </c>
      <c r="EB104" s="229">
        <v>5.8999999999999999E-3</v>
      </c>
      <c r="EC104" s="229">
        <v>1.26E-2</v>
      </c>
      <c r="ED104" s="228">
        <v>7.27</v>
      </c>
      <c r="EE104" s="229">
        <v>6.7000000000000002E-3</v>
      </c>
      <c r="EF104" s="230">
        <v>190940</v>
      </c>
      <c r="EG104" s="230">
        <v>473878</v>
      </c>
      <c r="EH104" s="229">
        <v>-0.59709999999999996</v>
      </c>
      <c r="EI104" s="229">
        <v>0.33410000000000001</v>
      </c>
      <c r="EJ104" s="231">
        <v>40913.61</v>
      </c>
      <c r="EK104" s="231">
        <v>43469.37</v>
      </c>
      <c r="EL104" s="231">
        <v>23404.400000000001</v>
      </c>
      <c r="EM104" s="231">
        <v>5369</v>
      </c>
      <c r="EN104" s="231">
        <v>107787.38</v>
      </c>
      <c r="EO104" s="231">
        <v>106051.97</v>
      </c>
      <c r="EP104" s="231">
        <v>1735.41</v>
      </c>
      <c r="EQ104" s="229">
        <v>1.6400000000000001E-2</v>
      </c>
      <c r="ER104" s="231">
        <v>46837</v>
      </c>
      <c r="ES104" s="231">
        <v>44117</v>
      </c>
      <c r="ET104" s="231">
        <v>139421</v>
      </c>
      <c r="EU104" s="231">
        <v>48257090</v>
      </c>
      <c r="EV104" s="231">
        <v>230375</v>
      </c>
      <c r="EW104" s="231">
        <v>220012</v>
      </c>
      <c r="EX104" s="231">
        <v>10363</v>
      </c>
      <c r="EY104" s="229">
        <v>4.7100000000000003E-2</v>
      </c>
      <c r="EZ104" s="229">
        <v>0.44569999999999999</v>
      </c>
      <c r="FA104" s="227" t="s">
        <v>567</v>
      </c>
      <c r="FB104" s="161">
        <f t="shared" si="1"/>
        <v>163125</v>
      </c>
    </row>
    <row r="105" spans="1:158" ht="17.25" hidden="1" thickBot="1" x14ac:dyDescent="0.3">
      <c r="A105" s="226">
        <v>46029</v>
      </c>
      <c r="B105" s="227" t="s">
        <v>175</v>
      </c>
      <c r="C105" s="227" t="s">
        <v>570</v>
      </c>
      <c r="D105" s="228">
        <v>2350</v>
      </c>
      <c r="E105" s="228">
        <v>305.10000000000002</v>
      </c>
      <c r="F105" s="228">
        <v>299.2</v>
      </c>
      <c r="G105" s="228">
        <v>5.9</v>
      </c>
      <c r="H105" s="229">
        <v>1.9699999999999999E-2</v>
      </c>
      <c r="I105" s="228">
        <v>303.5</v>
      </c>
      <c r="J105" s="228">
        <v>298.55</v>
      </c>
      <c r="K105" s="228">
        <v>4.95</v>
      </c>
      <c r="L105" s="229">
        <v>1.66E-2</v>
      </c>
      <c r="M105" s="228">
        <v>305.10000000000002</v>
      </c>
      <c r="N105" s="228">
        <v>299.2</v>
      </c>
      <c r="O105" s="228">
        <v>5.9</v>
      </c>
      <c r="P105" s="229">
        <v>1.9699999999999999E-2</v>
      </c>
      <c r="Q105" s="228">
        <v>306.8</v>
      </c>
      <c r="R105" s="228">
        <v>300.95</v>
      </c>
      <c r="S105" s="228">
        <v>5.85</v>
      </c>
      <c r="T105" s="229">
        <v>1.9400000000000001E-2</v>
      </c>
      <c r="U105" s="228">
        <v>308.7</v>
      </c>
      <c r="V105" s="228">
        <v>302.8</v>
      </c>
      <c r="W105" s="228">
        <v>5.9</v>
      </c>
      <c r="X105" s="229">
        <v>1.95E-2</v>
      </c>
      <c r="Y105" s="228">
        <v>1.6</v>
      </c>
      <c r="Z105" s="228">
        <v>0.65</v>
      </c>
      <c r="AA105" s="228">
        <v>0.95</v>
      </c>
      <c r="AB105" s="229">
        <v>5.3E-3</v>
      </c>
      <c r="AC105" s="228">
        <v>1.6</v>
      </c>
      <c r="AD105" s="228">
        <v>0.65</v>
      </c>
      <c r="AE105" s="228">
        <v>0.95</v>
      </c>
      <c r="AF105" s="229">
        <v>5.3E-3</v>
      </c>
      <c r="AG105" s="228">
        <v>3.3</v>
      </c>
      <c r="AH105" s="228">
        <v>2.4</v>
      </c>
      <c r="AI105" s="228">
        <v>0.9</v>
      </c>
      <c r="AJ105" s="229">
        <v>1.09E-2</v>
      </c>
      <c r="AK105" s="228">
        <v>5.2</v>
      </c>
      <c r="AL105" s="228">
        <v>4.25</v>
      </c>
      <c r="AM105" s="228">
        <v>0.95</v>
      </c>
      <c r="AN105" s="229">
        <v>1.7100000000000001E-2</v>
      </c>
      <c r="AO105" s="228">
        <v>304.62</v>
      </c>
      <c r="AP105" s="228">
        <v>306.01</v>
      </c>
      <c r="AQ105" s="228">
        <v>0</v>
      </c>
      <c r="AR105" s="230">
        <v>40570400</v>
      </c>
      <c r="AS105" s="230">
        <v>23577550</v>
      </c>
      <c r="AT105" s="230">
        <v>16992850</v>
      </c>
      <c r="AU105" s="229">
        <v>0.72070000000000001</v>
      </c>
      <c r="AV105" s="230">
        <v>37200500</v>
      </c>
      <c r="AW105" s="230">
        <v>21330950</v>
      </c>
      <c r="AX105" s="230">
        <v>15869550</v>
      </c>
      <c r="AY105" s="229">
        <v>0.74399999999999999</v>
      </c>
      <c r="AZ105" s="230">
        <v>2930450</v>
      </c>
      <c r="BA105" s="230">
        <v>1710800</v>
      </c>
      <c r="BB105" s="230">
        <v>1219650</v>
      </c>
      <c r="BC105" s="229">
        <v>0.71289999999999998</v>
      </c>
      <c r="BD105" s="230">
        <v>439450</v>
      </c>
      <c r="BE105" s="230">
        <v>535800</v>
      </c>
      <c r="BF105" s="230">
        <v>-96350</v>
      </c>
      <c r="BG105" s="229">
        <v>-0.17979999999999999</v>
      </c>
      <c r="BH105" s="230">
        <v>132518850</v>
      </c>
      <c r="BI105" s="230">
        <v>63414750</v>
      </c>
      <c r="BJ105" s="230">
        <v>69104100</v>
      </c>
      <c r="BK105" s="229">
        <v>1.0896999999999999</v>
      </c>
      <c r="BL105" s="230">
        <v>40697300</v>
      </c>
      <c r="BM105" s="230">
        <v>29351500</v>
      </c>
      <c r="BN105" s="230">
        <v>11345800</v>
      </c>
      <c r="BO105" s="229">
        <v>0.38650000000000001</v>
      </c>
      <c r="BP105" s="230">
        <v>213786550</v>
      </c>
      <c r="BQ105" s="230">
        <v>116343800</v>
      </c>
      <c r="BR105" s="230">
        <v>97442750</v>
      </c>
      <c r="BS105" s="229">
        <v>0.83750000000000002</v>
      </c>
      <c r="BT105" s="230">
        <v>21013924</v>
      </c>
      <c r="BU105" s="230">
        <v>11332642</v>
      </c>
      <c r="BV105" s="230">
        <v>9681282</v>
      </c>
      <c r="BW105" s="229">
        <v>0.85429999999999995</v>
      </c>
      <c r="BX105" s="230">
        <v>159872850</v>
      </c>
      <c r="BY105" s="230">
        <v>156648650</v>
      </c>
      <c r="BZ105" s="230">
        <v>3224200</v>
      </c>
      <c r="CA105" s="229">
        <v>2.06E-2</v>
      </c>
      <c r="CB105" s="230">
        <v>152129600</v>
      </c>
      <c r="CC105" s="230">
        <v>149199150</v>
      </c>
      <c r="CD105" s="230">
        <v>2930450</v>
      </c>
      <c r="CE105" s="229">
        <v>1.9599999999999999E-2</v>
      </c>
      <c r="CF105" s="230">
        <v>7207450</v>
      </c>
      <c r="CG105" s="230">
        <v>6845550</v>
      </c>
      <c r="CH105" s="230">
        <v>361900</v>
      </c>
      <c r="CI105" s="229">
        <v>5.2900000000000003E-2</v>
      </c>
      <c r="CJ105" s="230">
        <v>535800</v>
      </c>
      <c r="CK105" s="230">
        <v>603950</v>
      </c>
      <c r="CL105" s="230">
        <v>-68150</v>
      </c>
      <c r="CM105" s="229">
        <v>-0.1128</v>
      </c>
      <c r="CN105" s="230">
        <v>54313200</v>
      </c>
      <c r="CO105" s="230">
        <v>53030100</v>
      </c>
      <c r="CP105" s="230">
        <v>1283100</v>
      </c>
      <c r="CQ105" s="229">
        <v>2.4199999999999999E-2</v>
      </c>
      <c r="CR105" s="230">
        <v>42032100</v>
      </c>
      <c r="CS105" s="230">
        <v>40227300</v>
      </c>
      <c r="CT105" s="230">
        <v>1804800</v>
      </c>
      <c r="CU105" s="229">
        <v>4.4900000000000002E-2</v>
      </c>
      <c r="CV105" s="230">
        <v>256218150</v>
      </c>
      <c r="CW105" s="230">
        <v>249906050</v>
      </c>
      <c r="CX105" s="230">
        <v>6312100</v>
      </c>
      <c r="CY105" s="229">
        <v>2.53E-2</v>
      </c>
      <c r="CZ105" s="228">
        <v>26.52</v>
      </c>
      <c r="DA105" s="228">
        <v>25.77</v>
      </c>
      <c r="DB105" s="228">
        <v>0.75</v>
      </c>
      <c r="DC105" s="228">
        <v>0.75</v>
      </c>
      <c r="DD105" s="228">
        <v>33.26</v>
      </c>
      <c r="DE105" s="228">
        <v>33.24</v>
      </c>
      <c r="DF105" s="228">
        <v>-6.74</v>
      </c>
      <c r="DG105" s="228">
        <v>0.02</v>
      </c>
      <c r="DH105" s="228">
        <v>26.62</v>
      </c>
      <c r="DI105" s="228">
        <v>25.76</v>
      </c>
      <c r="DJ105" s="228">
        <v>0.86</v>
      </c>
      <c r="DK105" s="228">
        <v>0.86</v>
      </c>
      <c r="DL105" s="228">
        <v>26.18</v>
      </c>
      <c r="DM105" s="228">
        <v>25.8</v>
      </c>
      <c r="DN105" s="228">
        <v>0.38</v>
      </c>
      <c r="DO105" s="228">
        <v>0.38</v>
      </c>
      <c r="DP105" s="228">
        <v>0.77</v>
      </c>
      <c r="DQ105" s="228">
        <v>0.76</v>
      </c>
      <c r="DR105" s="228">
        <v>0.01</v>
      </c>
      <c r="DS105" s="229">
        <v>1.32E-2</v>
      </c>
      <c r="DT105" s="228">
        <v>310</v>
      </c>
      <c r="DU105" s="228">
        <v>290</v>
      </c>
      <c r="DV105" s="228">
        <v>0.31</v>
      </c>
      <c r="DW105" s="228">
        <v>0.46</v>
      </c>
      <c r="DX105" s="228">
        <v>-0.15</v>
      </c>
      <c r="DY105" s="229">
        <v>-0.3261</v>
      </c>
      <c r="DZ105" s="229">
        <v>4.8399999999999999E-2</v>
      </c>
      <c r="EA105" s="230">
        <v>7449500</v>
      </c>
      <c r="EB105" s="229">
        <v>5.5999999999999999E-3</v>
      </c>
      <c r="EC105" s="229">
        <v>4.8399999999999999E-2</v>
      </c>
      <c r="ED105" s="228">
        <v>1.39</v>
      </c>
      <c r="EE105" s="229">
        <v>4.5999999999999999E-3</v>
      </c>
      <c r="EF105" s="230">
        <v>12141949</v>
      </c>
      <c r="EG105" s="230">
        <v>4967401</v>
      </c>
      <c r="EH105" s="229">
        <v>1.4442999999999999</v>
      </c>
      <c r="EI105" s="229">
        <v>0.57779999999999998</v>
      </c>
      <c r="EJ105" s="231">
        <v>421424.43</v>
      </c>
      <c r="EK105" s="231">
        <v>122413.41</v>
      </c>
      <c r="EL105" s="231">
        <v>123639.75</v>
      </c>
      <c r="EM105" s="231">
        <v>7068</v>
      </c>
      <c r="EN105" s="231">
        <v>667477.59</v>
      </c>
      <c r="EO105" s="231">
        <v>356701.37</v>
      </c>
      <c r="EP105" s="231">
        <v>310776.21999999997</v>
      </c>
      <c r="EQ105" s="229">
        <v>0.87129999999999996</v>
      </c>
      <c r="ER105" s="231">
        <v>170834</v>
      </c>
      <c r="ES105" s="231">
        <v>126341</v>
      </c>
      <c r="ET105" s="231">
        <v>487914</v>
      </c>
      <c r="EU105" s="231">
        <v>355358091</v>
      </c>
      <c r="EV105" s="231">
        <v>785088</v>
      </c>
      <c r="EW105" s="231">
        <v>756420</v>
      </c>
      <c r="EX105" s="231">
        <v>28668</v>
      </c>
      <c r="EY105" s="229">
        <v>3.7900000000000003E-2</v>
      </c>
      <c r="EZ105" s="229">
        <v>0.72099999999999997</v>
      </c>
      <c r="FA105" s="227" t="s">
        <v>555</v>
      </c>
      <c r="FB105" s="161">
        <f t="shared" si="1"/>
        <v>7743250</v>
      </c>
    </row>
    <row r="106" spans="1:158" ht="17.25" hidden="1" thickBot="1" x14ac:dyDescent="0.3">
      <c r="A106" s="226">
        <v>46029</v>
      </c>
      <c r="B106" s="227" t="s">
        <v>161</v>
      </c>
      <c r="C106" s="227" t="s">
        <v>580</v>
      </c>
      <c r="D106" s="228">
        <v>1000</v>
      </c>
      <c r="E106" s="228">
        <v>513.6</v>
      </c>
      <c r="F106" s="228">
        <v>516.70000000000005</v>
      </c>
      <c r="G106" s="228">
        <v>-3.1</v>
      </c>
      <c r="H106" s="229">
        <v>-6.0000000000000001E-3</v>
      </c>
      <c r="I106" s="228">
        <v>512.6</v>
      </c>
      <c r="J106" s="228">
        <v>514.85</v>
      </c>
      <c r="K106" s="228">
        <v>-2.25</v>
      </c>
      <c r="L106" s="229">
        <v>-4.4000000000000003E-3</v>
      </c>
      <c r="M106" s="228">
        <v>513.6</v>
      </c>
      <c r="N106" s="228">
        <v>516.70000000000005</v>
      </c>
      <c r="O106" s="228">
        <v>-3.1</v>
      </c>
      <c r="P106" s="229">
        <v>-6.0000000000000001E-3</v>
      </c>
      <c r="Q106" s="228">
        <v>516.79999999999995</v>
      </c>
      <c r="R106" s="228">
        <v>518.79999999999995</v>
      </c>
      <c r="S106" s="228">
        <v>-2</v>
      </c>
      <c r="T106" s="229">
        <v>-3.8999999999999998E-3</v>
      </c>
      <c r="U106" s="228">
        <v>518.15</v>
      </c>
      <c r="V106" s="228">
        <v>522</v>
      </c>
      <c r="W106" s="228">
        <v>-3.85</v>
      </c>
      <c r="X106" s="229">
        <v>-7.4000000000000003E-3</v>
      </c>
      <c r="Y106" s="228">
        <v>1</v>
      </c>
      <c r="Z106" s="228">
        <v>1.85</v>
      </c>
      <c r="AA106" s="228">
        <v>-0.85</v>
      </c>
      <c r="AB106" s="229">
        <v>2E-3</v>
      </c>
      <c r="AC106" s="228">
        <v>1</v>
      </c>
      <c r="AD106" s="228">
        <v>1.85</v>
      </c>
      <c r="AE106" s="228">
        <v>-0.85</v>
      </c>
      <c r="AF106" s="229">
        <v>2E-3</v>
      </c>
      <c r="AG106" s="228">
        <v>4.2</v>
      </c>
      <c r="AH106" s="228">
        <v>3.95</v>
      </c>
      <c r="AI106" s="228">
        <v>0.25</v>
      </c>
      <c r="AJ106" s="229">
        <v>8.2000000000000007E-3</v>
      </c>
      <c r="AK106" s="228">
        <v>5.55</v>
      </c>
      <c r="AL106" s="228">
        <v>7.15</v>
      </c>
      <c r="AM106" s="228">
        <v>-1.6</v>
      </c>
      <c r="AN106" s="229">
        <v>1.0800000000000001E-2</v>
      </c>
      <c r="AO106" s="228">
        <v>513.70000000000005</v>
      </c>
      <c r="AP106" s="228">
        <v>516.14</v>
      </c>
      <c r="AQ106" s="228">
        <v>0</v>
      </c>
      <c r="AR106" s="230">
        <v>2736000</v>
      </c>
      <c r="AS106" s="230">
        <v>2806000</v>
      </c>
      <c r="AT106" s="230">
        <v>-70000</v>
      </c>
      <c r="AU106" s="229">
        <v>-2.4899999999999999E-2</v>
      </c>
      <c r="AV106" s="230">
        <v>2623000</v>
      </c>
      <c r="AW106" s="230">
        <v>2763000</v>
      </c>
      <c r="AX106" s="230">
        <v>-140000</v>
      </c>
      <c r="AY106" s="229">
        <v>-5.0700000000000002E-2</v>
      </c>
      <c r="AZ106" s="230">
        <v>109000</v>
      </c>
      <c r="BA106" s="230">
        <v>36000</v>
      </c>
      <c r="BB106" s="230">
        <v>73000</v>
      </c>
      <c r="BC106" s="229">
        <v>2.0278</v>
      </c>
      <c r="BD106" s="230">
        <v>4000</v>
      </c>
      <c r="BE106" s="230">
        <v>7000</v>
      </c>
      <c r="BF106" s="230">
        <v>-3000</v>
      </c>
      <c r="BG106" s="229">
        <v>-0.42859999999999998</v>
      </c>
      <c r="BH106" s="230">
        <v>3321000</v>
      </c>
      <c r="BI106" s="230">
        <v>4411000</v>
      </c>
      <c r="BJ106" s="230">
        <v>-1090000</v>
      </c>
      <c r="BK106" s="229">
        <v>-0.24709999999999999</v>
      </c>
      <c r="BL106" s="230">
        <v>2469000</v>
      </c>
      <c r="BM106" s="230">
        <v>2693000</v>
      </c>
      <c r="BN106" s="230">
        <v>-224000</v>
      </c>
      <c r="BO106" s="229">
        <v>-8.3199999999999996E-2</v>
      </c>
      <c r="BP106" s="230">
        <v>8526000</v>
      </c>
      <c r="BQ106" s="230">
        <v>9910000</v>
      </c>
      <c r="BR106" s="230">
        <v>-1384000</v>
      </c>
      <c r="BS106" s="229">
        <v>-0.13969999999999999</v>
      </c>
      <c r="BT106" s="230">
        <v>1325355</v>
      </c>
      <c r="BU106" s="230">
        <v>1675883</v>
      </c>
      <c r="BV106" s="230">
        <v>-350528</v>
      </c>
      <c r="BW106" s="229">
        <v>-0.2092</v>
      </c>
      <c r="BX106" s="230">
        <v>38011000</v>
      </c>
      <c r="BY106" s="230">
        <v>38560000</v>
      </c>
      <c r="BZ106" s="230">
        <v>-549000</v>
      </c>
      <c r="CA106" s="229">
        <v>-1.4200000000000001E-2</v>
      </c>
      <c r="CB106" s="230">
        <v>37628000</v>
      </c>
      <c r="CC106" s="230">
        <v>38185000</v>
      </c>
      <c r="CD106" s="230">
        <v>-557000</v>
      </c>
      <c r="CE106" s="229">
        <v>-1.46E-2</v>
      </c>
      <c r="CF106" s="230">
        <v>347000</v>
      </c>
      <c r="CG106" s="230">
        <v>339000</v>
      </c>
      <c r="CH106" s="230">
        <v>8000</v>
      </c>
      <c r="CI106" s="229">
        <v>2.3599999999999999E-2</v>
      </c>
      <c r="CJ106" s="230">
        <v>36000</v>
      </c>
      <c r="CK106" s="230">
        <v>36000</v>
      </c>
      <c r="CL106" s="228">
        <v>0</v>
      </c>
      <c r="CM106" s="229">
        <v>0</v>
      </c>
      <c r="CN106" s="230">
        <v>6900000</v>
      </c>
      <c r="CO106" s="230">
        <v>6552000</v>
      </c>
      <c r="CP106" s="230">
        <v>348000</v>
      </c>
      <c r="CQ106" s="229">
        <v>5.3100000000000001E-2</v>
      </c>
      <c r="CR106" s="230">
        <v>7126000</v>
      </c>
      <c r="CS106" s="230">
        <v>6954000</v>
      </c>
      <c r="CT106" s="230">
        <v>172000</v>
      </c>
      <c r="CU106" s="229">
        <v>2.47E-2</v>
      </c>
      <c r="CV106" s="230">
        <v>52037000</v>
      </c>
      <c r="CW106" s="230">
        <v>52066000</v>
      </c>
      <c r="CX106" s="230">
        <v>-29000</v>
      </c>
      <c r="CY106" s="229">
        <v>-5.9999999999999995E-4</v>
      </c>
      <c r="CZ106" s="228">
        <v>28.91</v>
      </c>
      <c r="DA106" s="228">
        <v>27.88</v>
      </c>
      <c r="DB106" s="228">
        <v>1.03</v>
      </c>
      <c r="DC106" s="228">
        <v>1.03</v>
      </c>
      <c r="DD106" s="228">
        <v>42.39</v>
      </c>
      <c r="DE106" s="228">
        <v>42.49</v>
      </c>
      <c r="DF106" s="228">
        <v>-13.48</v>
      </c>
      <c r="DG106" s="228">
        <v>-0.1</v>
      </c>
      <c r="DH106" s="228">
        <v>28.93</v>
      </c>
      <c r="DI106" s="228">
        <v>27.62</v>
      </c>
      <c r="DJ106" s="228">
        <v>1.31</v>
      </c>
      <c r="DK106" s="228">
        <v>1.31</v>
      </c>
      <c r="DL106" s="228">
        <v>28.87</v>
      </c>
      <c r="DM106" s="228">
        <v>28.31</v>
      </c>
      <c r="DN106" s="228">
        <v>0.56000000000000005</v>
      </c>
      <c r="DO106" s="228">
        <v>0.56000000000000005</v>
      </c>
      <c r="DP106" s="228">
        <v>1.03</v>
      </c>
      <c r="DQ106" s="228">
        <v>1.06</v>
      </c>
      <c r="DR106" s="228">
        <v>-0.03</v>
      </c>
      <c r="DS106" s="229">
        <v>-2.8299999999999999E-2</v>
      </c>
      <c r="DT106" s="228">
        <v>530</v>
      </c>
      <c r="DU106" s="228">
        <v>530</v>
      </c>
      <c r="DV106" s="228">
        <v>0.74</v>
      </c>
      <c r="DW106" s="228">
        <v>0.61</v>
      </c>
      <c r="DX106" s="228">
        <v>0.13</v>
      </c>
      <c r="DY106" s="229">
        <v>0.21310000000000001</v>
      </c>
      <c r="DZ106" s="229">
        <v>1.01E-2</v>
      </c>
      <c r="EA106" s="230">
        <v>375000</v>
      </c>
      <c r="EB106" s="229">
        <v>6.1999999999999998E-3</v>
      </c>
      <c r="EC106" s="229">
        <v>1.01E-2</v>
      </c>
      <c r="ED106" s="228">
        <v>2.44</v>
      </c>
      <c r="EE106" s="229">
        <v>4.7000000000000002E-3</v>
      </c>
      <c r="EF106" s="230">
        <v>551928</v>
      </c>
      <c r="EG106" s="230">
        <v>700742</v>
      </c>
      <c r="EH106" s="229">
        <v>-0.21240000000000001</v>
      </c>
      <c r="EI106" s="229">
        <v>0.41639999999999999</v>
      </c>
      <c r="EJ106" s="231">
        <v>17917.55</v>
      </c>
      <c r="EK106" s="231">
        <v>12442.93</v>
      </c>
      <c r="EL106" s="231">
        <v>14057.6</v>
      </c>
      <c r="EM106" s="231">
        <v>4736</v>
      </c>
      <c r="EN106" s="231">
        <v>44418.080000000002</v>
      </c>
      <c r="EO106" s="231">
        <v>52013.75</v>
      </c>
      <c r="EP106" s="231">
        <v>-7595.67</v>
      </c>
      <c r="EQ106" s="229">
        <v>-0.14599999999999999</v>
      </c>
      <c r="ER106" s="231">
        <v>35864</v>
      </c>
      <c r="ES106" s="231">
        <v>35380</v>
      </c>
      <c r="ET106" s="231">
        <v>195237</v>
      </c>
      <c r="EU106" s="231">
        <v>80385888</v>
      </c>
      <c r="EV106" s="231">
        <v>266481</v>
      </c>
      <c r="EW106" s="231">
        <v>267696</v>
      </c>
      <c r="EX106" s="231">
        <v>-1215</v>
      </c>
      <c r="EY106" s="229">
        <v>-4.4999999999999997E-3</v>
      </c>
      <c r="EZ106" s="229">
        <v>0.64729999999999999</v>
      </c>
      <c r="FA106" s="227" t="s">
        <v>568</v>
      </c>
      <c r="FB106" s="161">
        <f t="shared" si="1"/>
        <v>383000</v>
      </c>
    </row>
    <row r="107" spans="1:158" ht="17.25" hidden="1" thickBot="1" x14ac:dyDescent="0.3">
      <c r="A107" s="226">
        <v>46029</v>
      </c>
      <c r="B107" s="227" t="s">
        <v>227</v>
      </c>
      <c r="C107" s="227" t="s">
        <v>244</v>
      </c>
      <c r="D107" s="228">
        <v>675</v>
      </c>
      <c r="E107" s="231">
        <v>1192.4000000000001</v>
      </c>
      <c r="F107" s="231">
        <v>1181.7</v>
      </c>
      <c r="G107" s="228">
        <v>10.7</v>
      </c>
      <c r="H107" s="229">
        <v>9.1000000000000004E-3</v>
      </c>
      <c r="I107" s="231">
        <v>1189.8</v>
      </c>
      <c r="J107" s="231">
        <v>1176.3</v>
      </c>
      <c r="K107" s="228">
        <v>13.5</v>
      </c>
      <c r="L107" s="229">
        <v>1.15E-2</v>
      </c>
      <c r="M107" s="231">
        <v>1192.4000000000001</v>
      </c>
      <c r="N107" s="231">
        <v>1181.7</v>
      </c>
      <c r="O107" s="228">
        <v>10.7</v>
      </c>
      <c r="P107" s="229">
        <v>9.1000000000000004E-3</v>
      </c>
      <c r="Q107" s="231">
        <v>1199.7</v>
      </c>
      <c r="R107" s="231">
        <v>1190.4000000000001</v>
      </c>
      <c r="S107" s="228">
        <v>9.3000000000000007</v>
      </c>
      <c r="T107" s="229">
        <v>7.7999999999999996E-3</v>
      </c>
      <c r="U107" s="231">
        <v>1205</v>
      </c>
      <c r="V107" s="231">
        <v>1191.2</v>
      </c>
      <c r="W107" s="228">
        <v>13.8</v>
      </c>
      <c r="X107" s="229">
        <v>1.1599999999999999E-2</v>
      </c>
      <c r="Y107" s="228">
        <v>2.6</v>
      </c>
      <c r="Z107" s="228">
        <v>5.4</v>
      </c>
      <c r="AA107" s="228">
        <v>-2.8</v>
      </c>
      <c r="AB107" s="229">
        <v>2.2000000000000001E-3</v>
      </c>
      <c r="AC107" s="228">
        <v>2.6</v>
      </c>
      <c r="AD107" s="228">
        <v>5.4</v>
      </c>
      <c r="AE107" s="228">
        <v>-2.8</v>
      </c>
      <c r="AF107" s="229">
        <v>2.2000000000000001E-3</v>
      </c>
      <c r="AG107" s="228">
        <v>9.9</v>
      </c>
      <c r="AH107" s="228">
        <v>14.1</v>
      </c>
      <c r="AI107" s="228">
        <v>-4.2</v>
      </c>
      <c r="AJ107" s="229">
        <v>8.3000000000000001E-3</v>
      </c>
      <c r="AK107" s="228">
        <v>15.2</v>
      </c>
      <c r="AL107" s="228">
        <v>14.9</v>
      </c>
      <c r="AM107" s="228">
        <v>0.3</v>
      </c>
      <c r="AN107" s="229">
        <v>1.2800000000000001E-2</v>
      </c>
      <c r="AO107" s="231">
        <v>1186.69</v>
      </c>
      <c r="AP107" s="231">
        <v>1193.73</v>
      </c>
      <c r="AQ107" s="228">
        <v>0</v>
      </c>
      <c r="AR107" s="230">
        <v>3721950</v>
      </c>
      <c r="AS107" s="230">
        <v>5653125</v>
      </c>
      <c r="AT107" s="230">
        <v>-1931175</v>
      </c>
      <c r="AU107" s="229">
        <v>-0.34160000000000001</v>
      </c>
      <c r="AV107" s="230">
        <v>3649050</v>
      </c>
      <c r="AW107" s="230">
        <v>5557950</v>
      </c>
      <c r="AX107" s="230">
        <v>-1908900</v>
      </c>
      <c r="AY107" s="229">
        <v>-0.34350000000000003</v>
      </c>
      <c r="AZ107" s="230">
        <v>66150</v>
      </c>
      <c r="BA107" s="230">
        <v>87750</v>
      </c>
      <c r="BB107" s="230">
        <v>-21600</v>
      </c>
      <c r="BC107" s="229">
        <v>-0.2462</v>
      </c>
      <c r="BD107" s="230">
        <v>6750</v>
      </c>
      <c r="BE107" s="230">
        <v>7425</v>
      </c>
      <c r="BF107" s="228">
        <v>-675</v>
      </c>
      <c r="BG107" s="229">
        <v>-9.0899999999999995E-2</v>
      </c>
      <c r="BH107" s="230">
        <v>5875200</v>
      </c>
      <c r="BI107" s="230">
        <v>9684900</v>
      </c>
      <c r="BJ107" s="230">
        <v>-3809700</v>
      </c>
      <c r="BK107" s="229">
        <v>-0.39340000000000003</v>
      </c>
      <c r="BL107" s="230">
        <v>4738500</v>
      </c>
      <c r="BM107" s="230">
        <v>10111500</v>
      </c>
      <c r="BN107" s="230">
        <v>-5373000</v>
      </c>
      <c r="BO107" s="229">
        <v>-0.53139999999999998</v>
      </c>
      <c r="BP107" s="230">
        <v>14335650</v>
      </c>
      <c r="BQ107" s="230">
        <v>25449525</v>
      </c>
      <c r="BR107" s="230">
        <v>-11113875</v>
      </c>
      <c r="BS107" s="229">
        <v>-0.43669999999999998</v>
      </c>
      <c r="BT107" s="230">
        <v>1201247</v>
      </c>
      <c r="BU107" s="230">
        <v>1440932</v>
      </c>
      <c r="BV107" s="230">
        <v>-239685</v>
      </c>
      <c r="BW107" s="229">
        <v>-0.1663</v>
      </c>
      <c r="BX107" s="230">
        <v>49878450</v>
      </c>
      <c r="BY107" s="230">
        <v>49751550</v>
      </c>
      <c r="BZ107" s="230">
        <v>126900</v>
      </c>
      <c r="CA107" s="229">
        <v>2.5999999999999999E-3</v>
      </c>
      <c r="CB107" s="230">
        <v>49511925</v>
      </c>
      <c r="CC107" s="230">
        <v>49385025</v>
      </c>
      <c r="CD107" s="230">
        <v>126900</v>
      </c>
      <c r="CE107" s="229">
        <v>2.5999999999999999E-3</v>
      </c>
      <c r="CF107" s="230">
        <v>323325</v>
      </c>
      <c r="CG107" s="230">
        <v>323325</v>
      </c>
      <c r="CH107" s="228">
        <v>0</v>
      </c>
      <c r="CI107" s="229">
        <v>0</v>
      </c>
      <c r="CJ107" s="230">
        <v>43200</v>
      </c>
      <c r="CK107" s="230">
        <v>43200</v>
      </c>
      <c r="CL107" s="228">
        <v>0</v>
      </c>
      <c r="CM107" s="229">
        <v>0</v>
      </c>
      <c r="CN107" s="230">
        <v>9001800</v>
      </c>
      <c r="CO107" s="230">
        <v>8939025</v>
      </c>
      <c r="CP107" s="230">
        <v>62775</v>
      </c>
      <c r="CQ107" s="229">
        <v>7.0000000000000001E-3</v>
      </c>
      <c r="CR107" s="230">
        <v>8723700</v>
      </c>
      <c r="CS107" s="230">
        <v>8308575</v>
      </c>
      <c r="CT107" s="230">
        <v>415125</v>
      </c>
      <c r="CU107" s="229">
        <v>0.05</v>
      </c>
      <c r="CV107" s="230">
        <v>67603950</v>
      </c>
      <c r="CW107" s="230">
        <v>66999150</v>
      </c>
      <c r="CX107" s="230">
        <v>604800</v>
      </c>
      <c r="CY107" s="229">
        <v>8.9999999999999993E-3</v>
      </c>
      <c r="CZ107" s="228">
        <v>24.59</v>
      </c>
      <c r="DA107" s="228">
        <v>24.39</v>
      </c>
      <c r="DB107" s="228">
        <v>0.2</v>
      </c>
      <c r="DC107" s="228">
        <v>0.2</v>
      </c>
      <c r="DD107" s="228">
        <v>29.24</v>
      </c>
      <c r="DE107" s="228">
        <v>29.29</v>
      </c>
      <c r="DF107" s="228">
        <v>-4.6500000000000004</v>
      </c>
      <c r="DG107" s="228">
        <v>-0.05</v>
      </c>
      <c r="DH107" s="228">
        <v>24.12</v>
      </c>
      <c r="DI107" s="228">
        <v>24.08</v>
      </c>
      <c r="DJ107" s="228">
        <v>0.04</v>
      </c>
      <c r="DK107" s="228">
        <v>0.04</v>
      </c>
      <c r="DL107" s="228">
        <v>25.18</v>
      </c>
      <c r="DM107" s="228">
        <v>24.69</v>
      </c>
      <c r="DN107" s="228">
        <v>0.49</v>
      </c>
      <c r="DO107" s="228">
        <v>0.49</v>
      </c>
      <c r="DP107" s="228">
        <v>0.97</v>
      </c>
      <c r="DQ107" s="228">
        <v>0.93</v>
      </c>
      <c r="DR107" s="228">
        <v>0.04</v>
      </c>
      <c r="DS107" s="229">
        <v>4.2999999999999997E-2</v>
      </c>
      <c r="DT107" s="231">
        <v>1160</v>
      </c>
      <c r="DU107" s="231">
        <v>1100</v>
      </c>
      <c r="DV107" s="228">
        <v>0.81</v>
      </c>
      <c r="DW107" s="228">
        <v>1.04</v>
      </c>
      <c r="DX107" s="228">
        <v>-0.23</v>
      </c>
      <c r="DY107" s="229">
        <v>-0.22120000000000001</v>
      </c>
      <c r="DZ107" s="229">
        <v>7.3000000000000001E-3</v>
      </c>
      <c r="EA107" s="230">
        <v>366525</v>
      </c>
      <c r="EB107" s="229">
        <v>6.1000000000000004E-3</v>
      </c>
      <c r="EC107" s="229">
        <v>7.3000000000000001E-3</v>
      </c>
      <c r="ED107" s="228">
        <v>7.04</v>
      </c>
      <c r="EE107" s="229">
        <v>5.8999999999999999E-3</v>
      </c>
      <c r="EF107" s="230">
        <v>722818</v>
      </c>
      <c r="EG107" s="230">
        <v>656596</v>
      </c>
      <c r="EH107" s="229">
        <v>0.1009</v>
      </c>
      <c r="EI107" s="229">
        <v>0.60170000000000001</v>
      </c>
      <c r="EJ107" s="231">
        <v>72469.42</v>
      </c>
      <c r="EK107" s="231">
        <v>54961.51</v>
      </c>
      <c r="EL107" s="231">
        <v>44173.82</v>
      </c>
      <c r="EM107" s="231">
        <v>8396</v>
      </c>
      <c r="EN107" s="231">
        <v>171604.75</v>
      </c>
      <c r="EO107" s="231">
        <v>303538</v>
      </c>
      <c r="EP107" s="231">
        <v>-131933.25</v>
      </c>
      <c r="EQ107" s="229">
        <v>-0.43469999999999998</v>
      </c>
      <c r="ER107" s="231">
        <v>106691</v>
      </c>
      <c r="ES107" s="231">
        <v>97517</v>
      </c>
      <c r="ET107" s="231">
        <v>594780</v>
      </c>
      <c r="EU107" s="231">
        <v>133434355</v>
      </c>
      <c r="EV107" s="231">
        <v>798987</v>
      </c>
      <c r="EW107" s="231">
        <v>786464</v>
      </c>
      <c r="EX107" s="231">
        <v>12523</v>
      </c>
      <c r="EY107" s="229">
        <v>1.5900000000000001E-2</v>
      </c>
      <c r="EZ107" s="229">
        <v>0.50660000000000005</v>
      </c>
      <c r="FA107" s="227" t="s">
        <v>555</v>
      </c>
      <c r="FB107" s="161">
        <f t="shared" si="1"/>
        <v>366525</v>
      </c>
    </row>
    <row r="108" spans="1:158" ht="17.25" hidden="1" thickBot="1" x14ac:dyDescent="0.3">
      <c r="A108" s="226">
        <v>46029</v>
      </c>
      <c r="B108" s="227" t="s">
        <v>168</v>
      </c>
      <c r="C108" s="227" t="s">
        <v>245</v>
      </c>
      <c r="D108" s="228">
        <v>1250</v>
      </c>
      <c r="E108" s="228">
        <v>539.45000000000005</v>
      </c>
      <c r="F108" s="228">
        <v>545.54999999999995</v>
      </c>
      <c r="G108" s="228">
        <v>-6.1</v>
      </c>
      <c r="H108" s="229">
        <v>-1.12E-2</v>
      </c>
      <c r="I108" s="228">
        <v>537.4</v>
      </c>
      <c r="J108" s="228">
        <v>546.5</v>
      </c>
      <c r="K108" s="228">
        <v>-9.1</v>
      </c>
      <c r="L108" s="229">
        <v>-1.67E-2</v>
      </c>
      <c r="M108" s="228">
        <v>539.45000000000005</v>
      </c>
      <c r="N108" s="228">
        <v>545.54999999999995</v>
      </c>
      <c r="O108" s="228">
        <v>-6.1</v>
      </c>
      <c r="P108" s="229">
        <v>-1.12E-2</v>
      </c>
      <c r="Q108" s="228">
        <v>537.54999999999995</v>
      </c>
      <c r="R108" s="228">
        <v>543.29999999999995</v>
      </c>
      <c r="S108" s="228">
        <v>-5.75</v>
      </c>
      <c r="T108" s="229">
        <v>-1.06E-2</v>
      </c>
      <c r="U108" s="228">
        <v>536.6</v>
      </c>
      <c r="V108" s="228">
        <v>542.65</v>
      </c>
      <c r="W108" s="228">
        <v>-6.05</v>
      </c>
      <c r="X108" s="229">
        <v>-1.11E-2</v>
      </c>
      <c r="Y108" s="228">
        <v>2.0499999999999998</v>
      </c>
      <c r="Z108" s="228">
        <v>-0.95</v>
      </c>
      <c r="AA108" s="228">
        <v>3</v>
      </c>
      <c r="AB108" s="229">
        <v>3.8E-3</v>
      </c>
      <c r="AC108" s="228">
        <v>2.0499999999999998</v>
      </c>
      <c r="AD108" s="228">
        <v>-0.95</v>
      </c>
      <c r="AE108" s="228">
        <v>3</v>
      </c>
      <c r="AF108" s="229">
        <v>3.8E-3</v>
      </c>
      <c r="AG108" s="228">
        <v>0.15</v>
      </c>
      <c r="AH108" s="228">
        <v>-3.2</v>
      </c>
      <c r="AI108" s="228">
        <v>3.35</v>
      </c>
      <c r="AJ108" s="229">
        <v>2.9999999999999997E-4</v>
      </c>
      <c r="AK108" s="228">
        <v>-0.8</v>
      </c>
      <c r="AL108" s="228">
        <v>-3.85</v>
      </c>
      <c r="AM108" s="228">
        <v>3.05</v>
      </c>
      <c r="AN108" s="229">
        <v>-1.5E-3</v>
      </c>
      <c r="AO108" s="228">
        <v>542.13</v>
      </c>
      <c r="AP108" s="228">
        <v>538.86</v>
      </c>
      <c r="AQ108" s="228">
        <v>0</v>
      </c>
      <c r="AR108" s="230">
        <v>9632500</v>
      </c>
      <c r="AS108" s="230">
        <v>6917500</v>
      </c>
      <c r="AT108" s="230">
        <v>2715000</v>
      </c>
      <c r="AU108" s="229">
        <v>0.39250000000000002</v>
      </c>
      <c r="AV108" s="230">
        <v>8973750</v>
      </c>
      <c r="AW108" s="230">
        <v>6458750</v>
      </c>
      <c r="AX108" s="230">
        <v>2515000</v>
      </c>
      <c r="AY108" s="229">
        <v>0.38940000000000002</v>
      </c>
      <c r="AZ108" s="230">
        <v>612500</v>
      </c>
      <c r="BA108" s="230">
        <v>415000</v>
      </c>
      <c r="BB108" s="230">
        <v>197500</v>
      </c>
      <c r="BC108" s="229">
        <v>0.47589999999999999</v>
      </c>
      <c r="BD108" s="230">
        <v>46250</v>
      </c>
      <c r="BE108" s="230">
        <v>43750</v>
      </c>
      <c r="BF108" s="230">
        <v>2500</v>
      </c>
      <c r="BG108" s="229">
        <v>5.7099999999999998E-2</v>
      </c>
      <c r="BH108" s="230">
        <v>16632500</v>
      </c>
      <c r="BI108" s="230">
        <v>14555000</v>
      </c>
      <c r="BJ108" s="230">
        <v>2077500</v>
      </c>
      <c r="BK108" s="229">
        <v>0.14269999999999999</v>
      </c>
      <c r="BL108" s="230">
        <v>8575000</v>
      </c>
      <c r="BM108" s="230">
        <v>6941250</v>
      </c>
      <c r="BN108" s="230">
        <v>1633750</v>
      </c>
      <c r="BO108" s="229">
        <v>0.2354</v>
      </c>
      <c r="BP108" s="230">
        <v>34840000</v>
      </c>
      <c r="BQ108" s="230">
        <v>28413750</v>
      </c>
      <c r="BR108" s="230">
        <v>6426250</v>
      </c>
      <c r="BS108" s="229">
        <v>0.22620000000000001</v>
      </c>
      <c r="BT108" s="230">
        <v>3581507</v>
      </c>
      <c r="BU108" s="230">
        <v>2271036</v>
      </c>
      <c r="BV108" s="230">
        <v>1310471</v>
      </c>
      <c r="BW108" s="229">
        <v>0.57699999999999996</v>
      </c>
      <c r="BX108" s="230">
        <v>26482500</v>
      </c>
      <c r="BY108" s="230">
        <v>26562500</v>
      </c>
      <c r="BZ108" s="230">
        <v>-80000</v>
      </c>
      <c r="CA108" s="229">
        <v>-3.0000000000000001E-3</v>
      </c>
      <c r="CB108" s="230">
        <v>24755000</v>
      </c>
      <c r="CC108" s="230">
        <v>24998750</v>
      </c>
      <c r="CD108" s="230">
        <v>-243750</v>
      </c>
      <c r="CE108" s="229">
        <v>-9.7999999999999997E-3</v>
      </c>
      <c r="CF108" s="230">
        <v>1541250</v>
      </c>
      <c r="CG108" s="230">
        <v>1397500</v>
      </c>
      <c r="CH108" s="230">
        <v>143750</v>
      </c>
      <c r="CI108" s="229">
        <v>0.10290000000000001</v>
      </c>
      <c r="CJ108" s="230">
        <v>186250</v>
      </c>
      <c r="CK108" s="230">
        <v>166250</v>
      </c>
      <c r="CL108" s="230">
        <v>20000</v>
      </c>
      <c r="CM108" s="229">
        <v>0.1203</v>
      </c>
      <c r="CN108" s="230">
        <v>12471250</v>
      </c>
      <c r="CO108" s="230">
        <v>11335000</v>
      </c>
      <c r="CP108" s="230">
        <v>1136250</v>
      </c>
      <c r="CQ108" s="229">
        <v>0.1002</v>
      </c>
      <c r="CR108" s="230">
        <v>7865000</v>
      </c>
      <c r="CS108" s="230">
        <v>7375000</v>
      </c>
      <c r="CT108" s="230">
        <v>490000</v>
      </c>
      <c r="CU108" s="229">
        <v>6.6400000000000001E-2</v>
      </c>
      <c r="CV108" s="230">
        <v>46818750</v>
      </c>
      <c r="CW108" s="230">
        <v>45272500</v>
      </c>
      <c r="CX108" s="230">
        <v>1546250</v>
      </c>
      <c r="CY108" s="229">
        <v>3.4200000000000001E-2</v>
      </c>
      <c r="CZ108" s="228">
        <v>27.29</v>
      </c>
      <c r="DA108" s="228">
        <v>29.57</v>
      </c>
      <c r="DB108" s="228">
        <v>-2.2799999999999998</v>
      </c>
      <c r="DC108" s="228">
        <v>-2.2799999999999998</v>
      </c>
      <c r="DD108" s="228">
        <v>33.11</v>
      </c>
      <c r="DE108" s="228">
        <v>33.11</v>
      </c>
      <c r="DF108" s="228">
        <v>-5.82</v>
      </c>
      <c r="DG108" s="228">
        <v>0</v>
      </c>
      <c r="DH108" s="228">
        <v>27.54</v>
      </c>
      <c r="DI108" s="228">
        <v>29.59</v>
      </c>
      <c r="DJ108" s="228">
        <v>-2.0499999999999998</v>
      </c>
      <c r="DK108" s="228">
        <v>-2.0499999999999998</v>
      </c>
      <c r="DL108" s="228">
        <v>26.81</v>
      </c>
      <c r="DM108" s="228">
        <v>29.53</v>
      </c>
      <c r="DN108" s="228">
        <v>-2.72</v>
      </c>
      <c r="DO108" s="228">
        <v>-2.72</v>
      </c>
      <c r="DP108" s="228">
        <v>0.63</v>
      </c>
      <c r="DQ108" s="228">
        <v>0.65</v>
      </c>
      <c r="DR108" s="228">
        <v>-0.02</v>
      </c>
      <c r="DS108" s="229">
        <v>-3.0800000000000001E-2</v>
      </c>
      <c r="DT108" s="228">
        <v>600</v>
      </c>
      <c r="DU108" s="228">
        <v>560</v>
      </c>
      <c r="DV108" s="228">
        <v>0.52</v>
      </c>
      <c r="DW108" s="228">
        <v>0.48</v>
      </c>
      <c r="DX108" s="228">
        <v>0.04</v>
      </c>
      <c r="DY108" s="229">
        <v>8.3299999999999999E-2</v>
      </c>
      <c r="DZ108" s="229">
        <v>6.5199999999999994E-2</v>
      </c>
      <c r="EA108" s="230">
        <v>1563750</v>
      </c>
      <c r="EB108" s="229">
        <v>-3.5000000000000001E-3</v>
      </c>
      <c r="EC108" s="229">
        <v>6.5199999999999994E-2</v>
      </c>
      <c r="ED108" s="228">
        <v>-3.27</v>
      </c>
      <c r="EE108" s="229">
        <v>-6.0000000000000001E-3</v>
      </c>
      <c r="EF108" s="230">
        <v>1325793</v>
      </c>
      <c r="EG108" s="230">
        <v>999632</v>
      </c>
      <c r="EH108" s="229">
        <v>0.32629999999999998</v>
      </c>
      <c r="EI108" s="229">
        <v>0.37019999999999997</v>
      </c>
      <c r="EJ108" s="231">
        <v>94985.67</v>
      </c>
      <c r="EK108" s="231">
        <v>46535.53</v>
      </c>
      <c r="EL108" s="231">
        <v>52198.61</v>
      </c>
      <c r="EM108" s="231">
        <v>4195</v>
      </c>
      <c r="EN108" s="231">
        <v>193719.81</v>
      </c>
      <c r="EO108" s="231">
        <v>157813.48000000001</v>
      </c>
      <c r="EP108" s="231">
        <v>35906.33</v>
      </c>
      <c r="EQ108" s="229">
        <v>0.22750000000000001</v>
      </c>
      <c r="ER108" s="231">
        <v>72804</v>
      </c>
      <c r="ES108" s="231">
        <v>42462</v>
      </c>
      <c r="ET108" s="231">
        <v>142825</v>
      </c>
      <c r="EU108" s="231">
        <v>58761693</v>
      </c>
      <c r="EV108" s="231">
        <v>258092</v>
      </c>
      <c r="EW108" s="231">
        <v>251152</v>
      </c>
      <c r="EX108" s="231">
        <v>6940</v>
      </c>
      <c r="EY108" s="229">
        <v>2.76E-2</v>
      </c>
      <c r="EZ108" s="229">
        <v>0.79679999999999995</v>
      </c>
      <c r="FA108" s="227" t="s">
        <v>568</v>
      </c>
      <c r="FB108" s="161">
        <f t="shared" si="1"/>
        <v>1727500</v>
      </c>
    </row>
    <row r="109" spans="1:158" ht="17.25" hidden="1" thickBot="1" x14ac:dyDescent="0.3">
      <c r="A109" s="226">
        <v>46029</v>
      </c>
      <c r="B109" s="227" t="s">
        <v>168</v>
      </c>
      <c r="C109" s="227" t="s">
        <v>582</v>
      </c>
      <c r="D109" s="228">
        <v>1175</v>
      </c>
      <c r="E109" s="228">
        <v>523.29999999999995</v>
      </c>
      <c r="F109" s="228">
        <v>502.45</v>
      </c>
      <c r="G109" s="228">
        <v>20.85</v>
      </c>
      <c r="H109" s="229">
        <v>4.1500000000000002E-2</v>
      </c>
      <c r="I109" s="228">
        <v>520.75</v>
      </c>
      <c r="J109" s="228">
        <v>500.15</v>
      </c>
      <c r="K109" s="228">
        <v>20.6</v>
      </c>
      <c r="L109" s="229">
        <v>4.1200000000000001E-2</v>
      </c>
      <c r="M109" s="228">
        <v>523.29999999999995</v>
      </c>
      <c r="N109" s="228">
        <v>502.45</v>
      </c>
      <c r="O109" s="228">
        <v>20.85</v>
      </c>
      <c r="P109" s="229">
        <v>4.1500000000000002E-2</v>
      </c>
      <c r="Q109" s="228">
        <v>526.15</v>
      </c>
      <c r="R109" s="228">
        <v>505.35</v>
      </c>
      <c r="S109" s="228">
        <v>20.8</v>
      </c>
      <c r="T109" s="229">
        <v>4.1200000000000001E-2</v>
      </c>
      <c r="U109" s="228">
        <v>529.04999999999995</v>
      </c>
      <c r="V109" s="228">
        <v>509.05</v>
      </c>
      <c r="W109" s="228">
        <v>20</v>
      </c>
      <c r="X109" s="229">
        <v>3.9300000000000002E-2</v>
      </c>
      <c r="Y109" s="228">
        <v>2.5499999999999998</v>
      </c>
      <c r="Z109" s="228">
        <v>2.2999999999999998</v>
      </c>
      <c r="AA109" s="228">
        <v>0.25</v>
      </c>
      <c r="AB109" s="229">
        <v>4.8999999999999998E-3</v>
      </c>
      <c r="AC109" s="228">
        <v>2.5499999999999998</v>
      </c>
      <c r="AD109" s="228">
        <v>2.2999999999999998</v>
      </c>
      <c r="AE109" s="228">
        <v>0.25</v>
      </c>
      <c r="AF109" s="229">
        <v>4.8999999999999998E-3</v>
      </c>
      <c r="AG109" s="228">
        <v>5.4</v>
      </c>
      <c r="AH109" s="228">
        <v>5.2</v>
      </c>
      <c r="AI109" s="228">
        <v>0.2</v>
      </c>
      <c r="AJ109" s="229">
        <v>1.04E-2</v>
      </c>
      <c r="AK109" s="228">
        <v>8.3000000000000007</v>
      </c>
      <c r="AL109" s="228">
        <v>8.9</v>
      </c>
      <c r="AM109" s="228">
        <v>-0.6</v>
      </c>
      <c r="AN109" s="229">
        <v>1.5900000000000001E-2</v>
      </c>
      <c r="AO109" s="228">
        <v>520.83000000000004</v>
      </c>
      <c r="AP109" s="228">
        <v>525.86</v>
      </c>
      <c r="AQ109" s="228">
        <v>0</v>
      </c>
      <c r="AR109" s="230">
        <v>15652175</v>
      </c>
      <c r="AS109" s="230">
        <v>4383925</v>
      </c>
      <c r="AT109" s="230">
        <v>11268250</v>
      </c>
      <c r="AU109" s="229">
        <v>2.5703999999999998</v>
      </c>
      <c r="AV109" s="230">
        <v>14365550</v>
      </c>
      <c r="AW109" s="230">
        <v>3392225</v>
      </c>
      <c r="AX109" s="230">
        <v>10973325</v>
      </c>
      <c r="AY109" s="229">
        <v>3.2347999999999999</v>
      </c>
      <c r="AZ109" s="230">
        <v>1200850</v>
      </c>
      <c r="BA109" s="230">
        <v>967025</v>
      </c>
      <c r="BB109" s="230">
        <v>233825</v>
      </c>
      <c r="BC109" s="229">
        <v>0.24179999999999999</v>
      </c>
      <c r="BD109" s="230">
        <v>85775</v>
      </c>
      <c r="BE109" s="230">
        <v>24675</v>
      </c>
      <c r="BF109" s="230">
        <v>61100</v>
      </c>
      <c r="BG109" s="229">
        <v>2.4762</v>
      </c>
      <c r="BH109" s="230">
        <v>84444900</v>
      </c>
      <c r="BI109" s="230">
        <v>6397875</v>
      </c>
      <c r="BJ109" s="230">
        <v>78047025</v>
      </c>
      <c r="BK109" s="229">
        <v>12.1989</v>
      </c>
      <c r="BL109" s="230">
        <v>24543400</v>
      </c>
      <c r="BM109" s="230">
        <v>2557975</v>
      </c>
      <c r="BN109" s="230">
        <v>21985425</v>
      </c>
      <c r="BO109" s="229">
        <v>8.5949000000000009</v>
      </c>
      <c r="BP109" s="230">
        <v>124640475</v>
      </c>
      <c r="BQ109" s="230">
        <v>13339775</v>
      </c>
      <c r="BR109" s="230">
        <v>111300700</v>
      </c>
      <c r="BS109" s="229">
        <v>8.3435000000000006</v>
      </c>
      <c r="BT109" s="230">
        <v>17118427</v>
      </c>
      <c r="BU109" s="230">
        <v>2127710</v>
      </c>
      <c r="BV109" s="230">
        <v>14990717</v>
      </c>
      <c r="BW109" s="229">
        <v>7.0454999999999997</v>
      </c>
      <c r="BX109" s="230">
        <v>37461350</v>
      </c>
      <c r="BY109" s="230">
        <v>36368600</v>
      </c>
      <c r="BZ109" s="230">
        <v>1092750</v>
      </c>
      <c r="CA109" s="229">
        <v>0.03</v>
      </c>
      <c r="CB109" s="230">
        <v>36199400</v>
      </c>
      <c r="CC109" s="230">
        <v>35376900</v>
      </c>
      <c r="CD109" s="230">
        <v>822500</v>
      </c>
      <c r="CE109" s="229">
        <v>2.3199999999999998E-2</v>
      </c>
      <c r="CF109" s="230">
        <v>1182050</v>
      </c>
      <c r="CG109" s="230">
        <v>948225</v>
      </c>
      <c r="CH109" s="230">
        <v>233825</v>
      </c>
      <c r="CI109" s="229">
        <v>0.24660000000000001</v>
      </c>
      <c r="CJ109" s="230">
        <v>79900</v>
      </c>
      <c r="CK109" s="230">
        <v>43475</v>
      </c>
      <c r="CL109" s="230">
        <v>36425</v>
      </c>
      <c r="CM109" s="229">
        <v>0.83779999999999999</v>
      </c>
      <c r="CN109" s="230">
        <v>10288300</v>
      </c>
      <c r="CO109" s="230">
        <v>5224050</v>
      </c>
      <c r="CP109" s="230">
        <v>5064250</v>
      </c>
      <c r="CQ109" s="229">
        <v>0.96940000000000004</v>
      </c>
      <c r="CR109" s="230">
        <v>5775125</v>
      </c>
      <c r="CS109" s="230">
        <v>3626050</v>
      </c>
      <c r="CT109" s="230">
        <v>2149075</v>
      </c>
      <c r="CU109" s="229">
        <v>0.5927</v>
      </c>
      <c r="CV109" s="230">
        <v>53524775</v>
      </c>
      <c r="CW109" s="230">
        <v>45218700</v>
      </c>
      <c r="CX109" s="230">
        <v>8306075</v>
      </c>
      <c r="CY109" s="229">
        <v>0.1837</v>
      </c>
      <c r="CZ109" s="228">
        <v>33.14</v>
      </c>
      <c r="DA109" s="228">
        <v>32.99</v>
      </c>
      <c r="DB109" s="228">
        <v>0.15</v>
      </c>
      <c r="DC109" s="228">
        <v>0.15</v>
      </c>
      <c r="DD109" s="228">
        <v>47.2</v>
      </c>
      <c r="DE109" s="228">
        <v>47</v>
      </c>
      <c r="DF109" s="228">
        <v>-14.06</v>
      </c>
      <c r="DG109" s="228">
        <v>0.2</v>
      </c>
      <c r="DH109" s="228">
        <v>33.299999999999997</v>
      </c>
      <c r="DI109" s="228">
        <v>32.85</v>
      </c>
      <c r="DJ109" s="228">
        <v>0.45</v>
      </c>
      <c r="DK109" s="228">
        <v>0.45</v>
      </c>
      <c r="DL109" s="228">
        <v>32.6</v>
      </c>
      <c r="DM109" s="228">
        <v>33.33</v>
      </c>
      <c r="DN109" s="228">
        <v>-0.73</v>
      </c>
      <c r="DO109" s="228">
        <v>-0.73</v>
      </c>
      <c r="DP109" s="228">
        <v>0.56000000000000005</v>
      </c>
      <c r="DQ109" s="228">
        <v>0.69</v>
      </c>
      <c r="DR109" s="228">
        <v>-0.13</v>
      </c>
      <c r="DS109" s="229">
        <v>-0.18840000000000001</v>
      </c>
      <c r="DT109" s="228">
        <v>530</v>
      </c>
      <c r="DU109" s="228">
        <v>500</v>
      </c>
      <c r="DV109" s="228">
        <v>0.28999999999999998</v>
      </c>
      <c r="DW109" s="228">
        <v>0.4</v>
      </c>
      <c r="DX109" s="228">
        <v>-0.11</v>
      </c>
      <c r="DY109" s="229">
        <v>-0.27500000000000002</v>
      </c>
      <c r="DZ109" s="229">
        <v>3.3700000000000001E-2</v>
      </c>
      <c r="EA109" s="230">
        <v>991700</v>
      </c>
      <c r="EB109" s="229">
        <v>5.4000000000000003E-3</v>
      </c>
      <c r="EC109" s="229">
        <v>3.3700000000000001E-2</v>
      </c>
      <c r="ED109" s="228">
        <v>5.03</v>
      </c>
      <c r="EE109" s="229">
        <v>9.7000000000000003E-3</v>
      </c>
      <c r="EF109" s="230">
        <v>3307880</v>
      </c>
      <c r="EG109" s="230">
        <v>981084</v>
      </c>
      <c r="EH109" s="229">
        <v>2.3717000000000001</v>
      </c>
      <c r="EI109" s="229">
        <v>0.19320000000000001</v>
      </c>
      <c r="EJ109" s="231">
        <v>464934.87</v>
      </c>
      <c r="EK109" s="231">
        <v>124415.29</v>
      </c>
      <c r="EL109" s="231">
        <v>81589.48</v>
      </c>
      <c r="EM109" s="231">
        <v>2469</v>
      </c>
      <c r="EN109" s="231">
        <v>670939.64</v>
      </c>
      <c r="EO109" s="231">
        <v>68602.69</v>
      </c>
      <c r="EP109" s="231">
        <v>602336.94999999995</v>
      </c>
      <c r="EQ109" s="229">
        <v>8.7800999999999991</v>
      </c>
      <c r="ER109" s="231">
        <v>55584</v>
      </c>
      <c r="ES109" s="231">
        <v>28326</v>
      </c>
      <c r="ET109" s="231">
        <v>196074</v>
      </c>
      <c r="EU109" s="231">
        <v>57654984</v>
      </c>
      <c r="EV109" s="231">
        <v>279983</v>
      </c>
      <c r="EW109" s="231">
        <v>227174</v>
      </c>
      <c r="EX109" s="231">
        <v>52809</v>
      </c>
      <c r="EY109" s="229">
        <v>0.23250000000000001</v>
      </c>
      <c r="EZ109" s="229">
        <v>0.9284</v>
      </c>
      <c r="FA109" s="227" t="s">
        <v>555</v>
      </c>
      <c r="FB109" s="161">
        <f t="shared" si="1"/>
        <v>1261950</v>
      </c>
    </row>
    <row r="110" spans="1:158" ht="17.25" hidden="1" thickBot="1" x14ac:dyDescent="0.3">
      <c r="A110" s="226">
        <v>46029</v>
      </c>
      <c r="B110" s="227" t="s">
        <v>184</v>
      </c>
      <c r="C110" s="227" t="s">
        <v>676</v>
      </c>
      <c r="D110" s="228">
        <v>100</v>
      </c>
      <c r="E110" s="231">
        <v>3850.8</v>
      </c>
      <c r="F110" s="231">
        <v>3794.5</v>
      </c>
      <c r="G110" s="228">
        <v>56.3</v>
      </c>
      <c r="H110" s="229">
        <v>1.4800000000000001E-2</v>
      </c>
      <c r="I110" s="231">
        <v>3831.3</v>
      </c>
      <c r="J110" s="231">
        <v>3791.4</v>
      </c>
      <c r="K110" s="228">
        <v>39.9</v>
      </c>
      <c r="L110" s="229">
        <v>1.0500000000000001E-2</v>
      </c>
      <c r="M110" s="231">
        <v>3850.8</v>
      </c>
      <c r="N110" s="231">
        <v>3794.5</v>
      </c>
      <c r="O110" s="228">
        <v>56.3</v>
      </c>
      <c r="P110" s="229">
        <v>1.4800000000000001E-2</v>
      </c>
      <c r="Q110" s="231">
        <v>3867</v>
      </c>
      <c r="R110" s="231">
        <v>3814.2</v>
      </c>
      <c r="S110" s="228">
        <v>52.8</v>
      </c>
      <c r="T110" s="229">
        <v>1.38E-2</v>
      </c>
      <c r="U110" s="231">
        <v>3888.6</v>
      </c>
      <c r="V110" s="231">
        <v>3836.3</v>
      </c>
      <c r="W110" s="228">
        <v>52.3</v>
      </c>
      <c r="X110" s="229">
        <v>1.3599999999999999E-2</v>
      </c>
      <c r="Y110" s="228">
        <v>19.5</v>
      </c>
      <c r="Z110" s="228">
        <v>3.1</v>
      </c>
      <c r="AA110" s="228">
        <v>16.399999999999999</v>
      </c>
      <c r="AB110" s="229">
        <v>5.1000000000000004E-3</v>
      </c>
      <c r="AC110" s="228">
        <v>19.5</v>
      </c>
      <c r="AD110" s="228">
        <v>3.1</v>
      </c>
      <c r="AE110" s="228">
        <v>16.399999999999999</v>
      </c>
      <c r="AF110" s="229">
        <v>5.1000000000000004E-3</v>
      </c>
      <c r="AG110" s="228">
        <v>35.700000000000003</v>
      </c>
      <c r="AH110" s="228">
        <v>22.8</v>
      </c>
      <c r="AI110" s="228">
        <v>12.9</v>
      </c>
      <c r="AJ110" s="229">
        <v>9.2999999999999992E-3</v>
      </c>
      <c r="AK110" s="228">
        <v>57.3</v>
      </c>
      <c r="AL110" s="228">
        <v>44.9</v>
      </c>
      <c r="AM110" s="228">
        <v>12.4</v>
      </c>
      <c r="AN110" s="229">
        <v>1.4999999999999999E-2</v>
      </c>
      <c r="AO110" s="231">
        <v>3808.48</v>
      </c>
      <c r="AP110" s="231">
        <v>3826.78</v>
      </c>
      <c r="AQ110" s="228">
        <v>0</v>
      </c>
      <c r="AR110" s="230">
        <v>1595800</v>
      </c>
      <c r="AS110" s="230">
        <v>2060700</v>
      </c>
      <c r="AT110" s="230">
        <v>-464900</v>
      </c>
      <c r="AU110" s="229">
        <v>-0.22559999999999999</v>
      </c>
      <c r="AV110" s="230">
        <v>1501000</v>
      </c>
      <c r="AW110" s="230">
        <v>1813800</v>
      </c>
      <c r="AX110" s="230">
        <v>-312800</v>
      </c>
      <c r="AY110" s="229">
        <v>-0.17249999999999999</v>
      </c>
      <c r="AZ110" s="230">
        <v>79600</v>
      </c>
      <c r="BA110" s="230">
        <v>217500</v>
      </c>
      <c r="BB110" s="230">
        <v>-137900</v>
      </c>
      <c r="BC110" s="229">
        <v>-0.63400000000000001</v>
      </c>
      <c r="BD110" s="230">
        <v>15200</v>
      </c>
      <c r="BE110" s="230">
        <v>29400</v>
      </c>
      <c r="BF110" s="230">
        <v>-14200</v>
      </c>
      <c r="BG110" s="229">
        <v>-0.48299999999999998</v>
      </c>
      <c r="BH110" s="230">
        <v>6842400</v>
      </c>
      <c r="BI110" s="230">
        <v>8372600</v>
      </c>
      <c r="BJ110" s="230">
        <v>-1530200</v>
      </c>
      <c r="BK110" s="229">
        <v>-0.18279999999999999</v>
      </c>
      <c r="BL110" s="230">
        <v>4506000</v>
      </c>
      <c r="BM110" s="230">
        <v>6550500</v>
      </c>
      <c r="BN110" s="230">
        <v>-2044500</v>
      </c>
      <c r="BO110" s="229">
        <v>-0.31209999999999999</v>
      </c>
      <c r="BP110" s="230">
        <v>12944200</v>
      </c>
      <c r="BQ110" s="230">
        <v>16983800</v>
      </c>
      <c r="BR110" s="230">
        <v>-4039600</v>
      </c>
      <c r="BS110" s="229">
        <v>-0.2379</v>
      </c>
      <c r="BT110" s="230">
        <v>2601002</v>
      </c>
      <c r="BU110" s="230">
        <v>3206059</v>
      </c>
      <c r="BV110" s="230">
        <v>-605057</v>
      </c>
      <c r="BW110" s="229">
        <v>-0.18870000000000001</v>
      </c>
      <c r="BX110" s="230">
        <v>3568600</v>
      </c>
      <c r="BY110" s="230">
        <v>3419500</v>
      </c>
      <c r="BZ110" s="230">
        <v>149100</v>
      </c>
      <c r="CA110" s="229">
        <v>4.36E-2</v>
      </c>
      <c r="CB110" s="230">
        <v>3269500</v>
      </c>
      <c r="CC110" s="230">
        <v>3129500</v>
      </c>
      <c r="CD110" s="230">
        <v>140000</v>
      </c>
      <c r="CE110" s="229">
        <v>4.4699999999999997E-2</v>
      </c>
      <c r="CF110" s="230">
        <v>264800</v>
      </c>
      <c r="CG110" s="230">
        <v>260500</v>
      </c>
      <c r="CH110" s="230">
        <v>4300</v>
      </c>
      <c r="CI110" s="229">
        <v>1.6500000000000001E-2</v>
      </c>
      <c r="CJ110" s="230">
        <v>34300</v>
      </c>
      <c r="CK110" s="230">
        <v>29500</v>
      </c>
      <c r="CL110" s="230">
        <v>4800</v>
      </c>
      <c r="CM110" s="229">
        <v>0.16270000000000001</v>
      </c>
      <c r="CN110" s="230">
        <v>3611900</v>
      </c>
      <c r="CO110" s="230">
        <v>3371300</v>
      </c>
      <c r="CP110" s="230">
        <v>240600</v>
      </c>
      <c r="CQ110" s="229">
        <v>7.1400000000000005E-2</v>
      </c>
      <c r="CR110" s="230">
        <v>1861700</v>
      </c>
      <c r="CS110" s="230">
        <v>1688600</v>
      </c>
      <c r="CT110" s="230">
        <v>173100</v>
      </c>
      <c r="CU110" s="229">
        <v>0.10249999999999999</v>
      </c>
      <c r="CV110" s="230">
        <v>9042200</v>
      </c>
      <c r="CW110" s="230">
        <v>8479400</v>
      </c>
      <c r="CX110" s="230">
        <v>562800</v>
      </c>
      <c r="CY110" s="229">
        <v>6.6400000000000001E-2</v>
      </c>
      <c r="CZ110" s="228">
        <v>50.68</v>
      </c>
      <c r="DA110" s="228">
        <v>52.17</v>
      </c>
      <c r="DB110" s="228">
        <v>-1.49</v>
      </c>
      <c r="DC110" s="228">
        <v>-1.49</v>
      </c>
      <c r="DD110" s="228">
        <v>61.85</v>
      </c>
      <c r="DE110" s="228">
        <v>61.99</v>
      </c>
      <c r="DF110" s="228">
        <v>-11.17</v>
      </c>
      <c r="DG110" s="228">
        <v>-0.14000000000000001</v>
      </c>
      <c r="DH110" s="228">
        <v>48.96</v>
      </c>
      <c r="DI110" s="228">
        <v>50.18</v>
      </c>
      <c r="DJ110" s="228">
        <v>-1.22</v>
      </c>
      <c r="DK110" s="228">
        <v>-1.22</v>
      </c>
      <c r="DL110" s="228">
        <v>53.29</v>
      </c>
      <c r="DM110" s="228">
        <v>54.71</v>
      </c>
      <c r="DN110" s="228">
        <v>-1.42</v>
      </c>
      <c r="DO110" s="228">
        <v>-1.42</v>
      </c>
      <c r="DP110" s="228">
        <v>0.52</v>
      </c>
      <c r="DQ110" s="228">
        <v>0.5</v>
      </c>
      <c r="DR110" s="228">
        <v>0.02</v>
      </c>
      <c r="DS110" s="229">
        <v>0.04</v>
      </c>
      <c r="DT110" s="231">
        <v>4000</v>
      </c>
      <c r="DU110" s="231">
        <v>4000</v>
      </c>
      <c r="DV110" s="228">
        <v>0.66</v>
      </c>
      <c r="DW110" s="228">
        <v>0.78</v>
      </c>
      <c r="DX110" s="228">
        <v>-0.12</v>
      </c>
      <c r="DY110" s="229">
        <v>-0.15379999999999999</v>
      </c>
      <c r="DZ110" s="229">
        <v>8.3799999999999999E-2</v>
      </c>
      <c r="EA110" s="230">
        <v>290000</v>
      </c>
      <c r="EB110" s="229">
        <v>4.1999999999999997E-3</v>
      </c>
      <c r="EC110" s="229">
        <v>8.3799999999999999E-2</v>
      </c>
      <c r="ED110" s="228">
        <v>18.3</v>
      </c>
      <c r="EE110" s="229">
        <v>4.7999999999999996E-3</v>
      </c>
      <c r="EF110" s="230">
        <v>383586</v>
      </c>
      <c r="EG110" s="230">
        <v>879314</v>
      </c>
      <c r="EH110" s="229">
        <v>-0.56379999999999997</v>
      </c>
      <c r="EI110" s="229">
        <v>0.14749999999999999</v>
      </c>
      <c r="EJ110" s="231">
        <v>285607.57</v>
      </c>
      <c r="EK110" s="231">
        <v>166386.76</v>
      </c>
      <c r="EL110" s="231">
        <v>60798.51</v>
      </c>
      <c r="EM110" s="231">
        <v>10752</v>
      </c>
      <c r="EN110" s="231">
        <v>512792.84</v>
      </c>
      <c r="EO110" s="231">
        <v>680698.91</v>
      </c>
      <c r="EP110" s="231">
        <v>-167906.07</v>
      </c>
      <c r="EQ110" s="229">
        <v>-0.2467</v>
      </c>
      <c r="ER110" s="231">
        <v>156280</v>
      </c>
      <c r="ES110" s="231">
        <v>70321</v>
      </c>
      <c r="ET110" s="231">
        <v>137476</v>
      </c>
      <c r="EU110" s="231">
        <v>4679418</v>
      </c>
      <c r="EV110" s="231">
        <v>364076</v>
      </c>
      <c r="EW110" s="231">
        <v>340449</v>
      </c>
      <c r="EX110" s="231">
        <v>23627</v>
      </c>
      <c r="EY110" s="229">
        <v>6.9400000000000003E-2</v>
      </c>
      <c r="EZ110" s="229">
        <v>1.9322999999999999</v>
      </c>
      <c r="FA110" s="227" t="s">
        <v>555</v>
      </c>
      <c r="FB110" s="161">
        <f t="shared" si="1"/>
        <v>299100</v>
      </c>
    </row>
    <row r="111" spans="1:158" ht="17.25" hidden="1" thickBot="1" x14ac:dyDescent="0.3">
      <c r="A111" s="226">
        <v>46029</v>
      </c>
      <c r="B111" s="227" t="s">
        <v>161</v>
      </c>
      <c r="C111" s="227" t="s">
        <v>610</v>
      </c>
      <c r="D111" s="228">
        <v>175</v>
      </c>
      <c r="E111" s="231">
        <v>4559.6000000000004</v>
      </c>
      <c r="F111" s="231">
        <v>4545.1000000000004</v>
      </c>
      <c r="G111" s="228">
        <v>14.5</v>
      </c>
      <c r="H111" s="229">
        <v>3.2000000000000002E-3</v>
      </c>
      <c r="I111" s="231">
        <v>4538.2</v>
      </c>
      <c r="J111" s="231">
        <v>4526.2</v>
      </c>
      <c r="K111" s="228">
        <v>12</v>
      </c>
      <c r="L111" s="229">
        <v>2.7000000000000001E-3</v>
      </c>
      <c r="M111" s="231">
        <v>4559.6000000000004</v>
      </c>
      <c r="N111" s="231">
        <v>4545.1000000000004</v>
      </c>
      <c r="O111" s="228">
        <v>14.5</v>
      </c>
      <c r="P111" s="229">
        <v>3.2000000000000002E-3</v>
      </c>
      <c r="Q111" s="231">
        <v>4568.3</v>
      </c>
      <c r="R111" s="231">
        <v>4553</v>
      </c>
      <c r="S111" s="228">
        <v>15.3</v>
      </c>
      <c r="T111" s="229">
        <v>3.3999999999999998E-3</v>
      </c>
      <c r="U111" s="228">
        <v>0</v>
      </c>
      <c r="V111" s="228">
        <v>0</v>
      </c>
      <c r="W111" s="228">
        <v>0</v>
      </c>
      <c r="X111" s="229">
        <v>0</v>
      </c>
      <c r="Y111" s="228">
        <v>21.4</v>
      </c>
      <c r="Z111" s="228">
        <v>18.899999999999999</v>
      </c>
      <c r="AA111" s="228">
        <v>2.5</v>
      </c>
      <c r="AB111" s="229">
        <v>4.7000000000000002E-3</v>
      </c>
      <c r="AC111" s="228">
        <v>21.4</v>
      </c>
      <c r="AD111" s="228">
        <v>18.899999999999999</v>
      </c>
      <c r="AE111" s="228">
        <v>2.5</v>
      </c>
      <c r="AF111" s="229">
        <v>4.7000000000000002E-3</v>
      </c>
      <c r="AG111" s="228">
        <v>30.1</v>
      </c>
      <c r="AH111" s="228">
        <v>26.8</v>
      </c>
      <c r="AI111" s="228">
        <v>3.3</v>
      </c>
      <c r="AJ111" s="229">
        <v>6.6E-3</v>
      </c>
      <c r="AK111" s="228">
        <v>0</v>
      </c>
      <c r="AL111" s="228">
        <v>0</v>
      </c>
      <c r="AM111" s="228">
        <v>0</v>
      </c>
      <c r="AN111" s="229">
        <v>0</v>
      </c>
      <c r="AO111" s="231">
        <v>4574.46</v>
      </c>
      <c r="AP111" s="231">
        <v>4586.07</v>
      </c>
      <c r="AQ111" s="228">
        <v>0</v>
      </c>
      <c r="AR111" s="230">
        <v>323400</v>
      </c>
      <c r="AS111" s="230">
        <v>168350</v>
      </c>
      <c r="AT111" s="230">
        <v>155050</v>
      </c>
      <c r="AU111" s="229">
        <v>0.92100000000000004</v>
      </c>
      <c r="AV111" s="230">
        <v>320600</v>
      </c>
      <c r="AW111" s="230">
        <v>163975</v>
      </c>
      <c r="AX111" s="230">
        <v>156625</v>
      </c>
      <c r="AY111" s="229">
        <v>0.95520000000000005</v>
      </c>
      <c r="AZ111" s="230">
        <v>2800</v>
      </c>
      <c r="BA111" s="230">
        <v>4375</v>
      </c>
      <c r="BB111" s="230">
        <v>-1575</v>
      </c>
      <c r="BC111" s="229">
        <v>-0.36</v>
      </c>
      <c r="BD111" s="228">
        <v>0</v>
      </c>
      <c r="BE111" s="228">
        <v>0</v>
      </c>
      <c r="BF111" s="228">
        <v>0</v>
      </c>
      <c r="BG111" s="229">
        <v>0</v>
      </c>
      <c r="BH111" s="230">
        <v>693000</v>
      </c>
      <c r="BI111" s="230">
        <v>383775</v>
      </c>
      <c r="BJ111" s="230">
        <v>309225</v>
      </c>
      <c r="BK111" s="229">
        <v>0.80569999999999997</v>
      </c>
      <c r="BL111" s="230">
        <v>189000</v>
      </c>
      <c r="BM111" s="230">
        <v>139125</v>
      </c>
      <c r="BN111" s="230">
        <v>49875</v>
      </c>
      <c r="BO111" s="229">
        <v>0.35849999999999999</v>
      </c>
      <c r="BP111" s="230">
        <v>1205400</v>
      </c>
      <c r="BQ111" s="230">
        <v>691250</v>
      </c>
      <c r="BR111" s="230">
        <v>514150</v>
      </c>
      <c r="BS111" s="229">
        <v>0.74380000000000002</v>
      </c>
      <c r="BT111" s="230">
        <v>115843</v>
      </c>
      <c r="BU111" s="230">
        <v>106326</v>
      </c>
      <c r="BV111" s="230">
        <v>9517</v>
      </c>
      <c r="BW111" s="229">
        <v>8.9499999999999996E-2</v>
      </c>
      <c r="BX111" s="230">
        <v>959525</v>
      </c>
      <c r="BY111" s="230">
        <v>894075</v>
      </c>
      <c r="BZ111" s="230">
        <v>65450</v>
      </c>
      <c r="CA111" s="229">
        <v>7.3200000000000001E-2</v>
      </c>
      <c r="CB111" s="230">
        <v>950600</v>
      </c>
      <c r="CC111" s="230">
        <v>885675</v>
      </c>
      <c r="CD111" s="230">
        <v>64925</v>
      </c>
      <c r="CE111" s="229">
        <v>7.3300000000000004E-2</v>
      </c>
      <c r="CF111" s="230">
        <v>8925</v>
      </c>
      <c r="CG111" s="230">
        <v>8400</v>
      </c>
      <c r="CH111" s="228">
        <v>525</v>
      </c>
      <c r="CI111" s="229">
        <v>6.25E-2</v>
      </c>
      <c r="CJ111" s="228">
        <v>0</v>
      </c>
      <c r="CK111" s="228">
        <v>0</v>
      </c>
      <c r="CL111" s="228">
        <v>0</v>
      </c>
      <c r="CM111" s="229">
        <v>0</v>
      </c>
      <c r="CN111" s="230">
        <v>456750</v>
      </c>
      <c r="CO111" s="230">
        <v>400575</v>
      </c>
      <c r="CP111" s="230">
        <v>56175</v>
      </c>
      <c r="CQ111" s="229">
        <v>0.14019999999999999</v>
      </c>
      <c r="CR111" s="230">
        <v>310800</v>
      </c>
      <c r="CS111" s="230">
        <v>294350</v>
      </c>
      <c r="CT111" s="230">
        <v>16450</v>
      </c>
      <c r="CU111" s="229">
        <v>5.5899999999999998E-2</v>
      </c>
      <c r="CV111" s="230">
        <v>1727075</v>
      </c>
      <c r="CW111" s="230">
        <v>1589000</v>
      </c>
      <c r="CX111" s="230">
        <v>138075</v>
      </c>
      <c r="CY111" s="229">
        <v>8.6900000000000005E-2</v>
      </c>
      <c r="CZ111" s="228">
        <v>29.06</v>
      </c>
      <c r="DA111" s="228">
        <v>28.14</v>
      </c>
      <c r="DB111" s="228">
        <v>0.92</v>
      </c>
      <c r="DC111" s="228">
        <v>0.92</v>
      </c>
      <c r="DD111" s="228">
        <v>44.99</v>
      </c>
      <c r="DE111" s="228">
        <v>45.1</v>
      </c>
      <c r="DF111" s="228">
        <v>-15.93</v>
      </c>
      <c r="DG111" s="228">
        <v>-0.11</v>
      </c>
      <c r="DH111" s="228">
        <v>29.02</v>
      </c>
      <c r="DI111" s="228">
        <v>27.91</v>
      </c>
      <c r="DJ111" s="228">
        <v>1.1100000000000001</v>
      </c>
      <c r="DK111" s="228">
        <v>1.1100000000000001</v>
      </c>
      <c r="DL111" s="228">
        <v>29.21</v>
      </c>
      <c r="DM111" s="228">
        <v>28.79</v>
      </c>
      <c r="DN111" s="228">
        <v>0.42</v>
      </c>
      <c r="DO111" s="228">
        <v>0.42</v>
      </c>
      <c r="DP111" s="228">
        <v>0.68</v>
      </c>
      <c r="DQ111" s="228">
        <v>0.73</v>
      </c>
      <c r="DR111" s="228">
        <v>-0.05</v>
      </c>
      <c r="DS111" s="229">
        <v>-6.8500000000000005E-2</v>
      </c>
      <c r="DT111" s="231">
        <v>4600</v>
      </c>
      <c r="DU111" s="231">
        <v>4400</v>
      </c>
      <c r="DV111" s="228">
        <v>0.27</v>
      </c>
      <c r="DW111" s="228">
        <v>0.36</v>
      </c>
      <c r="DX111" s="228">
        <v>-0.09</v>
      </c>
      <c r="DY111" s="229">
        <v>-0.25</v>
      </c>
      <c r="DZ111" s="229">
        <v>9.2999999999999992E-3</v>
      </c>
      <c r="EA111" s="230">
        <v>8400</v>
      </c>
      <c r="EB111" s="229">
        <v>1.9E-3</v>
      </c>
      <c r="EC111" s="229">
        <v>9.2999999999999992E-3</v>
      </c>
      <c r="ED111" s="228">
        <v>11.61</v>
      </c>
      <c r="EE111" s="229">
        <v>2.5000000000000001E-3</v>
      </c>
      <c r="EF111" s="230">
        <v>57621</v>
      </c>
      <c r="EG111" s="230">
        <v>50170</v>
      </c>
      <c r="EH111" s="229">
        <v>0.14849999999999999</v>
      </c>
      <c r="EI111" s="229">
        <v>0.49740000000000001</v>
      </c>
      <c r="EJ111" s="231">
        <v>33279.199999999997</v>
      </c>
      <c r="EK111" s="231">
        <v>8520.91</v>
      </c>
      <c r="EL111" s="231">
        <v>14794.12</v>
      </c>
      <c r="EM111" s="231">
        <v>1285</v>
      </c>
      <c r="EN111" s="231">
        <v>56594.23</v>
      </c>
      <c r="EO111" s="231">
        <v>32128.09</v>
      </c>
      <c r="EP111" s="231">
        <v>24466.14</v>
      </c>
      <c r="EQ111" s="229">
        <v>0.76149999999999995</v>
      </c>
      <c r="ER111" s="231">
        <v>21343</v>
      </c>
      <c r="ES111" s="231">
        <v>13563</v>
      </c>
      <c r="ET111" s="231">
        <v>43751</v>
      </c>
      <c r="EU111" s="231">
        <v>8553821</v>
      </c>
      <c r="EV111" s="231">
        <v>78657</v>
      </c>
      <c r="EW111" s="231">
        <v>72086</v>
      </c>
      <c r="EX111" s="231">
        <v>6571</v>
      </c>
      <c r="EY111" s="229">
        <v>9.1200000000000003E-2</v>
      </c>
      <c r="EZ111" s="229">
        <v>0.2019</v>
      </c>
      <c r="FA111" s="227" t="s">
        <v>555</v>
      </c>
      <c r="FB111" s="161">
        <f t="shared" si="1"/>
        <v>8925</v>
      </c>
    </row>
    <row r="112" spans="1:158" ht="17.25" hidden="1" thickBot="1" x14ac:dyDescent="0.3">
      <c r="A112" s="226">
        <v>46029</v>
      </c>
      <c r="B112" s="227" t="s">
        <v>175</v>
      </c>
      <c r="C112" s="227" t="s">
        <v>683</v>
      </c>
      <c r="D112" s="228">
        <v>500</v>
      </c>
      <c r="E112" s="231">
        <v>1068.8</v>
      </c>
      <c r="F112" s="231">
        <v>1062.2</v>
      </c>
      <c r="G112" s="228">
        <v>6.6</v>
      </c>
      <c r="H112" s="229">
        <v>6.1999999999999998E-3</v>
      </c>
      <c r="I112" s="231">
        <v>1074.4000000000001</v>
      </c>
      <c r="J112" s="231">
        <v>1074.7</v>
      </c>
      <c r="K112" s="228">
        <v>-0.3</v>
      </c>
      <c r="L112" s="229">
        <v>-2.9999999999999997E-4</v>
      </c>
      <c r="M112" s="231">
        <v>1068.8</v>
      </c>
      <c r="N112" s="231">
        <v>1062.2</v>
      </c>
      <c r="O112" s="228">
        <v>6.6</v>
      </c>
      <c r="P112" s="229">
        <v>6.1999999999999998E-3</v>
      </c>
      <c r="Q112" s="231">
        <v>1062.0999999999999</v>
      </c>
      <c r="R112" s="231">
        <v>1054.5</v>
      </c>
      <c r="S112" s="228">
        <v>7.6</v>
      </c>
      <c r="T112" s="229">
        <v>7.1999999999999998E-3</v>
      </c>
      <c r="U112" s="231">
        <v>1047.5</v>
      </c>
      <c r="V112" s="231">
        <v>1051.7</v>
      </c>
      <c r="W112" s="228">
        <v>-4.2</v>
      </c>
      <c r="X112" s="229">
        <v>-4.0000000000000001E-3</v>
      </c>
      <c r="Y112" s="228">
        <v>-5.6</v>
      </c>
      <c r="Z112" s="228">
        <v>-12.5</v>
      </c>
      <c r="AA112" s="228">
        <v>6.9</v>
      </c>
      <c r="AB112" s="229">
        <v>-5.1999999999999998E-3</v>
      </c>
      <c r="AC112" s="228">
        <v>-5.6</v>
      </c>
      <c r="AD112" s="228">
        <v>-12.5</v>
      </c>
      <c r="AE112" s="228">
        <v>6.9</v>
      </c>
      <c r="AF112" s="229">
        <v>-5.1999999999999998E-3</v>
      </c>
      <c r="AG112" s="228">
        <v>-12.3</v>
      </c>
      <c r="AH112" s="228">
        <v>-20.2</v>
      </c>
      <c r="AI112" s="228">
        <v>7.9</v>
      </c>
      <c r="AJ112" s="229">
        <v>-1.14E-2</v>
      </c>
      <c r="AK112" s="228">
        <v>-26.9</v>
      </c>
      <c r="AL112" s="228">
        <v>-23</v>
      </c>
      <c r="AM112" s="228">
        <v>-3.9</v>
      </c>
      <c r="AN112" s="229">
        <v>-2.5000000000000001E-2</v>
      </c>
      <c r="AO112" s="231">
        <v>1062.46</v>
      </c>
      <c r="AP112" s="231">
        <v>1053.3499999999999</v>
      </c>
      <c r="AQ112" s="228">
        <v>0</v>
      </c>
      <c r="AR112" s="230">
        <v>1434000</v>
      </c>
      <c r="AS112" s="230">
        <v>1311500</v>
      </c>
      <c r="AT112" s="230">
        <v>122500</v>
      </c>
      <c r="AU112" s="229">
        <v>9.3399999999999997E-2</v>
      </c>
      <c r="AV112" s="230">
        <v>1273500</v>
      </c>
      <c r="AW112" s="230">
        <v>1198000</v>
      </c>
      <c r="AX112" s="230">
        <v>75500</v>
      </c>
      <c r="AY112" s="229">
        <v>6.3E-2</v>
      </c>
      <c r="AZ112" s="230">
        <v>160000</v>
      </c>
      <c r="BA112" s="230">
        <v>108500</v>
      </c>
      <c r="BB112" s="230">
        <v>51500</v>
      </c>
      <c r="BC112" s="229">
        <v>0.47470000000000001</v>
      </c>
      <c r="BD112" s="228">
        <v>500</v>
      </c>
      <c r="BE112" s="230">
        <v>5000</v>
      </c>
      <c r="BF112" s="230">
        <v>-4500</v>
      </c>
      <c r="BG112" s="229">
        <v>-0.9</v>
      </c>
      <c r="BH112" s="230">
        <v>1373500</v>
      </c>
      <c r="BI112" s="230">
        <v>1036000</v>
      </c>
      <c r="BJ112" s="230">
        <v>337500</v>
      </c>
      <c r="BK112" s="229">
        <v>0.32579999999999998</v>
      </c>
      <c r="BL112" s="230">
        <v>341500</v>
      </c>
      <c r="BM112" s="230">
        <v>492500</v>
      </c>
      <c r="BN112" s="230">
        <v>-151000</v>
      </c>
      <c r="BO112" s="229">
        <v>-0.30659999999999998</v>
      </c>
      <c r="BP112" s="230">
        <v>3149000</v>
      </c>
      <c r="BQ112" s="230">
        <v>2840000</v>
      </c>
      <c r="BR112" s="230">
        <v>309000</v>
      </c>
      <c r="BS112" s="229">
        <v>0.10879999999999999</v>
      </c>
      <c r="BT112" s="230">
        <v>1061795</v>
      </c>
      <c r="BU112" s="230">
        <v>1440672</v>
      </c>
      <c r="BV112" s="230">
        <v>-378877</v>
      </c>
      <c r="BW112" s="229">
        <v>-0.26300000000000001</v>
      </c>
      <c r="BX112" s="230">
        <v>4227500</v>
      </c>
      <c r="BY112" s="230">
        <v>4101500</v>
      </c>
      <c r="BZ112" s="230">
        <v>126000</v>
      </c>
      <c r="CA112" s="229">
        <v>3.0700000000000002E-2</v>
      </c>
      <c r="CB112" s="230">
        <v>3970000</v>
      </c>
      <c r="CC112" s="230">
        <v>3898500</v>
      </c>
      <c r="CD112" s="230">
        <v>71500</v>
      </c>
      <c r="CE112" s="229">
        <v>1.83E-2</v>
      </c>
      <c r="CF112" s="230">
        <v>245500</v>
      </c>
      <c r="CG112" s="230">
        <v>191000</v>
      </c>
      <c r="CH112" s="230">
        <v>54500</v>
      </c>
      <c r="CI112" s="229">
        <v>0.2853</v>
      </c>
      <c r="CJ112" s="230">
        <v>12000</v>
      </c>
      <c r="CK112" s="230">
        <v>12000</v>
      </c>
      <c r="CL112" s="228">
        <v>0</v>
      </c>
      <c r="CM112" s="229">
        <v>0</v>
      </c>
      <c r="CN112" s="230">
        <v>1415000</v>
      </c>
      <c r="CO112" s="230">
        <v>1295000</v>
      </c>
      <c r="CP112" s="230">
        <v>120000</v>
      </c>
      <c r="CQ112" s="229">
        <v>9.2700000000000005E-2</v>
      </c>
      <c r="CR112" s="230">
        <v>959000</v>
      </c>
      <c r="CS112" s="230">
        <v>950000</v>
      </c>
      <c r="CT112" s="230">
        <v>9000</v>
      </c>
      <c r="CU112" s="229">
        <v>9.4999999999999998E-3</v>
      </c>
      <c r="CV112" s="230">
        <v>6601500</v>
      </c>
      <c r="CW112" s="230">
        <v>6346500</v>
      </c>
      <c r="CX112" s="230">
        <v>255000</v>
      </c>
      <c r="CY112" s="229">
        <v>4.02E-2</v>
      </c>
      <c r="CZ112" s="228">
        <v>32.83</v>
      </c>
      <c r="DA112" s="228">
        <v>33.03</v>
      </c>
      <c r="DB112" s="228">
        <v>-0.2</v>
      </c>
      <c r="DC112" s="228">
        <v>-0.2</v>
      </c>
      <c r="DD112" s="228">
        <v>51.41</v>
      </c>
      <c r="DE112" s="228">
        <v>51.53</v>
      </c>
      <c r="DF112" s="228">
        <v>-18.579999999999998</v>
      </c>
      <c r="DG112" s="228">
        <v>-0.12</v>
      </c>
      <c r="DH112" s="228">
        <v>32.44</v>
      </c>
      <c r="DI112" s="228">
        <v>32.869999999999997</v>
      </c>
      <c r="DJ112" s="228">
        <v>-0.43</v>
      </c>
      <c r="DK112" s="228">
        <v>-0.43</v>
      </c>
      <c r="DL112" s="228">
        <v>34.43</v>
      </c>
      <c r="DM112" s="228">
        <v>33.369999999999997</v>
      </c>
      <c r="DN112" s="228">
        <v>1.06</v>
      </c>
      <c r="DO112" s="228">
        <v>1.06</v>
      </c>
      <c r="DP112" s="228">
        <v>0.68</v>
      </c>
      <c r="DQ112" s="228">
        <v>0.73</v>
      </c>
      <c r="DR112" s="228">
        <v>-0.05</v>
      </c>
      <c r="DS112" s="229">
        <v>-6.8500000000000005E-2</v>
      </c>
      <c r="DT112" s="231">
        <v>1100</v>
      </c>
      <c r="DU112" s="231">
        <v>1000</v>
      </c>
      <c r="DV112" s="228">
        <v>0.25</v>
      </c>
      <c r="DW112" s="228">
        <v>0.48</v>
      </c>
      <c r="DX112" s="228">
        <v>-0.23</v>
      </c>
      <c r="DY112" s="229">
        <v>-0.47920000000000001</v>
      </c>
      <c r="DZ112" s="229">
        <v>6.0900000000000003E-2</v>
      </c>
      <c r="EA112" s="230">
        <v>203000</v>
      </c>
      <c r="EB112" s="229">
        <v>-6.3E-3</v>
      </c>
      <c r="EC112" s="229">
        <v>6.0900000000000003E-2</v>
      </c>
      <c r="ED112" s="228">
        <v>-9.11</v>
      </c>
      <c r="EE112" s="229">
        <v>-8.6E-3</v>
      </c>
      <c r="EF112" s="230">
        <v>467806</v>
      </c>
      <c r="EG112" s="230">
        <v>673922</v>
      </c>
      <c r="EH112" s="229">
        <v>-0.30580000000000002</v>
      </c>
      <c r="EI112" s="229">
        <v>0.44059999999999999</v>
      </c>
      <c r="EJ112" s="231">
        <v>15563.37</v>
      </c>
      <c r="EK112" s="231">
        <v>3490.88</v>
      </c>
      <c r="EL112" s="231">
        <v>15221.03</v>
      </c>
      <c r="EM112" s="231">
        <v>1905</v>
      </c>
      <c r="EN112" s="231">
        <v>34275.279999999999</v>
      </c>
      <c r="EO112" s="231">
        <v>30574.59</v>
      </c>
      <c r="EP112" s="231">
        <v>3700.69</v>
      </c>
      <c r="EQ112" s="229">
        <v>0.121</v>
      </c>
      <c r="ER112" s="231">
        <v>16044</v>
      </c>
      <c r="ES112" s="231">
        <v>9950</v>
      </c>
      <c r="ET112" s="231">
        <v>45165</v>
      </c>
      <c r="EU112" s="231">
        <v>19924232</v>
      </c>
      <c r="EV112" s="231">
        <v>71159</v>
      </c>
      <c r="EW112" s="231">
        <v>68060</v>
      </c>
      <c r="EX112" s="231">
        <v>3099</v>
      </c>
      <c r="EY112" s="229">
        <v>4.5499999999999999E-2</v>
      </c>
      <c r="EZ112" s="229">
        <v>0.33129999999999998</v>
      </c>
      <c r="FA112" s="227" t="s">
        <v>555</v>
      </c>
      <c r="FB112" s="161">
        <f t="shared" si="1"/>
        <v>257500</v>
      </c>
    </row>
    <row r="113" spans="1:158" ht="17.25" hidden="1" thickBot="1" x14ac:dyDescent="0.3">
      <c r="A113" s="226">
        <v>46029</v>
      </c>
      <c r="B113" s="227" t="s">
        <v>172</v>
      </c>
      <c r="C113" s="227" t="s">
        <v>246</v>
      </c>
      <c r="D113" s="228">
        <v>400</v>
      </c>
      <c r="E113" s="231">
        <v>2149.8000000000002</v>
      </c>
      <c r="F113" s="231">
        <v>2151.6</v>
      </c>
      <c r="G113" s="228">
        <v>-1.8</v>
      </c>
      <c r="H113" s="229">
        <v>-8.0000000000000004E-4</v>
      </c>
      <c r="I113" s="231">
        <v>2144</v>
      </c>
      <c r="J113" s="231">
        <v>2146.4</v>
      </c>
      <c r="K113" s="228">
        <v>-2.4</v>
      </c>
      <c r="L113" s="229">
        <v>-1.1000000000000001E-3</v>
      </c>
      <c r="M113" s="231">
        <v>2149.8000000000002</v>
      </c>
      <c r="N113" s="231">
        <v>2151.6</v>
      </c>
      <c r="O113" s="228">
        <v>-1.8</v>
      </c>
      <c r="P113" s="229">
        <v>-8.0000000000000004E-4</v>
      </c>
      <c r="Q113" s="231">
        <v>2162.1999999999998</v>
      </c>
      <c r="R113" s="231">
        <v>2164.8000000000002</v>
      </c>
      <c r="S113" s="228">
        <v>-2.6</v>
      </c>
      <c r="T113" s="229">
        <v>-1.1999999999999999E-3</v>
      </c>
      <c r="U113" s="231">
        <v>2176.8000000000002</v>
      </c>
      <c r="V113" s="231">
        <v>2180</v>
      </c>
      <c r="W113" s="228">
        <v>-3.2</v>
      </c>
      <c r="X113" s="229">
        <v>-1.5E-3</v>
      </c>
      <c r="Y113" s="228">
        <v>5.8</v>
      </c>
      <c r="Z113" s="228">
        <v>5.2</v>
      </c>
      <c r="AA113" s="228">
        <v>0.6</v>
      </c>
      <c r="AB113" s="229">
        <v>2.7000000000000001E-3</v>
      </c>
      <c r="AC113" s="228">
        <v>5.8</v>
      </c>
      <c r="AD113" s="228">
        <v>5.2</v>
      </c>
      <c r="AE113" s="228">
        <v>0.6</v>
      </c>
      <c r="AF113" s="229">
        <v>2.7000000000000001E-3</v>
      </c>
      <c r="AG113" s="228">
        <v>18.2</v>
      </c>
      <c r="AH113" s="228">
        <v>18.399999999999999</v>
      </c>
      <c r="AI113" s="228">
        <v>-0.2</v>
      </c>
      <c r="AJ113" s="229">
        <v>8.5000000000000006E-3</v>
      </c>
      <c r="AK113" s="228">
        <v>32.799999999999997</v>
      </c>
      <c r="AL113" s="228">
        <v>33.6</v>
      </c>
      <c r="AM113" s="228">
        <v>-0.8</v>
      </c>
      <c r="AN113" s="229">
        <v>1.5299999999999999E-2</v>
      </c>
      <c r="AO113" s="231">
        <v>2140.44</v>
      </c>
      <c r="AP113" s="231">
        <v>2148.5300000000002</v>
      </c>
      <c r="AQ113" s="228">
        <v>0</v>
      </c>
      <c r="AR113" s="230">
        <v>4404000</v>
      </c>
      <c r="AS113" s="230">
        <v>6970800</v>
      </c>
      <c r="AT113" s="230">
        <v>-2566800</v>
      </c>
      <c r="AU113" s="229">
        <v>-0.36820000000000003</v>
      </c>
      <c r="AV113" s="230">
        <v>4165200</v>
      </c>
      <c r="AW113" s="230">
        <v>6724000</v>
      </c>
      <c r="AX113" s="230">
        <v>-2558800</v>
      </c>
      <c r="AY113" s="229">
        <v>-0.3805</v>
      </c>
      <c r="AZ113" s="230">
        <v>164800</v>
      </c>
      <c r="BA113" s="230">
        <v>226400</v>
      </c>
      <c r="BB113" s="230">
        <v>-61600</v>
      </c>
      <c r="BC113" s="229">
        <v>-0.27210000000000001</v>
      </c>
      <c r="BD113" s="230">
        <v>74000</v>
      </c>
      <c r="BE113" s="230">
        <v>20400</v>
      </c>
      <c r="BF113" s="230">
        <v>53600</v>
      </c>
      <c r="BG113" s="229">
        <v>2.6274999999999999</v>
      </c>
      <c r="BH113" s="230">
        <v>11528800</v>
      </c>
      <c r="BI113" s="230">
        <v>20952400</v>
      </c>
      <c r="BJ113" s="230">
        <v>-9423600</v>
      </c>
      <c r="BK113" s="229">
        <v>-0.44979999999999998</v>
      </c>
      <c r="BL113" s="230">
        <v>7148800</v>
      </c>
      <c r="BM113" s="230">
        <v>13333200</v>
      </c>
      <c r="BN113" s="230">
        <v>-6184400</v>
      </c>
      <c r="BO113" s="229">
        <v>-0.46379999999999999</v>
      </c>
      <c r="BP113" s="230">
        <v>23081600</v>
      </c>
      <c r="BQ113" s="230">
        <v>41256400</v>
      </c>
      <c r="BR113" s="230">
        <v>-18174800</v>
      </c>
      <c r="BS113" s="229">
        <v>-0.4405</v>
      </c>
      <c r="BT113" s="230">
        <v>3306480</v>
      </c>
      <c r="BU113" s="230">
        <v>5395470</v>
      </c>
      <c r="BV113" s="230">
        <v>-2088990</v>
      </c>
      <c r="BW113" s="229">
        <v>-0.38719999999999999</v>
      </c>
      <c r="BX113" s="230">
        <v>38535600</v>
      </c>
      <c r="BY113" s="230">
        <v>38812400</v>
      </c>
      <c r="BZ113" s="230">
        <v>-276800</v>
      </c>
      <c r="CA113" s="229">
        <v>-7.1000000000000004E-3</v>
      </c>
      <c r="CB113" s="230">
        <v>38033200</v>
      </c>
      <c r="CC113" s="230">
        <v>38416800</v>
      </c>
      <c r="CD113" s="230">
        <v>-383600</v>
      </c>
      <c r="CE113" s="229">
        <v>-0.01</v>
      </c>
      <c r="CF113" s="230">
        <v>412400</v>
      </c>
      <c r="CG113" s="230">
        <v>351600</v>
      </c>
      <c r="CH113" s="230">
        <v>60800</v>
      </c>
      <c r="CI113" s="229">
        <v>0.1729</v>
      </c>
      <c r="CJ113" s="230">
        <v>90000</v>
      </c>
      <c r="CK113" s="230">
        <v>44000</v>
      </c>
      <c r="CL113" s="230">
        <v>46000</v>
      </c>
      <c r="CM113" s="229">
        <v>1.0455000000000001</v>
      </c>
      <c r="CN113" s="230">
        <v>8492000</v>
      </c>
      <c r="CO113" s="230">
        <v>7773200</v>
      </c>
      <c r="CP113" s="230">
        <v>718800</v>
      </c>
      <c r="CQ113" s="229">
        <v>9.2499999999999999E-2</v>
      </c>
      <c r="CR113" s="230">
        <v>5353200</v>
      </c>
      <c r="CS113" s="230">
        <v>4707200</v>
      </c>
      <c r="CT113" s="230">
        <v>646000</v>
      </c>
      <c r="CU113" s="229">
        <v>0.13719999999999999</v>
      </c>
      <c r="CV113" s="230">
        <v>52380800</v>
      </c>
      <c r="CW113" s="230">
        <v>51292800</v>
      </c>
      <c r="CX113" s="230">
        <v>1088000</v>
      </c>
      <c r="CY113" s="229">
        <v>2.12E-2</v>
      </c>
      <c r="CZ113" s="228">
        <v>22.73</v>
      </c>
      <c r="DA113" s="228">
        <v>22.39</v>
      </c>
      <c r="DB113" s="228">
        <v>0.34</v>
      </c>
      <c r="DC113" s="228">
        <v>0.34</v>
      </c>
      <c r="DD113" s="228">
        <v>25.34</v>
      </c>
      <c r="DE113" s="228">
        <v>25.41</v>
      </c>
      <c r="DF113" s="228">
        <v>-2.61</v>
      </c>
      <c r="DG113" s="228">
        <v>-7.0000000000000007E-2</v>
      </c>
      <c r="DH113" s="228">
        <v>22.48</v>
      </c>
      <c r="DI113" s="228">
        <v>22.31</v>
      </c>
      <c r="DJ113" s="228">
        <v>0.17</v>
      </c>
      <c r="DK113" s="228">
        <v>0.17</v>
      </c>
      <c r="DL113" s="228">
        <v>23.14</v>
      </c>
      <c r="DM113" s="228">
        <v>22.5</v>
      </c>
      <c r="DN113" s="228">
        <v>0.64</v>
      </c>
      <c r="DO113" s="228">
        <v>0.64</v>
      </c>
      <c r="DP113" s="228">
        <v>0.63</v>
      </c>
      <c r="DQ113" s="228">
        <v>0.61</v>
      </c>
      <c r="DR113" s="228">
        <v>0.02</v>
      </c>
      <c r="DS113" s="229">
        <v>3.2800000000000003E-2</v>
      </c>
      <c r="DT113" s="231">
        <v>2200</v>
      </c>
      <c r="DU113" s="231">
        <v>2100</v>
      </c>
      <c r="DV113" s="228">
        <v>0.62</v>
      </c>
      <c r="DW113" s="228">
        <v>0.64</v>
      </c>
      <c r="DX113" s="228">
        <v>-0.02</v>
      </c>
      <c r="DY113" s="229">
        <v>-3.1300000000000001E-2</v>
      </c>
      <c r="DZ113" s="229">
        <v>1.2999999999999999E-2</v>
      </c>
      <c r="EA113" s="230">
        <v>395600</v>
      </c>
      <c r="EB113" s="229">
        <v>5.7999999999999996E-3</v>
      </c>
      <c r="EC113" s="229">
        <v>1.2999999999999999E-2</v>
      </c>
      <c r="ED113" s="228">
        <v>8.09</v>
      </c>
      <c r="EE113" s="229">
        <v>3.8E-3</v>
      </c>
      <c r="EF113" s="230">
        <v>2456965</v>
      </c>
      <c r="EG113" s="230">
        <v>3758188</v>
      </c>
      <c r="EH113" s="229">
        <v>-0.34620000000000001</v>
      </c>
      <c r="EI113" s="229">
        <v>0.74309999999999998</v>
      </c>
      <c r="EJ113" s="231">
        <v>256941.06</v>
      </c>
      <c r="EK113" s="231">
        <v>151779.14000000001</v>
      </c>
      <c r="EL113" s="231">
        <v>94297</v>
      </c>
      <c r="EM113" s="231">
        <v>11848</v>
      </c>
      <c r="EN113" s="231">
        <v>503017.2</v>
      </c>
      <c r="EO113" s="231">
        <v>913354.83</v>
      </c>
      <c r="EP113" s="231">
        <v>-410337.63</v>
      </c>
      <c r="EQ113" s="229">
        <v>-0.44929999999999998</v>
      </c>
      <c r="ER113" s="231">
        <v>189961</v>
      </c>
      <c r="ES113" s="231">
        <v>112544</v>
      </c>
      <c r="ET113" s="231">
        <v>828514</v>
      </c>
      <c r="EU113" s="231">
        <v>156205070</v>
      </c>
      <c r="EV113" s="231">
        <v>1131019</v>
      </c>
      <c r="EW113" s="231">
        <v>1109091</v>
      </c>
      <c r="EX113" s="231">
        <v>21928</v>
      </c>
      <c r="EY113" s="229">
        <v>1.9800000000000002E-2</v>
      </c>
      <c r="EZ113" s="229">
        <v>0.33529999999999999</v>
      </c>
      <c r="FA113" s="227" t="s">
        <v>568</v>
      </c>
      <c r="FB113" s="161">
        <f t="shared" si="1"/>
        <v>502400</v>
      </c>
    </row>
    <row r="114" spans="1:158" ht="17.25" hidden="1" thickBot="1" x14ac:dyDescent="0.3">
      <c r="A114" s="226">
        <v>46029</v>
      </c>
      <c r="B114" s="227" t="s">
        <v>221</v>
      </c>
      <c r="C114" s="227" t="s">
        <v>577</v>
      </c>
      <c r="D114" s="228">
        <v>425</v>
      </c>
      <c r="E114" s="231">
        <v>1212.5999999999999</v>
      </c>
      <c r="F114" s="231">
        <v>1141.0999999999999</v>
      </c>
      <c r="G114" s="228">
        <v>71.5</v>
      </c>
      <c r="H114" s="229">
        <v>6.2700000000000006E-2</v>
      </c>
      <c r="I114" s="231">
        <v>1208.5</v>
      </c>
      <c r="J114" s="231">
        <v>1139.9000000000001</v>
      </c>
      <c r="K114" s="228">
        <v>68.599999999999994</v>
      </c>
      <c r="L114" s="229">
        <v>6.0199999999999997E-2</v>
      </c>
      <c r="M114" s="231">
        <v>1212.5999999999999</v>
      </c>
      <c r="N114" s="231">
        <v>1141.0999999999999</v>
      </c>
      <c r="O114" s="228">
        <v>71.5</v>
      </c>
      <c r="P114" s="229">
        <v>6.2700000000000006E-2</v>
      </c>
      <c r="Q114" s="231">
        <v>1211</v>
      </c>
      <c r="R114" s="231">
        <v>1139.9000000000001</v>
      </c>
      <c r="S114" s="228">
        <v>71.099999999999994</v>
      </c>
      <c r="T114" s="229">
        <v>6.2399999999999997E-2</v>
      </c>
      <c r="U114" s="231">
        <v>1213.2</v>
      </c>
      <c r="V114" s="231">
        <v>1140.4000000000001</v>
      </c>
      <c r="W114" s="228">
        <v>72.8</v>
      </c>
      <c r="X114" s="229">
        <v>6.3799999999999996E-2</v>
      </c>
      <c r="Y114" s="228">
        <v>4.0999999999999996</v>
      </c>
      <c r="Z114" s="228">
        <v>1.2</v>
      </c>
      <c r="AA114" s="228">
        <v>2.9</v>
      </c>
      <c r="AB114" s="229">
        <v>3.3999999999999998E-3</v>
      </c>
      <c r="AC114" s="228">
        <v>4.0999999999999996</v>
      </c>
      <c r="AD114" s="228">
        <v>1.2</v>
      </c>
      <c r="AE114" s="228">
        <v>2.9</v>
      </c>
      <c r="AF114" s="229">
        <v>3.3999999999999998E-3</v>
      </c>
      <c r="AG114" s="228">
        <v>2.5</v>
      </c>
      <c r="AH114" s="228">
        <v>0</v>
      </c>
      <c r="AI114" s="228">
        <v>2.5</v>
      </c>
      <c r="AJ114" s="229">
        <v>2.0999999999999999E-3</v>
      </c>
      <c r="AK114" s="228">
        <v>4.7</v>
      </c>
      <c r="AL114" s="228">
        <v>0.5</v>
      </c>
      <c r="AM114" s="228">
        <v>4.2</v>
      </c>
      <c r="AN114" s="229">
        <v>3.8999999999999998E-3</v>
      </c>
      <c r="AO114" s="231">
        <v>1198.5999999999999</v>
      </c>
      <c r="AP114" s="231">
        <v>1193.6300000000001</v>
      </c>
      <c r="AQ114" s="228">
        <v>0</v>
      </c>
      <c r="AR114" s="230">
        <v>2688125</v>
      </c>
      <c r="AS114" s="230">
        <v>910350</v>
      </c>
      <c r="AT114" s="230">
        <v>1777775</v>
      </c>
      <c r="AU114" s="229">
        <v>1.9528000000000001</v>
      </c>
      <c r="AV114" s="230">
        <v>2470950</v>
      </c>
      <c r="AW114" s="230">
        <v>833850</v>
      </c>
      <c r="AX114" s="230">
        <v>1637100</v>
      </c>
      <c r="AY114" s="229">
        <v>1.9633</v>
      </c>
      <c r="AZ114" s="230">
        <v>190400</v>
      </c>
      <c r="BA114" s="230">
        <v>69700</v>
      </c>
      <c r="BB114" s="230">
        <v>120700</v>
      </c>
      <c r="BC114" s="229">
        <v>1.7317</v>
      </c>
      <c r="BD114" s="230">
        <v>26775</v>
      </c>
      <c r="BE114" s="230">
        <v>6800</v>
      </c>
      <c r="BF114" s="230">
        <v>19975</v>
      </c>
      <c r="BG114" s="229">
        <v>2.9375</v>
      </c>
      <c r="BH114" s="230">
        <v>14773425</v>
      </c>
      <c r="BI114" s="230">
        <v>1597575</v>
      </c>
      <c r="BJ114" s="230">
        <v>13175850</v>
      </c>
      <c r="BK114" s="229">
        <v>8.2474000000000007</v>
      </c>
      <c r="BL114" s="230">
        <v>3530900</v>
      </c>
      <c r="BM114" s="230">
        <v>473025</v>
      </c>
      <c r="BN114" s="230">
        <v>3057875</v>
      </c>
      <c r="BO114" s="229">
        <v>6.4645000000000001</v>
      </c>
      <c r="BP114" s="230">
        <v>20992450</v>
      </c>
      <c r="BQ114" s="230">
        <v>2980950</v>
      </c>
      <c r="BR114" s="230">
        <v>18011500</v>
      </c>
      <c r="BS114" s="229">
        <v>6.0422000000000002</v>
      </c>
      <c r="BT114" s="230">
        <v>2551503</v>
      </c>
      <c r="BU114" s="230">
        <v>387503</v>
      </c>
      <c r="BV114" s="230">
        <v>2164000</v>
      </c>
      <c r="BW114" s="229">
        <v>5.5845000000000002</v>
      </c>
      <c r="BX114" s="230">
        <v>3419550</v>
      </c>
      <c r="BY114" s="230">
        <v>3853050</v>
      </c>
      <c r="BZ114" s="230">
        <v>-433500</v>
      </c>
      <c r="CA114" s="229">
        <v>-0.1125</v>
      </c>
      <c r="CB114" s="230">
        <v>3210875</v>
      </c>
      <c r="CC114" s="230">
        <v>3623125</v>
      </c>
      <c r="CD114" s="230">
        <v>-412250</v>
      </c>
      <c r="CE114" s="229">
        <v>-0.1138</v>
      </c>
      <c r="CF114" s="230">
        <v>183600</v>
      </c>
      <c r="CG114" s="230">
        <v>208675</v>
      </c>
      <c r="CH114" s="230">
        <v>-25075</v>
      </c>
      <c r="CI114" s="229">
        <v>-0.1202</v>
      </c>
      <c r="CJ114" s="230">
        <v>25075</v>
      </c>
      <c r="CK114" s="230">
        <v>21250</v>
      </c>
      <c r="CL114" s="230">
        <v>3825</v>
      </c>
      <c r="CM114" s="229">
        <v>0.18</v>
      </c>
      <c r="CN114" s="230">
        <v>1645600</v>
      </c>
      <c r="CO114" s="230">
        <v>1532975</v>
      </c>
      <c r="CP114" s="230">
        <v>112625</v>
      </c>
      <c r="CQ114" s="229">
        <v>7.3499999999999996E-2</v>
      </c>
      <c r="CR114" s="230">
        <v>1560175</v>
      </c>
      <c r="CS114" s="230">
        <v>1111375</v>
      </c>
      <c r="CT114" s="230">
        <v>448800</v>
      </c>
      <c r="CU114" s="229">
        <v>0.40379999999999999</v>
      </c>
      <c r="CV114" s="230">
        <v>6625325</v>
      </c>
      <c r="CW114" s="230">
        <v>6497400</v>
      </c>
      <c r="CX114" s="230">
        <v>127925</v>
      </c>
      <c r="CY114" s="229">
        <v>1.9699999999999999E-2</v>
      </c>
      <c r="CZ114" s="228">
        <v>32.049999999999997</v>
      </c>
      <c r="DA114" s="228">
        <v>30.48</v>
      </c>
      <c r="DB114" s="228">
        <v>1.57</v>
      </c>
      <c r="DC114" s="228">
        <v>1.57</v>
      </c>
      <c r="DD114" s="228">
        <v>42.94</v>
      </c>
      <c r="DE114" s="228">
        <v>42.28</v>
      </c>
      <c r="DF114" s="228">
        <v>-10.89</v>
      </c>
      <c r="DG114" s="228">
        <v>0.66</v>
      </c>
      <c r="DH114" s="228">
        <v>32.1</v>
      </c>
      <c r="DI114" s="228">
        <v>30.56</v>
      </c>
      <c r="DJ114" s="228">
        <v>1.54</v>
      </c>
      <c r="DK114" s="228">
        <v>1.54</v>
      </c>
      <c r="DL114" s="228">
        <v>31.81</v>
      </c>
      <c r="DM114" s="228">
        <v>30.2</v>
      </c>
      <c r="DN114" s="228">
        <v>1.61</v>
      </c>
      <c r="DO114" s="228">
        <v>1.61</v>
      </c>
      <c r="DP114" s="228">
        <v>0.95</v>
      </c>
      <c r="DQ114" s="228">
        <v>0.72</v>
      </c>
      <c r="DR114" s="228">
        <v>0.23</v>
      </c>
      <c r="DS114" s="229">
        <v>0.31940000000000002</v>
      </c>
      <c r="DT114" s="231">
        <v>1200</v>
      </c>
      <c r="DU114" s="231">
        <v>1100</v>
      </c>
      <c r="DV114" s="228">
        <v>0.24</v>
      </c>
      <c r="DW114" s="228">
        <v>0.3</v>
      </c>
      <c r="DX114" s="228">
        <v>-0.06</v>
      </c>
      <c r="DY114" s="229">
        <v>-0.2</v>
      </c>
      <c r="DZ114" s="229">
        <v>6.0999999999999999E-2</v>
      </c>
      <c r="EA114" s="230">
        <v>229925</v>
      </c>
      <c r="EB114" s="229">
        <v>-1.2999999999999999E-3</v>
      </c>
      <c r="EC114" s="229">
        <v>6.0999999999999999E-2</v>
      </c>
      <c r="ED114" s="228">
        <v>-4.97</v>
      </c>
      <c r="EE114" s="229">
        <v>-4.1000000000000003E-3</v>
      </c>
      <c r="EF114" s="230">
        <v>520382</v>
      </c>
      <c r="EG114" s="230">
        <v>139457</v>
      </c>
      <c r="EH114" s="229">
        <v>2.7315</v>
      </c>
      <c r="EI114" s="229">
        <v>0.20399999999999999</v>
      </c>
      <c r="EJ114" s="231">
        <v>184461.91</v>
      </c>
      <c r="EK114" s="231">
        <v>41311.019999999997</v>
      </c>
      <c r="EL114" s="231">
        <v>32209.52</v>
      </c>
      <c r="EM114" s="231">
        <v>1929</v>
      </c>
      <c r="EN114" s="231">
        <v>257982.45</v>
      </c>
      <c r="EO114" s="231">
        <v>35095.71</v>
      </c>
      <c r="EP114" s="231">
        <v>222886.74</v>
      </c>
      <c r="EQ114" s="229">
        <v>6.3507999999999996</v>
      </c>
      <c r="ER114" s="231">
        <v>20426</v>
      </c>
      <c r="ES114" s="231">
        <v>17780</v>
      </c>
      <c r="ET114" s="231">
        <v>41463</v>
      </c>
      <c r="EU114" s="231">
        <v>24589408</v>
      </c>
      <c r="EV114" s="231">
        <v>79669</v>
      </c>
      <c r="EW114" s="231">
        <v>75256</v>
      </c>
      <c r="EX114" s="231">
        <v>4413</v>
      </c>
      <c r="EY114" s="229">
        <v>5.8599999999999999E-2</v>
      </c>
      <c r="EZ114" s="229">
        <v>0.26939999999999997</v>
      </c>
      <c r="FA114" s="227" t="s">
        <v>556</v>
      </c>
      <c r="FB114" s="161">
        <f t="shared" si="1"/>
        <v>208675</v>
      </c>
    </row>
    <row r="115" spans="1:158" ht="17.25" hidden="1" thickBot="1" x14ac:dyDescent="0.3">
      <c r="A115" s="226">
        <v>46029</v>
      </c>
      <c r="B115" s="227" t="s">
        <v>170</v>
      </c>
      <c r="C115" s="227" t="s">
        <v>535</v>
      </c>
      <c r="D115" s="228">
        <v>850</v>
      </c>
      <c r="E115" s="231">
        <v>1134.4000000000001</v>
      </c>
      <c r="F115" s="231">
        <v>1121.5999999999999</v>
      </c>
      <c r="G115" s="228">
        <v>12.8</v>
      </c>
      <c r="H115" s="229">
        <v>1.14E-2</v>
      </c>
      <c r="I115" s="231">
        <v>1128.5</v>
      </c>
      <c r="J115" s="231">
        <v>1115.9000000000001</v>
      </c>
      <c r="K115" s="228">
        <v>12.6</v>
      </c>
      <c r="L115" s="229">
        <v>1.1299999999999999E-2</v>
      </c>
      <c r="M115" s="231">
        <v>1134.4000000000001</v>
      </c>
      <c r="N115" s="231">
        <v>1121.5999999999999</v>
      </c>
      <c r="O115" s="228">
        <v>12.8</v>
      </c>
      <c r="P115" s="229">
        <v>1.14E-2</v>
      </c>
      <c r="Q115" s="231">
        <v>1140</v>
      </c>
      <c r="R115" s="231">
        <v>1127.9000000000001</v>
      </c>
      <c r="S115" s="228">
        <v>12.1</v>
      </c>
      <c r="T115" s="229">
        <v>1.0699999999999999E-2</v>
      </c>
      <c r="U115" s="231">
        <v>1148.0999999999999</v>
      </c>
      <c r="V115" s="231">
        <v>1134.4000000000001</v>
      </c>
      <c r="W115" s="228">
        <v>13.7</v>
      </c>
      <c r="X115" s="229">
        <v>1.21E-2</v>
      </c>
      <c r="Y115" s="228">
        <v>5.9</v>
      </c>
      <c r="Z115" s="228">
        <v>5.7</v>
      </c>
      <c r="AA115" s="228">
        <v>0.2</v>
      </c>
      <c r="AB115" s="229">
        <v>5.1999999999999998E-3</v>
      </c>
      <c r="AC115" s="228">
        <v>5.9</v>
      </c>
      <c r="AD115" s="228">
        <v>5.7</v>
      </c>
      <c r="AE115" s="228">
        <v>0.2</v>
      </c>
      <c r="AF115" s="229">
        <v>5.1999999999999998E-3</v>
      </c>
      <c r="AG115" s="228">
        <v>11.5</v>
      </c>
      <c r="AH115" s="228">
        <v>12</v>
      </c>
      <c r="AI115" s="228">
        <v>-0.5</v>
      </c>
      <c r="AJ115" s="229">
        <v>1.0200000000000001E-2</v>
      </c>
      <c r="AK115" s="228">
        <v>19.600000000000001</v>
      </c>
      <c r="AL115" s="228">
        <v>18.5</v>
      </c>
      <c r="AM115" s="228">
        <v>1.1000000000000001</v>
      </c>
      <c r="AN115" s="229">
        <v>1.7399999999999999E-2</v>
      </c>
      <c r="AO115" s="231">
        <v>1135.3499999999999</v>
      </c>
      <c r="AP115" s="231">
        <v>1142.1199999999999</v>
      </c>
      <c r="AQ115" s="228">
        <v>0</v>
      </c>
      <c r="AR115" s="230">
        <v>4879000</v>
      </c>
      <c r="AS115" s="230">
        <v>3196000</v>
      </c>
      <c r="AT115" s="230">
        <v>1683000</v>
      </c>
      <c r="AU115" s="229">
        <v>0.52659999999999996</v>
      </c>
      <c r="AV115" s="230">
        <v>4143750</v>
      </c>
      <c r="AW115" s="230">
        <v>3026850</v>
      </c>
      <c r="AX115" s="230">
        <v>1116900</v>
      </c>
      <c r="AY115" s="229">
        <v>0.36899999999999999</v>
      </c>
      <c r="AZ115" s="230">
        <v>696150</v>
      </c>
      <c r="BA115" s="230">
        <v>147050</v>
      </c>
      <c r="BB115" s="230">
        <v>549100</v>
      </c>
      <c r="BC115" s="229">
        <v>3.7341000000000002</v>
      </c>
      <c r="BD115" s="230">
        <v>39100</v>
      </c>
      <c r="BE115" s="230">
        <v>22100</v>
      </c>
      <c r="BF115" s="230">
        <v>17000</v>
      </c>
      <c r="BG115" s="229">
        <v>0.76919999999999999</v>
      </c>
      <c r="BH115" s="230">
        <v>11466500</v>
      </c>
      <c r="BI115" s="230">
        <v>8441350</v>
      </c>
      <c r="BJ115" s="230">
        <v>3025150</v>
      </c>
      <c r="BK115" s="229">
        <v>0.3584</v>
      </c>
      <c r="BL115" s="230">
        <v>6177800</v>
      </c>
      <c r="BM115" s="230">
        <v>4195600</v>
      </c>
      <c r="BN115" s="230">
        <v>1982200</v>
      </c>
      <c r="BO115" s="229">
        <v>0.47239999999999999</v>
      </c>
      <c r="BP115" s="230">
        <v>22523300</v>
      </c>
      <c r="BQ115" s="230">
        <v>15832950</v>
      </c>
      <c r="BR115" s="230">
        <v>6690350</v>
      </c>
      <c r="BS115" s="229">
        <v>0.42259999999999998</v>
      </c>
      <c r="BT115" s="230">
        <v>1406113</v>
      </c>
      <c r="BU115" s="230">
        <v>1164290</v>
      </c>
      <c r="BV115" s="230">
        <v>241823</v>
      </c>
      <c r="BW115" s="229">
        <v>0.2077</v>
      </c>
      <c r="BX115" s="230">
        <v>16696550</v>
      </c>
      <c r="BY115" s="230">
        <v>16254550</v>
      </c>
      <c r="BZ115" s="230">
        <v>442000</v>
      </c>
      <c r="CA115" s="229">
        <v>2.7199999999999998E-2</v>
      </c>
      <c r="CB115" s="230">
        <v>15413050</v>
      </c>
      <c r="CC115" s="230">
        <v>15415600</v>
      </c>
      <c r="CD115" s="230">
        <v>-2550</v>
      </c>
      <c r="CE115" s="229">
        <v>-2.0000000000000001E-4</v>
      </c>
      <c r="CF115" s="230">
        <v>1237600</v>
      </c>
      <c r="CG115" s="230">
        <v>800700</v>
      </c>
      <c r="CH115" s="230">
        <v>436900</v>
      </c>
      <c r="CI115" s="229">
        <v>0.54559999999999997</v>
      </c>
      <c r="CJ115" s="230">
        <v>45900</v>
      </c>
      <c r="CK115" s="230">
        <v>38250</v>
      </c>
      <c r="CL115" s="230">
        <v>7650</v>
      </c>
      <c r="CM115" s="229">
        <v>0.2</v>
      </c>
      <c r="CN115" s="230">
        <v>6232200</v>
      </c>
      <c r="CO115" s="230">
        <v>5706050</v>
      </c>
      <c r="CP115" s="230">
        <v>526150</v>
      </c>
      <c r="CQ115" s="229">
        <v>9.2200000000000004E-2</v>
      </c>
      <c r="CR115" s="230">
        <v>4977600</v>
      </c>
      <c r="CS115" s="230">
        <v>4237250</v>
      </c>
      <c r="CT115" s="230">
        <v>740350</v>
      </c>
      <c r="CU115" s="229">
        <v>0.17469999999999999</v>
      </c>
      <c r="CV115" s="230">
        <v>27906350</v>
      </c>
      <c r="CW115" s="230">
        <v>26197850</v>
      </c>
      <c r="CX115" s="230">
        <v>1708500</v>
      </c>
      <c r="CY115" s="229">
        <v>6.5199999999999994E-2</v>
      </c>
      <c r="CZ115" s="228">
        <v>28.59</v>
      </c>
      <c r="DA115" s="228">
        <v>28.72</v>
      </c>
      <c r="DB115" s="228">
        <v>-0.13</v>
      </c>
      <c r="DC115" s="228">
        <v>-0.13</v>
      </c>
      <c r="DD115" s="228">
        <v>37.49</v>
      </c>
      <c r="DE115" s="228">
        <v>37.56</v>
      </c>
      <c r="DF115" s="228">
        <v>-8.9</v>
      </c>
      <c r="DG115" s="228">
        <v>-7.0000000000000007E-2</v>
      </c>
      <c r="DH115" s="228">
        <v>28.42</v>
      </c>
      <c r="DI115" s="228">
        <v>28.61</v>
      </c>
      <c r="DJ115" s="228">
        <v>-0.19</v>
      </c>
      <c r="DK115" s="228">
        <v>-0.19</v>
      </c>
      <c r="DL115" s="228">
        <v>28.91</v>
      </c>
      <c r="DM115" s="228">
        <v>28.94</v>
      </c>
      <c r="DN115" s="228">
        <v>-0.03</v>
      </c>
      <c r="DO115" s="228">
        <v>-0.03</v>
      </c>
      <c r="DP115" s="228">
        <v>0.8</v>
      </c>
      <c r="DQ115" s="228">
        <v>0.74</v>
      </c>
      <c r="DR115" s="228">
        <v>0.06</v>
      </c>
      <c r="DS115" s="229">
        <v>8.1100000000000005E-2</v>
      </c>
      <c r="DT115" s="231">
        <v>1200</v>
      </c>
      <c r="DU115" s="231">
        <v>1100</v>
      </c>
      <c r="DV115" s="228">
        <v>0.54</v>
      </c>
      <c r="DW115" s="228">
        <v>0.5</v>
      </c>
      <c r="DX115" s="228">
        <v>0.04</v>
      </c>
      <c r="DY115" s="229">
        <v>0.08</v>
      </c>
      <c r="DZ115" s="229">
        <v>7.6899999999999996E-2</v>
      </c>
      <c r="EA115" s="230">
        <v>838950</v>
      </c>
      <c r="EB115" s="229">
        <v>4.8999999999999998E-3</v>
      </c>
      <c r="EC115" s="229">
        <v>7.6899999999999996E-2</v>
      </c>
      <c r="ED115" s="228">
        <v>6.77</v>
      </c>
      <c r="EE115" s="229">
        <v>6.0000000000000001E-3</v>
      </c>
      <c r="EF115" s="230">
        <v>643093</v>
      </c>
      <c r="EG115" s="230">
        <v>492145</v>
      </c>
      <c r="EH115" s="229">
        <v>0.30669999999999997</v>
      </c>
      <c r="EI115" s="229">
        <v>0.45739999999999997</v>
      </c>
      <c r="EJ115" s="231">
        <v>135210.57999999999</v>
      </c>
      <c r="EK115" s="231">
        <v>68989.67</v>
      </c>
      <c r="EL115" s="231">
        <v>55446.11</v>
      </c>
      <c r="EM115" s="231">
        <v>3185</v>
      </c>
      <c r="EN115" s="231">
        <v>259646.36</v>
      </c>
      <c r="EO115" s="231">
        <v>180225.3</v>
      </c>
      <c r="EP115" s="231">
        <v>79421.06</v>
      </c>
      <c r="EQ115" s="229">
        <v>0.44069999999999998</v>
      </c>
      <c r="ER115" s="231">
        <v>70439</v>
      </c>
      <c r="ES115" s="231">
        <v>52674</v>
      </c>
      <c r="ET115" s="231">
        <v>189481</v>
      </c>
      <c r="EU115" s="231">
        <v>58629477</v>
      </c>
      <c r="EV115" s="231">
        <v>312594</v>
      </c>
      <c r="EW115" s="231">
        <v>290915</v>
      </c>
      <c r="EX115" s="231">
        <v>21679</v>
      </c>
      <c r="EY115" s="229">
        <v>7.4499999999999997E-2</v>
      </c>
      <c r="EZ115" s="229">
        <v>0.47599999999999998</v>
      </c>
      <c r="FA115" s="227" t="s">
        <v>555</v>
      </c>
      <c r="FB115" s="161">
        <f t="shared" si="1"/>
        <v>1283500</v>
      </c>
    </row>
    <row r="116" spans="1:158" ht="17.25" hidden="1" thickBot="1" x14ac:dyDescent="0.3">
      <c r="A116" s="226">
        <v>46029</v>
      </c>
      <c r="B116" s="227" t="s">
        <v>175</v>
      </c>
      <c r="C116" s="227" t="s">
        <v>248</v>
      </c>
      <c r="D116" s="228">
        <v>1000</v>
      </c>
      <c r="E116" s="228">
        <v>539.6</v>
      </c>
      <c r="F116" s="228">
        <v>542.04999999999995</v>
      </c>
      <c r="G116" s="228">
        <v>-2.4500000000000002</v>
      </c>
      <c r="H116" s="229">
        <v>-4.4999999999999997E-3</v>
      </c>
      <c r="I116" s="228">
        <v>538.20000000000005</v>
      </c>
      <c r="J116" s="228">
        <v>539.9</v>
      </c>
      <c r="K116" s="228">
        <v>-1.7</v>
      </c>
      <c r="L116" s="229">
        <v>-3.0999999999999999E-3</v>
      </c>
      <c r="M116" s="228">
        <v>539.6</v>
      </c>
      <c r="N116" s="228">
        <v>542.04999999999995</v>
      </c>
      <c r="O116" s="228">
        <v>-2.4500000000000002</v>
      </c>
      <c r="P116" s="229">
        <v>-4.4999999999999997E-3</v>
      </c>
      <c r="Q116" s="228">
        <v>543.25</v>
      </c>
      <c r="R116" s="228">
        <v>545.29999999999995</v>
      </c>
      <c r="S116" s="228">
        <v>-2.0499999999999998</v>
      </c>
      <c r="T116" s="229">
        <v>-3.8E-3</v>
      </c>
      <c r="U116" s="228">
        <v>546.4</v>
      </c>
      <c r="V116" s="228">
        <v>548.29999999999995</v>
      </c>
      <c r="W116" s="228">
        <v>-1.9</v>
      </c>
      <c r="X116" s="229">
        <v>-3.5000000000000001E-3</v>
      </c>
      <c r="Y116" s="228">
        <v>1.4</v>
      </c>
      <c r="Z116" s="228">
        <v>2.15</v>
      </c>
      <c r="AA116" s="228">
        <v>-0.75</v>
      </c>
      <c r="AB116" s="229">
        <v>2.5999999999999999E-3</v>
      </c>
      <c r="AC116" s="228">
        <v>1.4</v>
      </c>
      <c r="AD116" s="228">
        <v>2.15</v>
      </c>
      <c r="AE116" s="228">
        <v>-0.75</v>
      </c>
      <c r="AF116" s="229">
        <v>2.5999999999999999E-3</v>
      </c>
      <c r="AG116" s="228">
        <v>5.05</v>
      </c>
      <c r="AH116" s="228">
        <v>5.4</v>
      </c>
      <c r="AI116" s="228">
        <v>-0.35</v>
      </c>
      <c r="AJ116" s="229">
        <v>9.4000000000000004E-3</v>
      </c>
      <c r="AK116" s="228">
        <v>8.1999999999999993</v>
      </c>
      <c r="AL116" s="228">
        <v>8.4</v>
      </c>
      <c r="AM116" s="228">
        <v>-0.2</v>
      </c>
      <c r="AN116" s="229">
        <v>1.52E-2</v>
      </c>
      <c r="AO116" s="228">
        <v>540.16</v>
      </c>
      <c r="AP116" s="228">
        <v>542.54999999999995</v>
      </c>
      <c r="AQ116" s="228">
        <v>0</v>
      </c>
      <c r="AR116" s="230">
        <v>1929000</v>
      </c>
      <c r="AS116" s="230">
        <v>1655000</v>
      </c>
      <c r="AT116" s="230">
        <v>274000</v>
      </c>
      <c r="AU116" s="229">
        <v>0.1656</v>
      </c>
      <c r="AV116" s="230">
        <v>1715000</v>
      </c>
      <c r="AW116" s="230">
        <v>1535000</v>
      </c>
      <c r="AX116" s="230">
        <v>180000</v>
      </c>
      <c r="AY116" s="229">
        <v>0.1173</v>
      </c>
      <c r="AZ116" s="230">
        <v>190000</v>
      </c>
      <c r="BA116" s="230">
        <v>118000</v>
      </c>
      <c r="BB116" s="230">
        <v>72000</v>
      </c>
      <c r="BC116" s="229">
        <v>0.61019999999999996</v>
      </c>
      <c r="BD116" s="230">
        <v>24000</v>
      </c>
      <c r="BE116" s="230">
        <v>2000</v>
      </c>
      <c r="BF116" s="230">
        <v>22000</v>
      </c>
      <c r="BG116" s="229">
        <v>11</v>
      </c>
      <c r="BH116" s="230">
        <v>4233000</v>
      </c>
      <c r="BI116" s="230">
        <v>3084000</v>
      </c>
      <c r="BJ116" s="230">
        <v>1149000</v>
      </c>
      <c r="BK116" s="229">
        <v>0.37259999999999999</v>
      </c>
      <c r="BL116" s="230">
        <v>3798000</v>
      </c>
      <c r="BM116" s="230">
        <v>1642000</v>
      </c>
      <c r="BN116" s="230">
        <v>2156000</v>
      </c>
      <c r="BO116" s="229">
        <v>1.3129999999999999</v>
      </c>
      <c r="BP116" s="230">
        <v>9960000</v>
      </c>
      <c r="BQ116" s="230">
        <v>6381000</v>
      </c>
      <c r="BR116" s="230">
        <v>3579000</v>
      </c>
      <c r="BS116" s="229">
        <v>0.56089999999999995</v>
      </c>
      <c r="BT116" s="230">
        <v>1148507</v>
      </c>
      <c r="BU116" s="230">
        <v>1256454</v>
      </c>
      <c r="BV116" s="230">
        <v>-107947</v>
      </c>
      <c r="BW116" s="229">
        <v>-8.5900000000000004E-2</v>
      </c>
      <c r="BX116" s="230">
        <v>33412000</v>
      </c>
      <c r="BY116" s="230">
        <v>33194000</v>
      </c>
      <c r="BZ116" s="230">
        <v>218000</v>
      </c>
      <c r="CA116" s="229">
        <v>6.6E-3</v>
      </c>
      <c r="CB116" s="230">
        <v>32390000</v>
      </c>
      <c r="CC116" s="230">
        <v>32289000</v>
      </c>
      <c r="CD116" s="230">
        <v>101000</v>
      </c>
      <c r="CE116" s="229">
        <v>3.0999999999999999E-3</v>
      </c>
      <c r="CF116" s="230">
        <v>971000</v>
      </c>
      <c r="CG116" s="230">
        <v>873000</v>
      </c>
      <c r="CH116" s="230">
        <v>98000</v>
      </c>
      <c r="CI116" s="229">
        <v>0.1123</v>
      </c>
      <c r="CJ116" s="230">
        <v>51000</v>
      </c>
      <c r="CK116" s="230">
        <v>32000</v>
      </c>
      <c r="CL116" s="230">
        <v>19000</v>
      </c>
      <c r="CM116" s="229">
        <v>0.59379999999999999</v>
      </c>
      <c r="CN116" s="230">
        <v>7209000</v>
      </c>
      <c r="CO116" s="230">
        <v>6626000</v>
      </c>
      <c r="CP116" s="230">
        <v>583000</v>
      </c>
      <c r="CQ116" s="229">
        <v>8.7999999999999995E-2</v>
      </c>
      <c r="CR116" s="230">
        <v>8084000</v>
      </c>
      <c r="CS116" s="230">
        <v>7053000</v>
      </c>
      <c r="CT116" s="230">
        <v>1031000</v>
      </c>
      <c r="CU116" s="229">
        <v>0.1462</v>
      </c>
      <c r="CV116" s="230">
        <v>48705000</v>
      </c>
      <c r="CW116" s="230">
        <v>46873000</v>
      </c>
      <c r="CX116" s="230">
        <v>1832000</v>
      </c>
      <c r="CY116" s="229">
        <v>3.9100000000000003E-2</v>
      </c>
      <c r="CZ116" s="228">
        <v>21.91</v>
      </c>
      <c r="DA116" s="228">
        <v>21.2</v>
      </c>
      <c r="DB116" s="228">
        <v>0.71</v>
      </c>
      <c r="DC116" s="228">
        <v>0.71</v>
      </c>
      <c r="DD116" s="228">
        <v>31.8</v>
      </c>
      <c r="DE116" s="228">
        <v>31.87</v>
      </c>
      <c r="DF116" s="228">
        <v>-9.89</v>
      </c>
      <c r="DG116" s="228">
        <v>-7.0000000000000007E-2</v>
      </c>
      <c r="DH116" s="228">
        <v>22.06</v>
      </c>
      <c r="DI116" s="228">
        <v>20.81</v>
      </c>
      <c r="DJ116" s="228">
        <v>1.25</v>
      </c>
      <c r="DK116" s="228">
        <v>1.25</v>
      </c>
      <c r="DL116" s="228">
        <v>21.73</v>
      </c>
      <c r="DM116" s="228">
        <v>21.91</v>
      </c>
      <c r="DN116" s="228">
        <v>-0.18</v>
      </c>
      <c r="DO116" s="228">
        <v>-0.18</v>
      </c>
      <c r="DP116" s="228">
        <v>1.1200000000000001</v>
      </c>
      <c r="DQ116" s="228">
        <v>1.06</v>
      </c>
      <c r="DR116" s="228">
        <v>0.06</v>
      </c>
      <c r="DS116" s="229">
        <v>5.6599999999999998E-2</v>
      </c>
      <c r="DT116" s="228">
        <v>540</v>
      </c>
      <c r="DU116" s="228">
        <v>540</v>
      </c>
      <c r="DV116" s="228">
        <v>0.9</v>
      </c>
      <c r="DW116" s="228">
        <v>0.53</v>
      </c>
      <c r="DX116" s="228">
        <v>0.37</v>
      </c>
      <c r="DY116" s="229">
        <v>0.69810000000000005</v>
      </c>
      <c r="DZ116" s="229">
        <v>3.0599999999999999E-2</v>
      </c>
      <c r="EA116" s="230">
        <v>905000</v>
      </c>
      <c r="EB116" s="229">
        <v>6.7999999999999996E-3</v>
      </c>
      <c r="EC116" s="229">
        <v>3.0599999999999999E-2</v>
      </c>
      <c r="ED116" s="228">
        <v>2.39</v>
      </c>
      <c r="EE116" s="229">
        <v>4.4000000000000003E-3</v>
      </c>
      <c r="EF116" s="230">
        <v>576738</v>
      </c>
      <c r="EG116" s="230">
        <v>832763</v>
      </c>
      <c r="EH116" s="229">
        <v>-0.30740000000000001</v>
      </c>
      <c r="EI116" s="229">
        <v>0.50219999999999998</v>
      </c>
      <c r="EJ116" s="231">
        <v>23669.81</v>
      </c>
      <c r="EK116" s="231">
        <v>20665.810000000001</v>
      </c>
      <c r="EL116" s="231">
        <v>10425.76</v>
      </c>
      <c r="EM116" s="231">
        <v>2576</v>
      </c>
      <c r="EN116" s="231">
        <v>54761.38</v>
      </c>
      <c r="EO116" s="231">
        <v>34923.17</v>
      </c>
      <c r="EP116" s="231">
        <v>19838.21</v>
      </c>
      <c r="EQ116" s="229">
        <v>0.56810000000000005</v>
      </c>
      <c r="ER116" s="231">
        <v>40420</v>
      </c>
      <c r="ES116" s="231">
        <v>43707</v>
      </c>
      <c r="ET116" s="231">
        <v>180330</v>
      </c>
      <c r="EU116" s="231">
        <v>45183075</v>
      </c>
      <c r="EV116" s="231">
        <v>264458</v>
      </c>
      <c r="EW116" s="231">
        <v>255368</v>
      </c>
      <c r="EX116" s="231">
        <v>9090</v>
      </c>
      <c r="EY116" s="229">
        <v>3.56E-2</v>
      </c>
      <c r="EZ116" s="229">
        <v>1.0779000000000001</v>
      </c>
      <c r="FA116" s="227" t="s">
        <v>567</v>
      </c>
      <c r="FB116" s="161">
        <f t="shared" si="1"/>
        <v>1022000</v>
      </c>
    </row>
    <row r="117" spans="1:158" ht="17.25" hidden="1" thickBot="1" x14ac:dyDescent="0.3">
      <c r="A117" s="226">
        <v>46029</v>
      </c>
      <c r="B117" s="227" t="s">
        <v>175</v>
      </c>
      <c r="C117" s="227" t="s">
        <v>607</v>
      </c>
      <c r="D117" s="228">
        <v>700</v>
      </c>
      <c r="E117" s="228">
        <v>853.7</v>
      </c>
      <c r="F117" s="228">
        <v>854.35</v>
      </c>
      <c r="G117" s="228">
        <v>-0.65</v>
      </c>
      <c r="H117" s="229">
        <v>-8.0000000000000004E-4</v>
      </c>
      <c r="I117" s="228">
        <v>851.95</v>
      </c>
      <c r="J117" s="228">
        <v>850.05</v>
      </c>
      <c r="K117" s="228">
        <v>1.9</v>
      </c>
      <c r="L117" s="229">
        <v>2.2000000000000001E-3</v>
      </c>
      <c r="M117" s="228">
        <v>853.7</v>
      </c>
      <c r="N117" s="228">
        <v>854.35</v>
      </c>
      <c r="O117" s="228">
        <v>-0.65</v>
      </c>
      <c r="P117" s="229">
        <v>-8.0000000000000004E-4</v>
      </c>
      <c r="Q117" s="228">
        <v>857.5</v>
      </c>
      <c r="R117" s="228">
        <v>858.4</v>
      </c>
      <c r="S117" s="228">
        <v>-0.9</v>
      </c>
      <c r="T117" s="229">
        <v>-1E-3</v>
      </c>
      <c r="U117" s="228">
        <v>862.9</v>
      </c>
      <c r="V117" s="228">
        <v>863.6</v>
      </c>
      <c r="W117" s="228">
        <v>-0.7</v>
      </c>
      <c r="X117" s="229">
        <v>-8.0000000000000004E-4</v>
      </c>
      <c r="Y117" s="228">
        <v>1.75</v>
      </c>
      <c r="Z117" s="228">
        <v>4.3</v>
      </c>
      <c r="AA117" s="228">
        <v>-2.5499999999999998</v>
      </c>
      <c r="AB117" s="229">
        <v>2.0999999999999999E-3</v>
      </c>
      <c r="AC117" s="228">
        <v>1.75</v>
      </c>
      <c r="AD117" s="228">
        <v>4.3</v>
      </c>
      <c r="AE117" s="228">
        <v>-2.5499999999999998</v>
      </c>
      <c r="AF117" s="229">
        <v>2.0999999999999999E-3</v>
      </c>
      <c r="AG117" s="228">
        <v>5.55</v>
      </c>
      <c r="AH117" s="228">
        <v>8.35</v>
      </c>
      <c r="AI117" s="228">
        <v>-2.8</v>
      </c>
      <c r="AJ117" s="229">
        <v>6.4999999999999997E-3</v>
      </c>
      <c r="AK117" s="228">
        <v>10.95</v>
      </c>
      <c r="AL117" s="228">
        <v>13.55</v>
      </c>
      <c r="AM117" s="228">
        <v>-2.6</v>
      </c>
      <c r="AN117" s="229">
        <v>1.29E-2</v>
      </c>
      <c r="AO117" s="228">
        <v>851.59</v>
      </c>
      <c r="AP117" s="228">
        <v>854.67</v>
      </c>
      <c r="AQ117" s="228">
        <v>0</v>
      </c>
      <c r="AR117" s="230">
        <v>1171100</v>
      </c>
      <c r="AS117" s="230">
        <v>1330700</v>
      </c>
      <c r="AT117" s="230">
        <v>-159600</v>
      </c>
      <c r="AU117" s="229">
        <v>-0.11990000000000001</v>
      </c>
      <c r="AV117" s="230">
        <v>1073100</v>
      </c>
      <c r="AW117" s="230">
        <v>1234100</v>
      </c>
      <c r="AX117" s="230">
        <v>-161000</v>
      </c>
      <c r="AY117" s="229">
        <v>-0.1305</v>
      </c>
      <c r="AZ117" s="230">
        <v>88200</v>
      </c>
      <c r="BA117" s="230">
        <v>82600</v>
      </c>
      <c r="BB117" s="230">
        <v>5600</v>
      </c>
      <c r="BC117" s="229">
        <v>6.7799999999999999E-2</v>
      </c>
      <c r="BD117" s="230">
        <v>9800</v>
      </c>
      <c r="BE117" s="230">
        <v>14000</v>
      </c>
      <c r="BF117" s="230">
        <v>-4200</v>
      </c>
      <c r="BG117" s="229">
        <v>-0.3</v>
      </c>
      <c r="BH117" s="230">
        <v>2587200</v>
      </c>
      <c r="BI117" s="230">
        <v>3462900</v>
      </c>
      <c r="BJ117" s="230">
        <v>-875700</v>
      </c>
      <c r="BK117" s="229">
        <v>-0.25290000000000001</v>
      </c>
      <c r="BL117" s="230">
        <v>1171100</v>
      </c>
      <c r="BM117" s="230">
        <v>1185100</v>
      </c>
      <c r="BN117" s="230">
        <v>-14000</v>
      </c>
      <c r="BO117" s="229">
        <v>-1.18E-2</v>
      </c>
      <c r="BP117" s="230">
        <v>4929400</v>
      </c>
      <c r="BQ117" s="230">
        <v>5978700</v>
      </c>
      <c r="BR117" s="230">
        <v>-1049300</v>
      </c>
      <c r="BS117" s="229">
        <v>-0.17549999999999999</v>
      </c>
      <c r="BT117" s="230">
        <v>901712</v>
      </c>
      <c r="BU117" s="230">
        <v>1003488</v>
      </c>
      <c r="BV117" s="230">
        <v>-101776</v>
      </c>
      <c r="BW117" s="229">
        <v>-0.1014</v>
      </c>
      <c r="BX117" s="230">
        <v>11708900</v>
      </c>
      <c r="BY117" s="230">
        <v>11606000</v>
      </c>
      <c r="BZ117" s="230">
        <v>102900</v>
      </c>
      <c r="CA117" s="229">
        <v>8.8999999999999999E-3</v>
      </c>
      <c r="CB117" s="230">
        <v>10788400</v>
      </c>
      <c r="CC117" s="230">
        <v>10726800</v>
      </c>
      <c r="CD117" s="230">
        <v>61600</v>
      </c>
      <c r="CE117" s="229">
        <v>5.7000000000000002E-3</v>
      </c>
      <c r="CF117" s="230">
        <v>881300</v>
      </c>
      <c r="CG117" s="230">
        <v>842100</v>
      </c>
      <c r="CH117" s="230">
        <v>39200</v>
      </c>
      <c r="CI117" s="229">
        <v>4.6600000000000003E-2</v>
      </c>
      <c r="CJ117" s="230">
        <v>39200</v>
      </c>
      <c r="CK117" s="230">
        <v>37100</v>
      </c>
      <c r="CL117" s="230">
        <v>2100</v>
      </c>
      <c r="CM117" s="229">
        <v>5.6599999999999998E-2</v>
      </c>
      <c r="CN117" s="230">
        <v>5156200</v>
      </c>
      <c r="CO117" s="230">
        <v>4804800</v>
      </c>
      <c r="CP117" s="230">
        <v>351400</v>
      </c>
      <c r="CQ117" s="229">
        <v>7.3099999999999998E-2</v>
      </c>
      <c r="CR117" s="230">
        <v>3625300</v>
      </c>
      <c r="CS117" s="230">
        <v>3374000</v>
      </c>
      <c r="CT117" s="230">
        <v>251300</v>
      </c>
      <c r="CU117" s="229">
        <v>7.4499999999999997E-2</v>
      </c>
      <c r="CV117" s="230">
        <v>20490400</v>
      </c>
      <c r="CW117" s="230">
        <v>19784800</v>
      </c>
      <c r="CX117" s="230">
        <v>705600</v>
      </c>
      <c r="CY117" s="229">
        <v>3.5700000000000003E-2</v>
      </c>
      <c r="CZ117" s="228">
        <v>18.899999999999999</v>
      </c>
      <c r="DA117" s="228">
        <v>19.47</v>
      </c>
      <c r="DB117" s="228">
        <v>-0.56999999999999995</v>
      </c>
      <c r="DC117" s="228">
        <v>-0.56999999999999995</v>
      </c>
      <c r="DD117" s="228">
        <v>29.69</v>
      </c>
      <c r="DE117" s="228">
        <v>29.77</v>
      </c>
      <c r="DF117" s="228">
        <v>-10.79</v>
      </c>
      <c r="DG117" s="228">
        <v>-0.08</v>
      </c>
      <c r="DH117" s="228">
        <v>19.149999999999999</v>
      </c>
      <c r="DI117" s="228">
        <v>19.690000000000001</v>
      </c>
      <c r="DJ117" s="228">
        <v>-0.54</v>
      </c>
      <c r="DK117" s="228">
        <v>-0.54</v>
      </c>
      <c r="DL117" s="228">
        <v>18.350000000000001</v>
      </c>
      <c r="DM117" s="228">
        <v>18.82</v>
      </c>
      <c r="DN117" s="228">
        <v>-0.47</v>
      </c>
      <c r="DO117" s="228">
        <v>-0.47</v>
      </c>
      <c r="DP117" s="228">
        <v>0.7</v>
      </c>
      <c r="DQ117" s="228">
        <v>0.7</v>
      </c>
      <c r="DR117" s="228">
        <v>0</v>
      </c>
      <c r="DS117" s="229">
        <v>0</v>
      </c>
      <c r="DT117" s="228">
        <v>900</v>
      </c>
      <c r="DU117" s="228">
        <v>850</v>
      </c>
      <c r="DV117" s="228">
        <v>0.45</v>
      </c>
      <c r="DW117" s="228">
        <v>0.34</v>
      </c>
      <c r="DX117" s="228">
        <v>0.11</v>
      </c>
      <c r="DY117" s="229">
        <v>0.32350000000000001</v>
      </c>
      <c r="DZ117" s="229">
        <v>7.8600000000000003E-2</v>
      </c>
      <c r="EA117" s="230">
        <v>879200</v>
      </c>
      <c r="EB117" s="229">
        <v>4.4999999999999997E-3</v>
      </c>
      <c r="EC117" s="229">
        <v>7.8600000000000003E-2</v>
      </c>
      <c r="ED117" s="228">
        <v>3.08</v>
      </c>
      <c r="EE117" s="229">
        <v>3.5999999999999999E-3</v>
      </c>
      <c r="EF117" s="230">
        <v>552476</v>
      </c>
      <c r="EG117" s="230">
        <v>661344</v>
      </c>
      <c r="EH117" s="229">
        <v>-0.1646</v>
      </c>
      <c r="EI117" s="229">
        <v>0.61270000000000002</v>
      </c>
      <c r="EJ117" s="231">
        <v>22809.07</v>
      </c>
      <c r="EK117" s="231">
        <v>9922.6200000000008</v>
      </c>
      <c r="EL117" s="231">
        <v>9976.5400000000009</v>
      </c>
      <c r="EM117" s="231">
        <v>1877</v>
      </c>
      <c r="EN117" s="231">
        <v>42708.23</v>
      </c>
      <c r="EO117" s="231">
        <v>52156.26</v>
      </c>
      <c r="EP117" s="231">
        <v>-9448.0300000000007</v>
      </c>
      <c r="EQ117" s="229">
        <v>-0.18110000000000001</v>
      </c>
      <c r="ER117" s="231">
        <v>45611</v>
      </c>
      <c r="ES117" s="231">
        <v>30519</v>
      </c>
      <c r="ET117" s="231">
        <v>99996</v>
      </c>
      <c r="EU117" s="231">
        <v>33206238</v>
      </c>
      <c r="EV117" s="231">
        <v>176126</v>
      </c>
      <c r="EW117" s="231">
        <v>170186</v>
      </c>
      <c r="EX117" s="231">
        <v>5940</v>
      </c>
      <c r="EY117" s="229">
        <v>3.49E-2</v>
      </c>
      <c r="EZ117" s="229">
        <v>0.61709999999999998</v>
      </c>
      <c r="FA117" s="227" t="s">
        <v>567</v>
      </c>
      <c r="FB117" s="161">
        <f t="shared" si="1"/>
        <v>920500</v>
      </c>
    </row>
    <row r="118" spans="1:158" ht="17.25" hidden="1" thickBot="1" x14ac:dyDescent="0.3">
      <c r="A118" s="226">
        <v>46029</v>
      </c>
      <c r="B118" s="227" t="s">
        <v>206</v>
      </c>
      <c r="C118" s="227" t="s">
        <v>588</v>
      </c>
      <c r="D118" s="228">
        <v>450</v>
      </c>
      <c r="E118" s="231">
        <v>1114.7</v>
      </c>
      <c r="F118" s="231">
        <v>1114.5</v>
      </c>
      <c r="G118" s="228">
        <v>0.2</v>
      </c>
      <c r="H118" s="229">
        <v>2.0000000000000001E-4</v>
      </c>
      <c r="I118" s="231">
        <v>1110.9000000000001</v>
      </c>
      <c r="J118" s="231">
        <v>1112.0999999999999</v>
      </c>
      <c r="K118" s="228">
        <v>-1.2</v>
      </c>
      <c r="L118" s="229">
        <v>-1.1000000000000001E-3</v>
      </c>
      <c r="M118" s="231">
        <v>1114.7</v>
      </c>
      <c r="N118" s="231">
        <v>1114.5</v>
      </c>
      <c r="O118" s="228">
        <v>0.2</v>
      </c>
      <c r="P118" s="229">
        <v>2.0000000000000001E-4</v>
      </c>
      <c r="Q118" s="231">
        <v>1121.0999999999999</v>
      </c>
      <c r="R118" s="231">
        <v>1121.4000000000001</v>
      </c>
      <c r="S118" s="228">
        <v>-0.3</v>
      </c>
      <c r="T118" s="229">
        <v>-2.9999999999999997E-4</v>
      </c>
      <c r="U118" s="231">
        <v>1128.8</v>
      </c>
      <c r="V118" s="231">
        <v>1128.3</v>
      </c>
      <c r="W118" s="228">
        <v>0.5</v>
      </c>
      <c r="X118" s="229">
        <v>4.0000000000000002E-4</v>
      </c>
      <c r="Y118" s="228">
        <v>3.8</v>
      </c>
      <c r="Z118" s="228">
        <v>2.4</v>
      </c>
      <c r="AA118" s="228">
        <v>1.4</v>
      </c>
      <c r="AB118" s="229">
        <v>3.3999999999999998E-3</v>
      </c>
      <c r="AC118" s="228">
        <v>3.8</v>
      </c>
      <c r="AD118" s="228">
        <v>2.4</v>
      </c>
      <c r="AE118" s="228">
        <v>1.4</v>
      </c>
      <c r="AF118" s="229">
        <v>3.3999999999999998E-3</v>
      </c>
      <c r="AG118" s="228">
        <v>10.199999999999999</v>
      </c>
      <c r="AH118" s="228">
        <v>9.3000000000000007</v>
      </c>
      <c r="AI118" s="228">
        <v>0.9</v>
      </c>
      <c r="AJ118" s="229">
        <v>9.1999999999999998E-3</v>
      </c>
      <c r="AK118" s="228">
        <v>17.899999999999999</v>
      </c>
      <c r="AL118" s="228">
        <v>16.2</v>
      </c>
      <c r="AM118" s="228">
        <v>1.7</v>
      </c>
      <c r="AN118" s="229">
        <v>1.61E-2</v>
      </c>
      <c r="AO118" s="231">
        <v>1120.6300000000001</v>
      </c>
      <c r="AP118" s="231">
        <v>1128.67</v>
      </c>
      <c r="AQ118" s="228">
        <v>0</v>
      </c>
      <c r="AR118" s="230">
        <v>2092050</v>
      </c>
      <c r="AS118" s="230">
        <v>1201050</v>
      </c>
      <c r="AT118" s="230">
        <v>891000</v>
      </c>
      <c r="AU118" s="229">
        <v>0.7419</v>
      </c>
      <c r="AV118" s="230">
        <v>2013750</v>
      </c>
      <c r="AW118" s="230">
        <v>1145250</v>
      </c>
      <c r="AX118" s="230">
        <v>868500</v>
      </c>
      <c r="AY118" s="229">
        <v>0.75829999999999997</v>
      </c>
      <c r="AZ118" s="230">
        <v>72450</v>
      </c>
      <c r="BA118" s="230">
        <v>49950</v>
      </c>
      <c r="BB118" s="230">
        <v>22500</v>
      </c>
      <c r="BC118" s="229">
        <v>0.45050000000000001</v>
      </c>
      <c r="BD118" s="230">
        <v>5850</v>
      </c>
      <c r="BE118" s="230">
        <v>5850</v>
      </c>
      <c r="BF118" s="228">
        <v>0</v>
      </c>
      <c r="BG118" s="229">
        <v>0</v>
      </c>
      <c r="BH118" s="230">
        <v>5950350</v>
      </c>
      <c r="BI118" s="230">
        <v>2565450</v>
      </c>
      <c r="BJ118" s="230">
        <v>3384900</v>
      </c>
      <c r="BK118" s="229">
        <v>1.3193999999999999</v>
      </c>
      <c r="BL118" s="230">
        <v>2313900</v>
      </c>
      <c r="BM118" s="230">
        <v>1170000</v>
      </c>
      <c r="BN118" s="230">
        <v>1143900</v>
      </c>
      <c r="BO118" s="229">
        <v>0.97770000000000001</v>
      </c>
      <c r="BP118" s="230">
        <v>10356300</v>
      </c>
      <c r="BQ118" s="230">
        <v>4936500</v>
      </c>
      <c r="BR118" s="230">
        <v>5419800</v>
      </c>
      <c r="BS118" s="229">
        <v>1.0979000000000001</v>
      </c>
      <c r="BT118" s="230">
        <v>2695035</v>
      </c>
      <c r="BU118" s="230">
        <v>2369549</v>
      </c>
      <c r="BV118" s="230">
        <v>325486</v>
      </c>
      <c r="BW118" s="229">
        <v>0.13739999999999999</v>
      </c>
      <c r="BX118" s="230">
        <v>12344400</v>
      </c>
      <c r="BY118" s="230">
        <v>12505500</v>
      </c>
      <c r="BZ118" s="230">
        <v>-161100</v>
      </c>
      <c r="CA118" s="229">
        <v>-1.29E-2</v>
      </c>
      <c r="CB118" s="230">
        <v>12102750</v>
      </c>
      <c r="CC118" s="230">
        <v>12281400</v>
      </c>
      <c r="CD118" s="230">
        <v>-178650</v>
      </c>
      <c r="CE118" s="229">
        <v>-1.4500000000000001E-2</v>
      </c>
      <c r="CF118" s="230">
        <v>225900</v>
      </c>
      <c r="CG118" s="230">
        <v>211950</v>
      </c>
      <c r="CH118" s="230">
        <v>13950</v>
      </c>
      <c r="CI118" s="229">
        <v>6.5799999999999997E-2</v>
      </c>
      <c r="CJ118" s="230">
        <v>15750</v>
      </c>
      <c r="CK118" s="230">
        <v>12150</v>
      </c>
      <c r="CL118" s="230">
        <v>3600</v>
      </c>
      <c r="CM118" s="229">
        <v>0.29630000000000001</v>
      </c>
      <c r="CN118" s="230">
        <v>2805300</v>
      </c>
      <c r="CO118" s="230">
        <v>2303100</v>
      </c>
      <c r="CP118" s="230">
        <v>502200</v>
      </c>
      <c r="CQ118" s="229">
        <v>0.21809999999999999</v>
      </c>
      <c r="CR118" s="230">
        <v>1903950</v>
      </c>
      <c r="CS118" s="230">
        <v>1801350</v>
      </c>
      <c r="CT118" s="230">
        <v>102600</v>
      </c>
      <c r="CU118" s="229">
        <v>5.7000000000000002E-2</v>
      </c>
      <c r="CV118" s="230">
        <v>17053650</v>
      </c>
      <c r="CW118" s="230">
        <v>16609950</v>
      </c>
      <c r="CX118" s="230">
        <v>443700</v>
      </c>
      <c r="CY118" s="229">
        <v>2.6700000000000002E-2</v>
      </c>
      <c r="CZ118" s="228">
        <v>30.25</v>
      </c>
      <c r="DA118" s="228">
        <v>30.37</v>
      </c>
      <c r="DB118" s="228">
        <v>-0.12</v>
      </c>
      <c r="DC118" s="228">
        <v>-0.12</v>
      </c>
      <c r="DD118" s="228">
        <v>42.91</v>
      </c>
      <c r="DE118" s="228">
        <v>43.02</v>
      </c>
      <c r="DF118" s="228">
        <v>-12.66</v>
      </c>
      <c r="DG118" s="228">
        <v>-0.11</v>
      </c>
      <c r="DH118" s="228">
        <v>30.35</v>
      </c>
      <c r="DI118" s="228">
        <v>30.26</v>
      </c>
      <c r="DJ118" s="228">
        <v>0.09</v>
      </c>
      <c r="DK118" s="228">
        <v>0.09</v>
      </c>
      <c r="DL118" s="228">
        <v>30</v>
      </c>
      <c r="DM118" s="228">
        <v>30.59</v>
      </c>
      <c r="DN118" s="228">
        <v>-0.59</v>
      </c>
      <c r="DO118" s="228">
        <v>-0.59</v>
      </c>
      <c r="DP118" s="228">
        <v>0.68</v>
      </c>
      <c r="DQ118" s="228">
        <v>0.78</v>
      </c>
      <c r="DR118" s="228">
        <v>-0.1</v>
      </c>
      <c r="DS118" s="229">
        <v>-0.12820000000000001</v>
      </c>
      <c r="DT118" s="231">
        <v>1120</v>
      </c>
      <c r="DU118" s="231">
        <v>1000</v>
      </c>
      <c r="DV118" s="228">
        <v>0.39</v>
      </c>
      <c r="DW118" s="228">
        <v>0.46</v>
      </c>
      <c r="DX118" s="228">
        <v>-7.0000000000000007E-2</v>
      </c>
      <c r="DY118" s="229">
        <v>-0.1522</v>
      </c>
      <c r="DZ118" s="229">
        <v>1.9599999999999999E-2</v>
      </c>
      <c r="EA118" s="230">
        <v>224100</v>
      </c>
      <c r="EB118" s="229">
        <v>5.7000000000000002E-3</v>
      </c>
      <c r="EC118" s="229">
        <v>1.9599999999999999E-2</v>
      </c>
      <c r="ED118" s="228">
        <v>8.0399999999999991</v>
      </c>
      <c r="EE118" s="229">
        <v>7.1999999999999998E-3</v>
      </c>
      <c r="EF118" s="230">
        <v>1422785</v>
      </c>
      <c r="EG118" s="230">
        <v>1831751</v>
      </c>
      <c r="EH118" s="229">
        <v>-0.2233</v>
      </c>
      <c r="EI118" s="229">
        <v>0.52790000000000004</v>
      </c>
      <c r="EJ118" s="231">
        <v>69593.490000000005</v>
      </c>
      <c r="EK118" s="231">
        <v>25887.98</v>
      </c>
      <c r="EL118" s="231">
        <v>23450.7</v>
      </c>
      <c r="EM118" s="231">
        <v>3117</v>
      </c>
      <c r="EN118" s="231">
        <v>118932.17</v>
      </c>
      <c r="EO118" s="231">
        <v>56166.43</v>
      </c>
      <c r="EP118" s="231">
        <v>62765.74</v>
      </c>
      <c r="EQ118" s="229">
        <v>1.1174999999999999</v>
      </c>
      <c r="ER118" s="231">
        <v>32013</v>
      </c>
      <c r="ES118" s="231">
        <v>20309</v>
      </c>
      <c r="ET118" s="231">
        <v>137620</v>
      </c>
      <c r="EU118" s="231">
        <v>42126960</v>
      </c>
      <c r="EV118" s="231">
        <v>189941</v>
      </c>
      <c r="EW118" s="231">
        <v>184838</v>
      </c>
      <c r="EX118" s="231">
        <v>5103</v>
      </c>
      <c r="EY118" s="229">
        <v>2.76E-2</v>
      </c>
      <c r="EZ118" s="229">
        <v>0.40479999999999999</v>
      </c>
      <c r="FA118" s="227" t="s">
        <v>556</v>
      </c>
      <c r="FB118" s="161">
        <f t="shared" si="1"/>
        <v>241650</v>
      </c>
    </row>
    <row r="119" spans="1:158" ht="17.25" hidden="1" thickBot="1" x14ac:dyDescent="0.3">
      <c r="A119" s="226">
        <v>46029</v>
      </c>
      <c r="B119" s="227" t="s">
        <v>184</v>
      </c>
      <c r="C119" s="227" t="s">
        <v>249</v>
      </c>
      <c r="D119" s="228">
        <v>175</v>
      </c>
      <c r="E119" s="231">
        <v>4164.3</v>
      </c>
      <c r="F119" s="231">
        <v>4160.1000000000004</v>
      </c>
      <c r="G119" s="228">
        <v>4.2</v>
      </c>
      <c r="H119" s="229">
        <v>1E-3</v>
      </c>
      <c r="I119" s="231">
        <v>4157</v>
      </c>
      <c r="J119" s="231">
        <v>4140.6000000000004</v>
      </c>
      <c r="K119" s="228">
        <v>16.399999999999999</v>
      </c>
      <c r="L119" s="229">
        <v>4.0000000000000001E-3</v>
      </c>
      <c r="M119" s="231">
        <v>4164.3</v>
      </c>
      <c r="N119" s="231">
        <v>4160.1000000000004</v>
      </c>
      <c r="O119" s="228">
        <v>4.2</v>
      </c>
      <c r="P119" s="229">
        <v>1E-3</v>
      </c>
      <c r="Q119" s="231">
        <v>4191</v>
      </c>
      <c r="R119" s="231">
        <v>4182.2</v>
      </c>
      <c r="S119" s="228">
        <v>8.8000000000000007</v>
      </c>
      <c r="T119" s="229">
        <v>2.0999999999999999E-3</v>
      </c>
      <c r="U119" s="231">
        <v>4213.3</v>
      </c>
      <c r="V119" s="231">
        <v>4206</v>
      </c>
      <c r="W119" s="228">
        <v>7.3</v>
      </c>
      <c r="X119" s="229">
        <v>1.6999999999999999E-3</v>
      </c>
      <c r="Y119" s="228">
        <v>7.3</v>
      </c>
      <c r="Z119" s="228">
        <v>19.5</v>
      </c>
      <c r="AA119" s="228">
        <v>-12.2</v>
      </c>
      <c r="AB119" s="229">
        <v>1.8E-3</v>
      </c>
      <c r="AC119" s="228">
        <v>7.3</v>
      </c>
      <c r="AD119" s="228">
        <v>19.5</v>
      </c>
      <c r="AE119" s="228">
        <v>-12.2</v>
      </c>
      <c r="AF119" s="229">
        <v>1.8E-3</v>
      </c>
      <c r="AG119" s="228">
        <v>34</v>
      </c>
      <c r="AH119" s="228">
        <v>41.6</v>
      </c>
      <c r="AI119" s="228">
        <v>-7.6</v>
      </c>
      <c r="AJ119" s="229">
        <v>8.2000000000000007E-3</v>
      </c>
      <c r="AK119" s="228">
        <v>56.3</v>
      </c>
      <c r="AL119" s="228">
        <v>65.400000000000006</v>
      </c>
      <c r="AM119" s="228">
        <v>-9.1</v>
      </c>
      <c r="AN119" s="229">
        <v>1.35E-2</v>
      </c>
      <c r="AO119" s="231">
        <v>4141.8</v>
      </c>
      <c r="AP119" s="231">
        <v>4164.03</v>
      </c>
      <c r="AQ119" s="228">
        <v>0</v>
      </c>
      <c r="AR119" s="230">
        <v>1426425</v>
      </c>
      <c r="AS119" s="230">
        <v>1196825</v>
      </c>
      <c r="AT119" s="230">
        <v>229600</v>
      </c>
      <c r="AU119" s="229">
        <v>0.1918</v>
      </c>
      <c r="AV119" s="230">
        <v>1347150</v>
      </c>
      <c r="AW119" s="230">
        <v>1129625</v>
      </c>
      <c r="AX119" s="230">
        <v>217525</v>
      </c>
      <c r="AY119" s="229">
        <v>0.19259999999999999</v>
      </c>
      <c r="AZ119" s="230">
        <v>47425</v>
      </c>
      <c r="BA119" s="230">
        <v>61600</v>
      </c>
      <c r="BB119" s="230">
        <v>-14175</v>
      </c>
      <c r="BC119" s="229">
        <v>-0.2301</v>
      </c>
      <c r="BD119" s="230">
        <v>31850</v>
      </c>
      <c r="BE119" s="230">
        <v>5600</v>
      </c>
      <c r="BF119" s="230">
        <v>26250</v>
      </c>
      <c r="BG119" s="229">
        <v>4.6875</v>
      </c>
      <c r="BH119" s="230">
        <v>4297300</v>
      </c>
      <c r="BI119" s="230">
        <v>3804675</v>
      </c>
      <c r="BJ119" s="230">
        <v>492625</v>
      </c>
      <c r="BK119" s="229">
        <v>0.1295</v>
      </c>
      <c r="BL119" s="230">
        <v>2731750</v>
      </c>
      <c r="BM119" s="230">
        <v>1858850</v>
      </c>
      <c r="BN119" s="230">
        <v>872900</v>
      </c>
      <c r="BO119" s="229">
        <v>0.46960000000000002</v>
      </c>
      <c r="BP119" s="230">
        <v>8455475</v>
      </c>
      <c r="BQ119" s="230">
        <v>6860350</v>
      </c>
      <c r="BR119" s="230">
        <v>1595125</v>
      </c>
      <c r="BS119" s="229">
        <v>0.23250000000000001</v>
      </c>
      <c r="BT119" s="230">
        <v>1294910</v>
      </c>
      <c r="BU119" s="230">
        <v>1234843</v>
      </c>
      <c r="BV119" s="230">
        <v>60067</v>
      </c>
      <c r="BW119" s="229">
        <v>4.8599999999999997E-2</v>
      </c>
      <c r="BX119" s="230">
        <v>13569500</v>
      </c>
      <c r="BY119" s="230">
        <v>13673625</v>
      </c>
      <c r="BZ119" s="230">
        <v>-104125</v>
      </c>
      <c r="CA119" s="229">
        <v>-7.6E-3</v>
      </c>
      <c r="CB119" s="230">
        <v>13271300</v>
      </c>
      <c r="CC119" s="230">
        <v>13401150</v>
      </c>
      <c r="CD119" s="230">
        <v>-129850</v>
      </c>
      <c r="CE119" s="229">
        <v>-9.7000000000000003E-3</v>
      </c>
      <c r="CF119" s="230">
        <v>251300</v>
      </c>
      <c r="CG119" s="230">
        <v>247100</v>
      </c>
      <c r="CH119" s="230">
        <v>4200</v>
      </c>
      <c r="CI119" s="229">
        <v>1.7000000000000001E-2</v>
      </c>
      <c r="CJ119" s="230">
        <v>46900</v>
      </c>
      <c r="CK119" s="230">
        <v>25375</v>
      </c>
      <c r="CL119" s="230">
        <v>21525</v>
      </c>
      <c r="CM119" s="229">
        <v>0.84830000000000005</v>
      </c>
      <c r="CN119" s="230">
        <v>3448200</v>
      </c>
      <c r="CO119" s="230">
        <v>3015425</v>
      </c>
      <c r="CP119" s="230">
        <v>432775</v>
      </c>
      <c r="CQ119" s="229">
        <v>0.14349999999999999</v>
      </c>
      <c r="CR119" s="230">
        <v>2295650</v>
      </c>
      <c r="CS119" s="230">
        <v>2213750</v>
      </c>
      <c r="CT119" s="230">
        <v>81900</v>
      </c>
      <c r="CU119" s="229">
        <v>3.6999999999999998E-2</v>
      </c>
      <c r="CV119" s="230">
        <v>19313350</v>
      </c>
      <c r="CW119" s="230">
        <v>18902800</v>
      </c>
      <c r="CX119" s="230">
        <v>410550</v>
      </c>
      <c r="CY119" s="229">
        <v>2.1700000000000001E-2</v>
      </c>
      <c r="CZ119" s="228">
        <v>15.83</v>
      </c>
      <c r="DA119" s="228">
        <v>16.309999999999999</v>
      </c>
      <c r="DB119" s="228">
        <v>-0.48</v>
      </c>
      <c r="DC119" s="228">
        <v>-0.48</v>
      </c>
      <c r="DD119" s="228">
        <v>25.36</v>
      </c>
      <c r="DE119" s="228">
        <v>25.42</v>
      </c>
      <c r="DF119" s="228">
        <v>-9.5299999999999994</v>
      </c>
      <c r="DG119" s="228">
        <v>-0.06</v>
      </c>
      <c r="DH119" s="228">
        <v>15.43</v>
      </c>
      <c r="DI119" s="228">
        <v>16.170000000000002</v>
      </c>
      <c r="DJ119" s="228">
        <v>-0.74</v>
      </c>
      <c r="DK119" s="228">
        <v>-0.74</v>
      </c>
      <c r="DL119" s="228">
        <v>16.46</v>
      </c>
      <c r="DM119" s="228">
        <v>16.61</v>
      </c>
      <c r="DN119" s="228">
        <v>-0.15</v>
      </c>
      <c r="DO119" s="228">
        <v>-0.15</v>
      </c>
      <c r="DP119" s="228">
        <v>0.67</v>
      </c>
      <c r="DQ119" s="228">
        <v>0.73</v>
      </c>
      <c r="DR119" s="228">
        <v>-0.06</v>
      </c>
      <c r="DS119" s="229">
        <v>-8.2199999999999995E-2</v>
      </c>
      <c r="DT119" s="231">
        <v>4200</v>
      </c>
      <c r="DU119" s="231">
        <v>4100</v>
      </c>
      <c r="DV119" s="228">
        <v>0.64</v>
      </c>
      <c r="DW119" s="228">
        <v>0.49</v>
      </c>
      <c r="DX119" s="228">
        <v>0.15</v>
      </c>
      <c r="DY119" s="229">
        <v>0.30609999999999998</v>
      </c>
      <c r="DZ119" s="229">
        <v>2.1999999999999999E-2</v>
      </c>
      <c r="EA119" s="230">
        <v>272475</v>
      </c>
      <c r="EB119" s="229">
        <v>6.4000000000000003E-3</v>
      </c>
      <c r="EC119" s="229">
        <v>2.1999999999999999E-2</v>
      </c>
      <c r="ED119" s="228">
        <v>22.23</v>
      </c>
      <c r="EE119" s="229">
        <v>5.4000000000000003E-3</v>
      </c>
      <c r="EF119" s="230">
        <v>803160</v>
      </c>
      <c r="EG119" s="230">
        <v>661294</v>
      </c>
      <c r="EH119" s="229">
        <v>0.2145</v>
      </c>
      <c r="EI119" s="229">
        <v>0.62019999999999997</v>
      </c>
      <c r="EJ119" s="231">
        <v>182640.53</v>
      </c>
      <c r="EK119" s="231">
        <v>112748.55</v>
      </c>
      <c r="EL119" s="231">
        <v>59110.59</v>
      </c>
      <c r="EM119" s="231">
        <v>7049</v>
      </c>
      <c r="EN119" s="231">
        <v>354499.67</v>
      </c>
      <c r="EO119" s="231">
        <v>289112.07</v>
      </c>
      <c r="EP119" s="231">
        <v>65387.6</v>
      </c>
      <c r="EQ119" s="229">
        <v>0.22620000000000001</v>
      </c>
      <c r="ER119" s="231">
        <v>144377</v>
      </c>
      <c r="ES119" s="231">
        <v>92293</v>
      </c>
      <c r="ET119" s="231">
        <v>565165</v>
      </c>
      <c r="EU119" s="231">
        <v>136109374</v>
      </c>
      <c r="EV119" s="231">
        <v>801835</v>
      </c>
      <c r="EW119" s="231">
        <v>784100</v>
      </c>
      <c r="EX119" s="231">
        <v>17735</v>
      </c>
      <c r="EY119" s="229">
        <v>2.2599999999999999E-2</v>
      </c>
      <c r="EZ119" s="229">
        <v>0.1419</v>
      </c>
      <c r="FA119" s="227" t="s">
        <v>556</v>
      </c>
      <c r="FB119" s="161">
        <f t="shared" si="1"/>
        <v>298200</v>
      </c>
    </row>
    <row r="120" spans="1:158" ht="17.25" hidden="1" thickBot="1" x14ac:dyDescent="0.3">
      <c r="A120" s="226">
        <v>46029</v>
      </c>
      <c r="B120" s="227" t="s">
        <v>175</v>
      </c>
      <c r="C120" s="227" t="s">
        <v>565</v>
      </c>
      <c r="D120" s="228">
        <v>2250</v>
      </c>
      <c r="E120" s="228">
        <v>314.2</v>
      </c>
      <c r="F120" s="228">
        <v>319.75</v>
      </c>
      <c r="G120" s="228">
        <v>-5.55</v>
      </c>
      <c r="H120" s="229">
        <v>-1.7399999999999999E-2</v>
      </c>
      <c r="I120" s="228">
        <v>313.95</v>
      </c>
      <c r="J120" s="228">
        <v>319.35000000000002</v>
      </c>
      <c r="K120" s="228">
        <v>-5.4</v>
      </c>
      <c r="L120" s="229">
        <v>-1.6899999999999998E-2</v>
      </c>
      <c r="M120" s="228">
        <v>314.2</v>
      </c>
      <c r="N120" s="228">
        <v>319.75</v>
      </c>
      <c r="O120" s="228">
        <v>-5.55</v>
      </c>
      <c r="P120" s="229">
        <v>-1.7399999999999999E-2</v>
      </c>
      <c r="Q120" s="228">
        <v>315.75</v>
      </c>
      <c r="R120" s="228">
        <v>320.39999999999998</v>
      </c>
      <c r="S120" s="228">
        <v>-4.6500000000000004</v>
      </c>
      <c r="T120" s="229">
        <v>-1.4500000000000001E-2</v>
      </c>
      <c r="U120" s="228">
        <v>316.60000000000002</v>
      </c>
      <c r="V120" s="228">
        <v>321.55</v>
      </c>
      <c r="W120" s="228">
        <v>-4.95</v>
      </c>
      <c r="X120" s="229">
        <v>-1.54E-2</v>
      </c>
      <c r="Y120" s="228">
        <v>0.25</v>
      </c>
      <c r="Z120" s="228">
        <v>0.4</v>
      </c>
      <c r="AA120" s="228">
        <v>-0.15</v>
      </c>
      <c r="AB120" s="229">
        <v>8.0000000000000004E-4</v>
      </c>
      <c r="AC120" s="228">
        <v>0.25</v>
      </c>
      <c r="AD120" s="228">
        <v>0.4</v>
      </c>
      <c r="AE120" s="228">
        <v>-0.15</v>
      </c>
      <c r="AF120" s="229">
        <v>8.0000000000000004E-4</v>
      </c>
      <c r="AG120" s="228">
        <v>1.8</v>
      </c>
      <c r="AH120" s="228">
        <v>1.05</v>
      </c>
      <c r="AI120" s="228">
        <v>0.75</v>
      </c>
      <c r="AJ120" s="229">
        <v>5.7000000000000002E-3</v>
      </c>
      <c r="AK120" s="228">
        <v>2.65</v>
      </c>
      <c r="AL120" s="228">
        <v>2.2000000000000002</v>
      </c>
      <c r="AM120" s="228">
        <v>0.45</v>
      </c>
      <c r="AN120" s="229">
        <v>8.3999999999999995E-3</v>
      </c>
      <c r="AO120" s="228">
        <v>314.18</v>
      </c>
      <c r="AP120" s="228">
        <v>315.5</v>
      </c>
      <c r="AQ120" s="228">
        <v>0</v>
      </c>
      <c r="AR120" s="230">
        <v>14456250</v>
      </c>
      <c r="AS120" s="230">
        <v>15072750</v>
      </c>
      <c r="AT120" s="230">
        <v>-616500</v>
      </c>
      <c r="AU120" s="229">
        <v>-4.0899999999999999E-2</v>
      </c>
      <c r="AV120" s="230">
        <v>13421250</v>
      </c>
      <c r="AW120" s="230">
        <v>14400000</v>
      </c>
      <c r="AX120" s="230">
        <v>-978750</v>
      </c>
      <c r="AY120" s="229">
        <v>-6.8000000000000005E-2</v>
      </c>
      <c r="AZ120" s="230">
        <v>875250</v>
      </c>
      <c r="BA120" s="230">
        <v>519750</v>
      </c>
      <c r="BB120" s="230">
        <v>355500</v>
      </c>
      <c r="BC120" s="229">
        <v>0.68400000000000005</v>
      </c>
      <c r="BD120" s="230">
        <v>159750</v>
      </c>
      <c r="BE120" s="230">
        <v>153000</v>
      </c>
      <c r="BF120" s="230">
        <v>6750</v>
      </c>
      <c r="BG120" s="229">
        <v>4.41E-2</v>
      </c>
      <c r="BH120" s="230">
        <v>25229250</v>
      </c>
      <c r="BI120" s="230">
        <v>49812750</v>
      </c>
      <c r="BJ120" s="230">
        <v>-24583500</v>
      </c>
      <c r="BK120" s="229">
        <v>-0.49349999999999999</v>
      </c>
      <c r="BL120" s="230">
        <v>15255000</v>
      </c>
      <c r="BM120" s="230">
        <v>21368250</v>
      </c>
      <c r="BN120" s="230">
        <v>-6113250</v>
      </c>
      <c r="BO120" s="229">
        <v>-0.28610000000000002</v>
      </c>
      <c r="BP120" s="230">
        <v>54940500</v>
      </c>
      <c r="BQ120" s="230">
        <v>86253750</v>
      </c>
      <c r="BR120" s="230">
        <v>-31313250</v>
      </c>
      <c r="BS120" s="229">
        <v>-0.36299999999999999</v>
      </c>
      <c r="BT120" s="230">
        <v>5312685</v>
      </c>
      <c r="BU120" s="230">
        <v>9047750</v>
      </c>
      <c r="BV120" s="230">
        <v>-3735065</v>
      </c>
      <c r="BW120" s="229">
        <v>-0.4128</v>
      </c>
      <c r="BX120" s="230">
        <v>41060250</v>
      </c>
      <c r="BY120" s="230">
        <v>41400000</v>
      </c>
      <c r="BZ120" s="230">
        <v>-339750</v>
      </c>
      <c r="CA120" s="229">
        <v>-8.2000000000000007E-3</v>
      </c>
      <c r="CB120" s="230">
        <v>39723750</v>
      </c>
      <c r="CC120" s="230">
        <v>40335750</v>
      </c>
      <c r="CD120" s="230">
        <v>-612000</v>
      </c>
      <c r="CE120" s="229">
        <v>-1.52E-2</v>
      </c>
      <c r="CF120" s="230">
        <v>1084500</v>
      </c>
      <c r="CG120" s="230">
        <v>855000</v>
      </c>
      <c r="CH120" s="230">
        <v>229500</v>
      </c>
      <c r="CI120" s="229">
        <v>0.26840000000000003</v>
      </c>
      <c r="CJ120" s="230">
        <v>252000</v>
      </c>
      <c r="CK120" s="230">
        <v>209250</v>
      </c>
      <c r="CL120" s="230">
        <v>42750</v>
      </c>
      <c r="CM120" s="229">
        <v>0.20430000000000001</v>
      </c>
      <c r="CN120" s="230">
        <v>23512500</v>
      </c>
      <c r="CO120" s="230">
        <v>21271500</v>
      </c>
      <c r="CP120" s="230">
        <v>2241000</v>
      </c>
      <c r="CQ120" s="229">
        <v>0.10539999999999999</v>
      </c>
      <c r="CR120" s="230">
        <v>15302250</v>
      </c>
      <c r="CS120" s="230">
        <v>15088500</v>
      </c>
      <c r="CT120" s="230">
        <v>213750</v>
      </c>
      <c r="CU120" s="229">
        <v>1.4200000000000001E-2</v>
      </c>
      <c r="CV120" s="230">
        <v>79875000</v>
      </c>
      <c r="CW120" s="230">
        <v>77760000</v>
      </c>
      <c r="CX120" s="230">
        <v>2115000</v>
      </c>
      <c r="CY120" s="229">
        <v>2.7199999999999998E-2</v>
      </c>
      <c r="CZ120" s="228">
        <v>32.9</v>
      </c>
      <c r="DA120" s="228">
        <v>32.729999999999997</v>
      </c>
      <c r="DB120" s="228">
        <v>0.17</v>
      </c>
      <c r="DC120" s="228">
        <v>0.17</v>
      </c>
      <c r="DD120" s="228">
        <v>38.24</v>
      </c>
      <c r="DE120" s="228">
        <v>38.26</v>
      </c>
      <c r="DF120" s="228">
        <v>-5.34</v>
      </c>
      <c r="DG120" s="228">
        <v>-0.02</v>
      </c>
      <c r="DH120" s="228">
        <v>33.19</v>
      </c>
      <c r="DI120" s="228">
        <v>32.85</v>
      </c>
      <c r="DJ120" s="228">
        <v>0.34</v>
      </c>
      <c r="DK120" s="228">
        <v>0.34</v>
      </c>
      <c r="DL120" s="228">
        <v>32.42</v>
      </c>
      <c r="DM120" s="228">
        <v>32.43</v>
      </c>
      <c r="DN120" s="228">
        <v>-0.01</v>
      </c>
      <c r="DO120" s="228">
        <v>-0.01</v>
      </c>
      <c r="DP120" s="228">
        <v>0.65</v>
      </c>
      <c r="DQ120" s="228">
        <v>0.71</v>
      </c>
      <c r="DR120" s="228">
        <v>-0.06</v>
      </c>
      <c r="DS120" s="229">
        <v>-8.4500000000000006E-2</v>
      </c>
      <c r="DT120" s="228">
        <v>320</v>
      </c>
      <c r="DU120" s="228">
        <v>310</v>
      </c>
      <c r="DV120" s="228">
        <v>0.6</v>
      </c>
      <c r="DW120" s="228">
        <v>0.43</v>
      </c>
      <c r="DX120" s="228">
        <v>0.17</v>
      </c>
      <c r="DY120" s="229">
        <v>0.39529999999999998</v>
      </c>
      <c r="DZ120" s="229">
        <v>3.2500000000000001E-2</v>
      </c>
      <c r="EA120" s="230">
        <v>1064250</v>
      </c>
      <c r="EB120" s="229">
        <v>4.8999999999999998E-3</v>
      </c>
      <c r="EC120" s="229">
        <v>3.2500000000000001E-2</v>
      </c>
      <c r="ED120" s="228">
        <v>1.32</v>
      </c>
      <c r="EE120" s="229">
        <v>4.1999999999999997E-3</v>
      </c>
      <c r="EF120" s="230">
        <v>2020554</v>
      </c>
      <c r="EG120" s="230">
        <v>3475461</v>
      </c>
      <c r="EH120" s="229">
        <v>-0.41860000000000003</v>
      </c>
      <c r="EI120" s="229">
        <v>0.38030000000000003</v>
      </c>
      <c r="EJ120" s="231">
        <v>83758.759999999995</v>
      </c>
      <c r="EK120" s="231">
        <v>48130.74</v>
      </c>
      <c r="EL120" s="231">
        <v>45433.23</v>
      </c>
      <c r="EM120" s="231">
        <v>5658</v>
      </c>
      <c r="EN120" s="231">
        <v>177322.73</v>
      </c>
      <c r="EO120" s="231">
        <v>286203.77</v>
      </c>
      <c r="EP120" s="231">
        <v>-108881.04</v>
      </c>
      <c r="EQ120" s="229">
        <v>-0.38040000000000002</v>
      </c>
      <c r="ER120" s="231">
        <v>76363</v>
      </c>
      <c r="ES120" s="231">
        <v>46414</v>
      </c>
      <c r="ET120" s="231">
        <v>129034</v>
      </c>
      <c r="EU120" s="231">
        <v>127100972</v>
      </c>
      <c r="EV120" s="231">
        <v>251812</v>
      </c>
      <c r="EW120" s="231">
        <v>247415</v>
      </c>
      <c r="EX120" s="231">
        <v>4397</v>
      </c>
      <c r="EY120" s="229">
        <v>1.78E-2</v>
      </c>
      <c r="EZ120" s="229">
        <v>0.62839999999999996</v>
      </c>
      <c r="FA120" s="227" t="s">
        <v>568</v>
      </c>
      <c r="FB120" s="161">
        <f t="shared" si="1"/>
        <v>1336500</v>
      </c>
    </row>
    <row r="121" spans="1:158" ht="17.25" hidden="1" thickBot="1" x14ac:dyDescent="0.3">
      <c r="A121" s="226">
        <v>46029</v>
      </c>
      <c r="B121" s="227" t="s">
        <v>221</v>
      </c>
      <c r="C121" s="227" t="s">
        <v>561</v>
      </c>
      <c r="D121" s="228">
        <v>150</v>
      </c>
      <c r="E121" s="231">
        <v>6133</v>
      </c>
      <c r="F121" s="231">
        <v>6013.5</v>
      </c>
      <c r="G121" s="228">
        <v>119.5</v>
      </c>
      <c r="H121" s="229">
        <v>1.9900000000000001E-2</v>
      </c>
      <c r="I121" s="231">
        <v>6102</v>
      </c>
      <c r="J121" s="231">
        <v>5982.5</v>
      </c>
      <c r="K121" s="228">
        <v>119.5</v>
      </c>
      <c r="L121" s="229">
        <v>0.02</v>
      </c>
      <c r="M121" s="231">
        <v>6133</v>
      </c>
      <c r="N121" s="231">
        <v>6013.5</v>
      </c>
      <c r="O121" s="228">
        <v>119.5</v>
      </c>
      <c r="P121" s="229">
        <v>1.9900000000000001E-2</v>
      </c>
      <c r="Q121" s="231">
        <v>6162.5</v>
      </c>
      <c r="R121" s="231">
        <v>6032</v>
      </c>
      <c r="S121" s="228">
        <v>130.5</v>
      </c>
      <c r="T121" s="229">
        <v>2.1600000000000001E-2</v>
      </c>
      <c r="U121" s="231">
        <v>6190.5</v>
      </c>
      <c r="V121" s="231">
        <v>6057.5</v>
      </c>
      <c r="W121" s="228">
        <v>133</v>
      </c>
      <c r="X121" s="229">
        <v>2.1999999999999999E-2</v>
      </c>
      <c r="Y121" s="228">
        <v>31</v>
      </c>
      <c r="Z121" s="228">
        <v>31</v>
      </c>
      <c r="AA121" s="228">
        <v>0</v>
      </c>
      <c r="AB121" s="229">
        <v>5.1000000000000004E-3</v>
      </c>
      <c r="AC121" s="228">
        <v>31</v>
      </c>
      <c r="AD121" s="228">
        <v>31</v>
      </c>
      <c r="AE121" s="228">
        <v>0</v>
      </c>
      <c r="AF121" s="229">
        <v>5.1000000000000004E-3</v>
      </c>
      <c r="AG121" s="228">
        <v>60.5</v>
      </c>
      <c r="AH121" s="228">
        <v>49.5</v>
      </c>
      <c r="AI121" s="228">
        <v>11</v>
      </c>
      <c r="AJ121" s="229">
        <v>9.9000000000000008E-3</v>
      </c>
      <c r="AK121" s="228">
        <v>88.5</v>
      </c>
      <c r="AL121" s="228">
        <v>75</v>
      </c>
      <c r="AM121" s="228">
        <v>13.5</v>
      </c>
      <c r="AN121" s="229">
        <v>1.4500000000000001E-2</v>
      </c>
      <c r="AO121" s="231">
        <v>6115.53</v>
      </c>
      <c r="AP121" s="231">
        <v>6144.05</v>
      </c>
      <c r="AQ121" s="228">
        <v>0</v>
      </c>
      <c r="AR121" s="230">
        <v>542250</v>
      </c>
      <c r="AS121" s="230">
        <v>663750</v>
      </c>
      <c r="AT121" s="230">
        <v>-121500</v>
      </c>
      <c r="AU121" s="229">
        <v>-0.18310000000000001</v>
      </c>
      <c r="AV121" s="230">
        <v>528600</v>
      </c>
      <c r="AW121" s="230">
        <v>653700</v>
      </c>
      <c r="AX121" s="230">
        <v>-125100</v>
      </c>
      <c r="AY121" s="229">
        <v>-0.19139999999999999</v>
      </c>
      <c r="AZ121" s="230">
        <v>11850</v>
      </c>
      <c r="BA121" s="230">
        <v>7350</v>
      </c>
      <c r="BB121" s="230">
        <v>4500</v>
      </c>
      <c r="BC121" s="229">
        <v>0.61219999999999997</v>
      </c>
      <c r="BD121" s="230">
        <v>1800</v>
      </c>
      <c r="BE121" s="230">
        <v>2700</v>
      </c>
      <c r="BF121" s="228">
        <v>-900</v>
      </c>
      <c r="BG121" s="229">
        <v>-0.33329999999999999</v>
      </c>
      <c r="BH121" s="230">
        <v>1588050</v>
      </c>
      <c r="BI121" s="230">
        <v>1042950</v>
      </c>
      <c r="BJ121" s="230">
        <v>545100</v>
      </c>
      <c r="BK121" s="229">
        <v>0.52270000000000005</v>
      </c>
      <c r="BL121" s="230">
        <v>715950</v>
      </c>
      <c r="BM121" s="230">
        <v>966600</v>
      </c>
      <c r="BN121" s="230">
        <v>-250650</v>
      </c>
      <c r="BO121" s="229">
        <v>-0.25929999999999997</v>
      </c>
      <c r="BP121" s="230">
        <v>2846250</v>
      </c>
      <c r="BQ121" s="230">
        <v>2673300</v>
      </c>
      <c r="BR121" s="230">
        <v>172950</v>
      </c>
      <c r="BS121" s="229">
        <v>6.4699999999999994E-2</v>
      </c>
      <c r="BT121" s="230">
        <v>300200</v>
      </c>
      <c r="BU121" s="230">
        <v>364268</v>
      </c>
      <c r="BV121" s="230">
        <v>-64068</v>
      </c>
      <c r="BW121" s="229">
        <v>-0.1759</v>
      </c>
      <c r="BX121" s="230">
        <v>2337000</v>
      </c>
      <c r="BY121" s="230">
        <v>2334150</v>
      </c>
      <c r="BZ121" s="230">
        <v>2850</v>
      </c>
      <c r="CA121" s="229">
        <v>1.1999999999999999E-3</v>
      </c>
      <c r="CB121" s="230">
        <v>2312850</v>
      </c>
      <c r="CC121" s="230">
        <v>2310600</v>
      </c>
      <c r="CD121" s="230">
        <v>2250</v>
      </c>
      <c r="CE121" s="229">
        <v>1E-3</v>
      </c>
      <c r="CF121" s="230">
        <v>20850</v>
      </c>
      <c r="CG121" s="230">
        <v>19200</v>
      </c>
      <c r="CH121" s="230">
        <v>1650</v>
      </c>
      <c r="CI121" s="229">
        <v>8.5900000000000004E-2</v>
      </c>
      <c r="CJ121" s="230">
        <v>3300</v>
      </c>
      <c r="CK121" s="230">
        <v>4350</v>
      </c>
      <c r="CL121" s="230">
        <v>-1050</v>
      </c>
      <c r="CM121" s="229">
        <v>-0.2414</v>
      </c>
      <c r="CN121" s="230">
        <v>849900</v>
      </c>
      <c r="CO121" s="230">
        <v>782550</v>
      </c>
      <c r="CP121" s="230">
        <v>67350</v>
      </c>
      <c r="CQ121" s="229">
        <v>8.6099999999999996E-2</v>
      </c>
      <c r="CR121" s="230">
        <v>683700</v>
      </c>
      <c r="CS121" s="230">
        <v>661350</v>
      </c>
      <c r="CT121" s="230">
        <v>22350</v>
      </c>
      <c r="CU121" s="229">
        <v>3.3799999999999997E-2</v>
      </c>
      <c r="CV121" s="230">
        <v>3870600</v>
      </c>
      <c r="CW121" s="230">
        <v>3778050</v>
      </c>
      <c r="CX121" s="230">
        <v>92550</v>
      </c>
      <c r="CY121" s="229">
        <v>2.4500000000000001E-2</v>
      </c>
      <c r="CZ121" s="228">
        <v>28.37</v>
      </c>
      <c r="DA121" s="228">
        <v>27.49</v>
      </c>
      <c r="DB121" s="228">
        <v>0.88</v>
      </c>
      <c r="DC121" s="228">
        <v>0.88</v>
      </c>
      <c r="DD121" s="228">
        <v>31.5</v>
      </c>
      <c r="DE121" s="228">
        <v>31.46</v>
      </c>
      <c r="DF121" s="228">
        <v>-3.13</v>
      </c>
      <c r="DG121" s="228">
        <v>0.04</v>
      </c>
      <c r="DH121" s="228">
        <v>28.4</v>
      </c>
      <c r="DI121" s="228">
        <v>27.5</v>
      </c>
      <c r="DJ121" s="228">
        <v>0.9</v>
      </c>
      <c r="DK121" s="228">
        <v>0.9</v>
      </c>
      <c r="DL121" s="228">
        <v>28.3</v>
      </c>
      <c r="DM121" s="228">
        <v>27.47</v>
      </c>
      <c r="DN121" s="228">
        <v>0.83</v>
      </c>
      <c r="DO121" s="228">
        <v>0.83</v>
      </c>
      <c r="DP121" s="228">
        <v>0.8</v>
      </c>
      <c r="DQ121" s="228">
        <v>0.85</v>
      </c>
      <c r="DR121" s="228">
        <v>-0.05</v>
      </c>
      <c r="DS121" s="229">
        <v>-5.8799999999999998E-2</v>
      </c>
      <c r="DT121" s="231">
        <v>6850</v>
      </c>
      <c r="DU121" s="231">
        <v>5450</v>
      </c>
      <c r="DV121" s="228">
        <v>0.45</v>
      </c>
      <c r="DW121" s="228">
        <v>0.93</v>
      </c>
      <c r="DX121" s="228">
        <v>-0.48</v>
      </c>
      <c r="DY121" s="229">
        <v>-0.5161</v>
      </c>
      <c r="DZ121" s="229">
        <v>1.03E-2</v>
      </c>
      <c r="EA121" s="230">
        <v>23550</v>
      </c>
      <c r="EB121" s="229">
        <v>4.7999999999999996E-3</v>
      </c>
      <c r="EC121" s="229">
        <v>1.03E-2</v>
      </c>
      <c r="ED121" s="228">
        <v>28.52</v>
      </c>
      <c r="EE121" s="229">
        <v>4.7000000000000002E-3</v>
      </c>
      <c r="EF121" s="230">
        <v>172301</v>
      </c>
      <c r="EG121" s="230">
        <v>232227</v>
      </c>
      <c r="EH121" s="229">
        <v>-0.25800000000000001</v>
      </c>
      <c r="EI121" s="229">
        <v>0.57399999999999995</v>
      </c>
      <c r="EJ121" s="231">
        <v>101590.01</v>
      </c>
      <c r="EK121" s="231">
        <v>42969.35</v>
      </c>
      <c r="EL121" s="231">
        <v>33165.269999999997</v>
      </c>
      <c r="EM121" s="231">
        <v>2808</v>
      </c>
      <c r="EN121" s="231">
        <v>177724.63</v>
      </c>
      <c r="EO121" s="231">
        <v>163762.93</v>
      </c>
      <c r="EP121" s="231">
        <v>13961.7</v>
      </c>
      <c r="EQ121" s="229">
        <v>8.5300000000000001E-2</v>
      </c>
      <c r="ER121" s="231">
        <v>54356</v>
      </c>
      <c r="ES121" s="231">
        <v>39518</v>
      </c>
      <c r="ET121" s="231">
        <v>143336</v>
      </c>
      <c r="EU121" s="231">
        <v>9672091</v>
      </c>
      <c r="EV121" s="231">
        <v>237211</v>
      </c>
      <c r="EW121" s="231">
        <v>228386</v>
      </c>
      <c r="EX121" s="231">
        <v>8825</v>
      </c>
      <c r="EY121" s="229">
        <v>3.8600000000000002E-2</v>
      </c>
      <c r="EZ121" s="229">
        <v>0.4002</v>
      </c>
      <c r="FA121" s="227" t="s">
        <v>555</v>
      </c>
      <c r="FB121" s="161">
        <f t="shared" si="1"/>
        <v>24150</v>
      </c>
    </row>
    <row r="122" spans="1:158" ht="17.25" hidden="1" thickBot="1" x14ac:dyDescent="0.3">
      <c r="A122" s="226">
        <v>46029</v>
      </c>
      <c r="B122" s="227" t="s">
        <v>170</v>
      </c>
      <c r="C122" s="227" t="s">
        <v>250</v>
      </c>
      <c r="D122" s="228">
        <v>425</v>
      </c>
      <c r="E122" s="231">
        <v>2223.9</v>
      </c>
      <c r="F122" s="231">
        <v>2161.9</v>
      </c>
      <c r="G122" s="228">
        <v>62</v>
      </c>
      <c r="H122" s="229">
        <v>2.87E-2</v>
      </c>
      <c r="I122" s="231">
        <v>2214.3000000000002</v>
      </c>
      <c r="J122" s="231">
        <v>2149.6999999999998</v>
      </c>
      <c r="K122" s="228">
        <v>64.599999999999994</v>
      </c>
      <c r="L122" s="229">
        <v>3.0099999999999998E-2</v>
      </c>
      <c r="M122" s="231">
        <v>2223.9</v>
      </c>
      <c r="N122" s="231">
        <v>2161.9</v>
      </c>
      <c r="O122" s="228">
        <v>62</v>
      </c>
      <c r="P122" s="229">
        <v>2.87E-2</v>
      </c>
      <c r="Q122" s="231">
        <v>2234.4</v>
      </c>
      <c r="R122" s="231">
        <v>2174.1999999999998</v>
      </c>
      <c r="S122" s="228">
        <v>60.2</v>
      </c>
      <c r="T122" s="229">
        <v>2.7699999999999999E-2</v>
      </c>
      <c r="U122" s="231">
        <v>2247.5</v>
      </c>
      <c r="V122" s="231">
        <v>2188.1</v>
      </c>
      <c r="W122" s="228">
        <v>59.4</v>
      </c>
      <c r="X122" s="229">
        <v>2.7099999999999999E-2</v>
      </c>
      <c r="Y122" s="228">
        <v>9.6</v>
      </c>
      <c r="Z122" s="228">
        <v>12.2</v>
      </c>
      <c r="AA122" s="228">
        <v>-2.6</v>
      </c>
      <c r="AB122" s="229">
        <v>4.3E-3</v>
      </c>
      <c r="AC122" s="228">
        <v>9.6</v>
      </c>
      <c r="AD122" s="228">
        <v>12.2</v>
      </c>
      <c r="AE122" s="228">
        <v>-2.6</v>
      </c>
      <c r="AF122" s="229">
        <v>4.3E-3</v>
      </c>
      <c r="AG122" s="228">
        <v>20.100000000000001</v>
      </c>
      <c r="AH122" s="228">
        <v>24.5</v>
      </c>
      <c r="AI122" s="228">
        <v>-4.4000000000000004</v>
      </c>
      <c r="AJ122" s="229">
        <v>9.1000000000000004E-3</v>
      </c>
      <c r="AK122" s="228">
        <v>33.200000000000003</v>
      </c>
      <c r="AL122" s="228">
        <v>38.4</v>
      </c>
      <c r="AM122" s="228">
        <v>-5.2</v>
      </c>
      <c r="AN122" s="229">
        <v>1.4999999999999999E-2</v>
      </c>
      <c r="AO122" s="231">
        <v>2209.2399999999998</v>
      </c>
      <c r="AP122" s="231">
        <v>2221.61</v>
      </c>
      <c r="AQ122" s="228">
        <v>0</v>
      </c>
      <c r="AR122" s="230">
        <v>3009850</v>
      </c>
      <c r="AS122" s="230">
        <v>2742525</v>
      </c>
      <c r="AT122" s="230">
        <v>267325</v>
      </c>
      <c r="AU122" s="229">
        <v>9.7500000000000003E-2</v>
      </c>
      <c r="AV122" s="230">
        <v>2892125</v>
      </c>
      <c r="AW122" s="230">
        <v>2626075</v>
      </c>
      <c r="AX122" s="230">
        <v>266050</v>
      </c>
      <c r="AY122" s="229">
        <v>0.1013</v>
      </c>
      <c r="AZ122" s="230">
        <v>108375</v>
      </c>
      <c r="BA122" s="230">
        <v>104975</v>
      </c>
      <c r="BB122" s="230">
        <v>3400</v>
      </c>
      <c r="BC122" s="229">
        <v>3.2399999999999998E-2</v>
      </c>
      <c r="BD122" s="230">
        <v>9350</v>
      </c>
      <c r="BE122" s="230">
        <v>11475</v>
      </c>
      <c r="BF122" s="230">
        <v>-2125</v>
      </c>
      <c r="BG122" s="229">
        <v>-0.1852</v>
      </c>
      <c r="BH122" s="230">
        <v>15475950</v>
      </c>
      <c r="BI122" s="230">
        <v>9098400</v>
      </c>
      <c r="BJ122" s="230">
        <v>6377550</v>
      </c>
      <c r="BK122" s="229">
        <v>0.70099999999999996</v>
      </c>
      <c r="BL122" s="230">
        <v>5483350</v>
      </c>
      <c r="BM122" s="230">
        <v>2454800</v>
      </c>
      <c r="BN122" s="230">
        <v>3028550</v>
      </c>
      <c r="BO122" s="229">
        <v>1.2337</v>
      </c>
      <c r="BP122" s="230">
        <v>23969150</v>
      </c>
      <c r="BQ122" s="230">
        <v>14295725</v>
      </c>
      <c r="BR122" s="230">
        <v>9673425</v>
      </c>
      <c r="BS122" s="229">
        <v>0.67669999999999997</v>
      </c>
      <c r="BT122" s="230">
        <v>1428069</v>
      </c>
      <c r="BU122" s="230">
        <v>2014431</v>
      </c>
      <c r="BV122" s="230">
        <v>-586362</v>
      </c>
      <c r="BW122" s="229">
        <v>-0.29110000000000003</v>
      </c>
      <c r="BX122" s="230">
        <v>7307450</v>
      </c>
      <c r="BY122" s="230">
        <v>7205450</v>
      </c>
      <c r="BZ122" s="230">
        <v>102000</v>
      </c>
      <c r="CA122" s="229">
        <v>1.4200000000000001E-2</v>
      </c>
      <c r="CB122" s="230">
        <v>7198650</v>
      </c>
      <c r="CC122" s="230">
        <v>7101750</v>
      </c>
      <c r="CD122" s="230">
        <v>96900</v>
      </c>
      <c r="CE122" s="229">
        <v>1.3599999999999999E-2</v>
      </c>
      <c r="CF122" s="230">
        <v>97750</v>
      </c>
      <c r="CG122" s="230">
        <v>93925</v>
      </c>
      <c r="CH122" s="230">
        <v>3825</v>
      </c>
      <c r="CI122" s="229">
        <v>4.07E-2</v>
      </c>
      <c r="CJ122" s="230">
        <v>11050</v>
      </c>
      <c r="CK122" s="230">
        <v>9775</v>
      </c>
      <c r="CL122" s="230">
        <v>1275</v>
      </c>
      <c r="CM122" s="229">
        <v>0.13039999999999999</v>
      </c>
      <c r="CN122" s="230">
        <v>2377025</v>
      </c>
      <c r="CO122" s="230">
        <v>1939275</v>
      </c>
      <c r="CP122" s="230">
        <v>437750</v>
      </c>
      <c r="CQ122" s="229">
        <v>0.22570000000000001</v>
      </c>
      <c r="CR122" s="230">
        <v>1882325</v>
      </c>
      <c r="CS122" s="230">
        <v>1359150</v>
      </c>
      <c r="CT122" s="230">
        <v>523175</v>
      </c>
      <c r="CU122" s="229">
        <v>0.38490000000000002</v>
      </c>
      <c r="CV122" s="230">
        <v>11566800</v>
      </c>
      <c r="CW122" s="230">
        <v>10503875</v>
      </c>
      <c r="CX122" s="230">
        <v>1062925</v>
      </c>
      <c r="CY122" s="229">
        <v>0.1012</v>
      </c>
      <c r="CZ122" s="228">
        <v>22.54</v>
      </c>
      <c r="DA122" s="228">
        <v>21.89</v>
      </c>
      <c r="DB122" s="228">
        <v>0.65</v>
      </c>
      <c r="DC122" s="228">
        <v>0.65</v>
      </c>
      <c r="DD122" s="228">
        <v>30.05</v>
      </c>
      <c r="DE122" s="228">
        <v>29.85</v>
      </c>
      <c r="DF122" s="228">
        <v>-7.51</v>
      </c>
      <c r="DG122" s="228">
        <v>0.2</v>
      </c>
      <c r="DH122" s="228">
        <v>22.35</v>
      </c>
      <c r="DI122" s="228">
        <v>21.82</v>
      </c>
      <c r="DJ122" s="228">
        <v>0.53</v>
      </c>
      <c r="DK122" s="228">
        <v>0.53</v>
      </c>
      <c r="DL122" s="228">
        <v>23.07</v>
      </c>
      <c r="DM122" s="228">
        <v>22.15</v>
      </c>
      <c r="DN122" s="228">
        <v>0.92</v>
      </c>
      <c r="DO122" s="228">
        <v>0.92</v>
      </c>
      <c r="DP122" s="228">
        <v>0.79</v>
      </c>
      <c r="DQ122" s="228">
        <v>0.7</v>
      </c>
      <c r="DR122" s="228">
        <v>0.09</v>
      </c>
      <c r="DS122" s="229">
        <v>0.12859999999999999</v>
      </c>
      <c r="DT122" s="231">
        <v>2200</v>
      </c>
      <c r="DU122" s="231">
        <v>1900</v>
      </c>
      <c r="DV122" s="228">
        <v>0.35</v>
      </c>
      <c r="DW122" s="228">
        <v>0.27</v>
      </c>
      <c r="DX122" s="228">
        <v>0.08</v>
      </c>
      <c r="DY122" s="229">
        <v>0.29630000000000001</v>
      </c>
      <c r="DZ122" s="229">
        <v>1.49E-2</v>
      </c>
      <c r="EA122" s="230">
        <v>103700</v>
      </c>
      <c r="EB122" s="229">
        <v>4.7000000000000002E-3</v>
      </c>
      <c r="EC122" s="229">
        <v>1.49E-2</v>
      </c>
      <c r="ED122" s="228">
        <v>12.37</v>
      </c>
      <c r="EE122" s="229">
        <v>5.5999999999999999E-3</v>
      </c>
      <c r="EF122" s="230">
        <v>584025</v>
      </c>
      <c r="EG122" s="230">
        <v>1464509</v>
      </c>
      <c r="EH122" s="229">
        <v>-0.60119999999999996</v>
      </c>
      <c r="EI122" s="229">
        <v>0.40899999999999997</v>
      </c>
      <c r="EJ122" s="231">
        <v>353503.95</v>
      </c>
      <c r="EK122" s="231">
        <v>118524.28</v>
      </c>
      <c r="EL122" s="231">
        <v>66510.53</v>
      </c>
      <c r="EM122" s="231">
        <v>2812</v>
      </c>
      <c r="EN122" s="231">
        <v>538538.76</v>
      </c>
      <c r="EO122" s="231">
        <v>310786.25</v>
      </c>
      <c r="EP122" s="231">
        <v>227752.51</v>
      </c>
      <c r="EQ122" s="229">
        <v>0.73280000000000001</v>
      </c>
      <c r="ER122" s="231">
        <v>53556</v>
      </c>
      <c r="ES122" s="231">
        <v>39061</v>
      </c>
      <c r="ET122" s="231">
        <v>162523</v>
      </c>
      <c r="EU122" s="231">
        <v>36381777</v>
      </c>
      <c r="EV122" s="231">
        <v>255140</v>
      </c>
      <c r="EW122" s="231">
        <v>226047</v>
      </c>
      <c r="EX122" s="231">
        <v>29093</v>
      </c>
      <c r="EY122" s="229">
        <v>0.12870000000000001</v>
      </c>
      <c r="EZ122" s="229">
        <v>0.31790000000000002</v>
      </c>
      <c r="FA122" s="227" t="s">
        <v>555</v>
      </c>
      <c r="FB122" s="161">
        <f t="shared" si="1"/>
        <v>108800</v>
      </c>
    </row>
    <row r="123" spans="1:158" ht="17.25" hidden="1" thickBot="1" x14ac:dyDescent="0.3">
      <c r="A123" s="226">
        <v>46029</v>
      </c>
      <c r="B123" s="227" t="s">
        <v>162</v>
      </c>
      <c r="C123" s="227" t="s">
        <v>251</v>
      </c>
      <c r="D123" s="228">
        <v>200</v>
      </c>
      <c r="E123" s="231">
        <v>3758.5</v>
      </c>
      <c r="F123" s="231">
        <v>3802.9</v>
      </c>
      <c r="G123" s="228">
        <v>-44.4</v>
      </c>
      <c r="H123" s="229">
        <v>-1.17E-2</v>
      </c>
      <c r="I123" s="231">
        <v>3748.8</v>
      </c>
      <c r="J123" s="231">
        <v>3785.6</v>
      </c>
      <c r="K123" s="228">
        <v>-36.799999999999997</v>
      </c>
      <c r="L123" s="229">
        <v>-9.7000000000000003E-3</v>
      </c>
      <c r="M123" s="231">
        <v>3758.5</v>
      </c>
      <c r="N123" s="231">
        <v>3802.9</v>
      </c>
      <c r="O123" s="228">
        <v>-44.4</v>
      </c>
      <c r="P123" s="229">
        <v>-1.17E-2</v>
      </c>
      <c r="Q123" s="231">
        <v>3781.5</v>
      </c>
      <c r="R123" s="231">
        <v>3826.4</v>
      </c>
      <c r="S123" s="228">
        <v>-44.9</v>
      </c>
      <c r="T123" s="229">
        <v>-1.17E-2</v>
      </c>
      <c r="U123" s="231">
        <v>3803.3</v>
      </c>
      <c r="V123" s="231">
        <v>3850.4</v>
      </c>
      <c r="W123" s="228">
        <v>-47.1</v>
      </c>
      <c r="X123" s="229">
        <v>-1.2200000000000001E-2</v>
      </c>
      <c r="Y123" s="228">
        <v>9.6999999999999993</v>
      </c>
      <c r="Z123" s="228">
        <v>17.3</v>
      </c>
      <c r="AA123" s="228">
        <v>-7.6</v>
      </c>
      <c r="AB123" s="229">
        <v>2.5999999999999999E-3</v>
      </c>
      <c r="AC123" s="228">
        <v>9.6999999999999993</v>
      </c>
      <c r="AD123" s="228">
        <v>17.3</v>
      </c>
      <c r="AE123" s="228">
        <v>-7.6</v>
      </c>
      <c r="AF123" s="229">
        <v>2.5999999999999999E-3</v>
      </c>
      <c r="AG123" s="228">
        <v>32.700000000000003</v>
      </c>
      <c r="AH123" s="228">
        <v>40.799999999999997</v>
      </c>
      <c r="AI123" s="228">
        <v>-8.1</v>
      </c>
      <c r="AJ123" s="229">
        <v>8.6999999999999994E-3</v>
      </c>
      <c r="AK123" s="228">
        <v>54.5</v>
      </c>
      <c r="AL123" s="228">
        <v>64.8</v>
      </c>
      <c r="AM123" s="228">
        <v>-10.3</v>
      </c>
      <c r="AN123" s="229">
        <v>1.4500000000000001E-2</v>
      </c>
      <c r="AO123" s="231">
        <v>3766.77</v>
      </c>
      <c r="AP123" s="231">
        <v>3790.57</v>
      </c>
      <c r="AQ123" s="228">
        <v>0</v>
      </c>
      <c r="AR123" s="230">
        <v>1255400</v>
      </c>
      <c r="AS123" s="230">
        <v>1173200</v>
      </c>
      <c r="AT123" s="230">
        <v>82200</v>
      </c>
      <c r="AU123" s="229">
        <v>7.0099999999999996E-2</v>
      </c>
      <c r="AV123" s="230">
        <v>1165200</v>
      </c>
      <c r="AW123" s="230">
        <v>1108800</v>
      </c>
      <c r="AX123" s="230">
        <v>56400</v>
      </c>
      <c r="AY123" s="229">
        <v>5.0900000000000001E-2</v>
      </c>
      <c r="AZ123" s="230">
        <v>66200</v>
      </c>
      <c r="BA123" s="230">
        <v>58200</v>
      </c>
      <c r="BB123" s="230">
        <v>8000</v>
      </c>
      <c r="BC123" s="229">
        <v>0.13750000000000001</v>
      </c>
      <c r="BD123" s="230">
        <v>24000</v>
      </c>
      <c r="BE123" s="230">
        <v>6200</v>
      </c>
      <c r="BF123" s="230">
        <v>17800</v>
      </c>
      <c r="BG123" s="229">
        <v>2.871</v>
      </c>
      <c r="BH123" s="230">
        <v>4974000</v>
      </c>
      <c r="BI123" s="230">
        <v>3763800</v>
      </c>
      <c r="BJ123" s="230">
        <v>1210200</v>
      </c>
      <c r="BK123" s="229">
        <v>0.32150000000000001</v>
      </c>
      <c r="BL123" s="230">
        <v>3123800</v>
      </c>
      <c r="BM123" s="230">
        <v>2931400</v>
      </c>
      <c r="BN123" s="230">
        <v>192400</v>
      </c>
      <c r="BO123" s="229">
        <v>6.5600000000000006E-2</v>
      </c>
      <c r="BP123" s="230">
        <v>9353200</v>
      </c>
      <c r="BQ123" s="230">
        <v>7868400</v>
      </c>
      <c r="BR123" s="230">
        <v>1484800</v>
      </c>
      <c r="BS123" s="229">
        <v>0.18870000000000001</v>
      </c>
      <c r="BT123" s="230">
        <v>1095975</v>
      </c>
      <c r="BU123" s="230">
        <v>1329582</v>
      </c>
      <c r="BV123" s="230">
        <v>-233607</v>
      </c>
      <c r="BW123" s="229">
        <v>-0.1757</v>
      </c>
      <c r="BX123" s="230">
        <v>18327200</v>
      </c>
      <c r="BY123" s="230">
        <v>18320200</v>
      </c>
      <c r="BZ123" s="230">
        <v>7000</v>
      </c>
      <c r="CA123" s="229">
        <v>4.0000000000000002E-4</v>
      </c>
      <c r="CB123" s="230">
        <v>18033800</v>
      </c>
      <c r="CC123" s="230">
        <v>18061800</v>
      </c>
      <c r="CD123" s="230">
        <v>-28000</v>
      </c>
      <c r="CE123" s="229">
        <v>-1.6000000000000001E-3</v>
      </c>
      <c r="CF123" s="230">
        <v>260600</v>
      </c>
      <c r="CG123" s="230">
        <v>242800</v>
      </c>
      <c r="CH123" s="230">
        <v>17800</v>
      </c>
      <c r="CI123" s="229">
        <v>7.3300000000000004E-2</v>
      </c>
      <c r="CJ123" s="230">
        <v>32800</v>
      </c>
      <c r="CK123" s="230">
        <v>15600</v>
      </c>
      <c r="CL123" s="230">
        <v>17200</v>
      </c>
      <c r="CM123" s="229">
        <v>1.1026</v>
      </c>
      <c r="CN123" s="230">
        <v>3185400</v>
      </c>
      <c r="CO123" s="230">
        <v>2817000</v>
      </c>
      <c r="CP123" s="230">
        <v>368400</v>
      </c>
      <c r="CQ123" s="229">
        <v>0.1308</v>
      </c>
      <c r="CR123" s="230">
        <v>1987200</v>
      </c>
      <c r="CS123" s="230">
        <v>2051400</v>
      </c>
      <c r="CT123" s="230">
        <v>-64200</v>
      </c>
      <c r="CU123" s="229">
        <v>-3.1300000000000001E-2</v>
      </c>
      <c r="CV123" s="230">
        <v>23499800</v>
      </c>
      <c r="CW123" s="230">
        <v>23188600</v>
      </c>
      <c r="CX123" s="230">
        <v>311200</v>
      </c>
      <c r="CY123" s="229">
        <v>1.34E-2</v>
      </c>
      <c r="CZ123" s="228">
        <v>20.58</v>
      </c>
      <c r="DA123" s="228">
        <v>19.77</v>
      </c>
      <c r="DB123" s="228">
        <v>0.81</v>
      </c>
      <c r="DC123" s="228">
        <v>0.81</v>
      </c>
      <c r="DD123" s="228">
        <v>31.39</v>
      </c>
      <c r="DE123" s="228">
        <v>31.44</v>
      </c>
      <c r="DF123" s="228">
        <v>-10.81</v>
      </c>
      <c r="DG123" s="228">
        <v>-0.05</v>
      </c>
      <c r="DH123" s="228">
        <v>20.45</v>
      </c>
      <c r="DI123" s="228">
        <v>19.420000000000002</v>
      </c>
      <c r="DJ123" s="228">
        <v>1.03</v>
      </c>
      <c r="DK123" s="228">
        <v>1.03</v>
      </c>
      <c r="DL123" s="228">
        <v>20.79</v>
      </c>
      <c r="DM123" s="228">
        <v>20.22</v>
      </c>
      <c r="DN123" s="228">
        <v>0.56999999999999995</v>
      </c>
      <c r="DO123" s="228">
        <v>0.56999999999999995</v>
      </c>
      <c r="DP123" s="228">
        <v>0.62</v>
      </c>
      <c r="DQ123" s="228">
        <v>0.73</v>
      </c>
      <c r="DR123" s="228">
        <v>-0.11</v>
      </c>
      <c r="DS123" s="229">
        <v>-0.1507</v>
      </c>
      <c r="DT123" s="231">
        <v>3800</v>
      </c>
      <c r="DU123" s="231">
        <v>3700</v>
      </c>
      <c r="DV123" s="228">
        <v>0.63</v>
      </c>
      <c r="DW123" s="228">
        <v>0.78</v>
      </c>
      <c r="DX123" s="228">
        <v>-0.15</v>
      </c>
      <c r="DY123" s="229">
        <v>-0.1923</v>
      </c>
      <c r="DZ123" s="229">
        <v>1.6E-2</v>
      </c>
      <c r="EA123" s="230">
        <v>258400</v>
      </c>
      <c r="EB123" s="229">
        <v>6.1000000000000004E-3</v>
      </c>
      <c r="EC123" s="229">
        <v>1.6E-2</v>
      </c>
      <c r="ED123" s="228">
        <v>23.8</v>
      </c>
      <c r="EE123" s="229">
        <v>6.3E-3</v>
      </c>
      <c r="EF123" s="230">
        <v>621804</v>
      </c>
      <c r="EG123" s="230">
        <v>750922</v>
      </c>
      <c r="EH123" s="229">
        <v>-0.1719</v>
      </c>
      <c r="EI123" s="229">
        <v>0.56740000000000002</v>
      </c>
      <c r="EJ123" s="231">
        <v>194561.9</v>
      </c>
      <c r="EK123" s="231">
        <v>116466.13</v>
      </c>
      <c r="EL123" s="231">
        <v>47314.14</v>
      </c>
      <c r="EM123" s="231">
        <v>8684</v>
      </c>
      <c r="EN123" s="231">
        <v>358342.17</v>
      </c>
      <c r="EO123" s="231">
        <v>302626.03999999998</v>
      </c>
      <c r="EP123" s="231">
        <v>55716.13</v>
      </c>
      <c r="EQ123" s="229">
        <v>0.18410000000000001</v>
      </c>
      <c r="ER123" s="231">
        <v>123302</v>
      </c>
      <c r="ES123" s="231">
        <v>71537</v>
      </c>
      <c r="ET123" s="231">
        <v>688902</v>
      </c>
      <c r="EU123" s="231">
        <v>95452027</v>
      </c>
      <c r="EV123" s="231">
        <v>883742</v>
      </c>
      <c r="EW123" s="231">
        <v>879930</v>
      </c>
      <c r="EX123" s="231">
        <v>3812</v>
      </c>
      <c r="EY123" s="229">
        <v>4.3E-3</v>
      </c>
      <c r="EZ123" s="229">
        <v>0.2462</v>
      </c>
      <c r="FA123" s="227" t="s">
        <v>567</v>
      </c>
      <c r="FB123" s="161">
        <f t="shared" si="1"/>
        <v>293400</v>
      </c>
    </row>
    <row r="124" spans="1:158" ht="17.25" hidden="1" thickBot="1" x14ac:dyDescent="0.3">
      <c r="A124" s="226">
        <v>46029</v>
      </c>
      <c r="B124" s="227" t="s">
        <v>175</v>
      </c>
      <c r="C124" s="227" t="s">
        <v>253</v>
      </c>
      <c r="D124" s="228">
        <v>3000</v>
      </c>
      <c r="E124" s="228">
        <v>320.55</v>
      </c>
      <c r="F124" s="228">
        <v>308.85000000000002</v>
      </c>
      <c r="G124" s="228">
        <v>11.7</v>
      </c>
      <c r="H124" s="229">
        <v>3.7900000000000003E-2</v>
      </c>
      <c r="I124" s="228">
        <v>319.89999999999998</v>
      </c>
      <c r="J124" s="228">
        <v>308.25</v>
      </c>
      <c r="K124" s="228">
        <v>11.65</v>
      </c>
      <c r="L124" s="229">
        <v>3.78E-2</v>
      </c>
      <c r="M124" s="228">
        <v>320.55</v>
      </c>
      <c r="N124" s="228">
        <v>308.85000000000002</v>
      </c>
      <c r="O124" s="228">
        <v>11.7</v>
      </c>
      <c r="P124" s="229">
        <v>3.7900000000000003E-2</v>
      </c>
      <c r="Q124" s="228">
        <v>322.05</v>
      </c>
      <c r="R124" s="228">
        <v>310.3</v>
      </c>
      <c r="S124" s="228">
        <v>11.75</v>
      </c>
      <c r="T124" s="229">
        <v>3.7900000000000003E-2</v>
      </c>
      <c r="U124" s="228">
        <v>323.3</v>
      </c>
      <c r="V124" s="228">
        <v>310</v>
      </c>
      <c r="W124" s="228">
        <v>13.3</v>
      </c>
      <c r="X124" s="229">
        <v>4.2900000000000001E-2</v>
      </c>
      <c r="Y124" s="228">
        <v>0.65</v>
      </c>
      <c r="Z124" s="228">
        <v>0.6</v>
      </c>
      <c r="AA124" s="228">
        <v>0.05</v>
      </c>
      <c r="AB124" s="229">
        <v>2E-3</v>
      </c>
      <c r="AC124" s="228">
        <v>0.65</v>
      </c>
      <c r="AD124" s="228">
        <v>0.6</v>
      </c>
      <c r="AE124" s="228">
        <v>0.05</v>
      </c>
      <c r="AF124" s="229">
        <v>2E-3</v>
      </c>
      <c r="AG124" s="228">
        <v>2.15</v>
      </c>
      <c r="AH124" s="228">
        <v>2.0499999999999998</v>
      </c>
      <c r="AI124" s="228">
        <v>0.1</v>
      </c>
      <c r="AJ124" s="229">
        <v>6.7000000000000002E-3</v>
      </c>
      <c r="AK124" s="228">
        <v>3.4</v>
      </c>
      <c r="AL124" s="228">
        <v>1.75</v>
      </c>
      <c r="AM124" s="228">
        <v>1.65</v>
      </c>
      <c r="AN124" s="229">
        <v>1.06E-2</v>
      </c>
      <c r="AO124" s="228">
        <v>316.39</v>
      </c>
      <c r="AP124" s="228">
        <v>317.07</v>
      </c>
      <c r="AQ124" s="228">
        <v>0</v>
      </c>
      <c r="AR124" s="230">
        <v>20571000</v>
      </c>
      <c r="AS124" s="230">
        <v>5697000</v>
      </c>
      <c r="AT124" s="230">
        <v>14874000</v>
      </c>
      <c r="AU124" s="229">
        <v>2.6107999999999998</v>
      </c>
      <c r="AV124" s="230">
        <v>19413000</v>
      </c>
      <c r="AW124" s="230">
        <v>5463000</v>
      </c>
      <c r="AX124" s="230">
        <v>13950000</v>
      </c>
      <c r="AY124" s="229">
        <v>2.5535000000000001</v>
      </c>
      <c r="AZ124" s="230">
        <v>1050000</v>
      </c>
      <c r="BA124" s="230">
        <v>222000</v>
      </c>
      <c r="BB124" s="230">
        <v>828000</v>
      </c>
      <c r="BC124" s="229">
        <v>3.7296999999999998</v>
      </c>
      <c r="BD124" s="230">
        <v>108000</v>
      </c>
      <c r="BE124" s="230">
        <v>12000</v>
      </c>
      <c r="BF124" s="230">
        <v>96000</v>
      </c>
      <c r="BG124" s="229">
        <v>8</v>
      </c>
      <c r="BH124" s="230">
        <v>67461000</v>
      </c>
      <c r="BI124" s="230">
        <v>12396000</v>
      </c>
      <c r="BJ124" s="230">
        <v>55065000</v>
      </c>
      <c r="BK124" s="229">
        <v>4.4421999999999997</v>
      </c>
      <c r="BL124" s="230">
        <v>14088000</v>
      </c>
      <c r="BM124" s="230">
        <v>4227000</v>
      </c>
      <c r="BN124" s="230">
        <v>9861000</v>
      </c>
      <c r="BO124" s="229">
        <v>2.3329</v>
      </c>
      <c r="BP124" s="230">
        <v>102120000</v>
      </c>
      <c r="BQ124" s="230">
        <v>22320000</v>
      </c>
      <c r="BR124" s="230">
        <v>79800000</v>
      </c>
      <c r="BS124" s="229">
        <v>3.5752999999999999</v>
      </c>
      <c r="BT124" s="230">
        <v>8555917</v>
      </c>
      <c r="BU124" s="230">
        <v>2196003</v>
      </c>
      <c r="BV124" s="230">
        <v>6359914</v>
      </c>
      <c r="BW124" s="229">
        <v>2.8961000000000001</v>
      </c>
      <c r="BX124" s="230">
        <v>44826000</v>
      </c>
      <c r="BY124" s="230">
        <v>42246000</v>
      </c>
      <c r="BZ124" s="230">
        <v>2580000</v>
      </c>
      <c r="CA124" s="229">
        <v>6.1100000000000002E-2</v>
      </c>
      <c r="CB124" s="230">
        <v>43866000</v>
      </c>
      <c r="CC124" s="230">
        <v>41379000</v>
      </c>
      <c r="CD124" s="230">
        <v>2487000</v>
      </c>
      <c r="CE124" s="229">
        <v>6.0100000000000001E-2</v>
      </c>
      <c r="CF124" s="230">
        <v>858000</v>
      </c>
      <c r="CG124" s="230">
        <v>816000</v>
      </c>
      <c r="CH124" s="230">
        <v>42000</v>
      </c>
      <c r="CI124" s="229">
        <v>5.1499999999999997E-2</v>
      </c>
      <c r="CJ124" s="230">
        <v>102000</v>
      </c>
      <c r="CK124" s="230">
        <v>51000</v>
      </c>
      <c r="CL124" s="230">
        <v>51000</v>
      </c>
      <c r="CM124" s="229">
        <v>1</v>
      </c>
      <c r="CN124" s="230">
        <v>18240000</v>
      </c>
      <c r="CO124" s="230">
        <v>16167000</v>
      </c>
      <c r="CP124" s="230">
        <v>2073000</v>
      </c>
      <c r="CQ124" s="229">
        <v>0.12820000000000001</v>
      </c>
      <c r="CR124" s="230">
        <v>10314000</v>
      </c>
      <c r="CS124" s="230">
        <v>9054000</v>
      </c>
      <c r="CT124" s="230">
        <v>1260000</v>
      </c>
      <c r="CU124" s="229">
        <v>0.13919999999999999</v>
      </c>
      <c r="CV124" s="230">
        <v>73380000</v>
      </c>
      <c r="CW124" s="230">
        <v>67467000</v>
      </c>
      <c r="CX124" s="230">
        <v>5913000</v>
      </c>
      <c r="CY124" s="229">
        <v>8.7599999999999997E-2</v>
      </c>
      <c r="CZ124" s="228">
        <v>32.57</v>
      </c>
      <c r="DA124" s="228">
        <v>30.45</v>
      </c>
      <c r="DB124" s="228">
        <v>2.12</v>
      </c>
      <c r="DC124" s="228">
        <v>2.12</v>
      </c>
      <c r="DD124" s="228">
        <v>40.71</v>
      </c>
      <c r="DE124" s="228">
        <v>40.51</v>
      </c>
      <c r="DF124" s="228">
        <v>-8.14</v>
      </c>
      <c r="DG124" s="228">
        <v>0.2</v>
      </c>
      <c r="DH124" s="228">
        <v>32.54</v>
      </c>
      <c r="DI124" s="228">
        <v>30.47</v>
      </c>
      <c r="DJ124" s="228">
        <v>2.0699999999999998</v>
      </c>
      <c r="DK124" s="228">
        <v>2.0699999999999998</v>
      </c>
      <c r="DL124" s="228">
        <v>32.75</v>
      </c>
      <c r="DM124" s="228">
        <v>30.4</v>
      </c>
      <c r="DN124" s="228">
        <v>2.35</v>
      </c>
      <c r="DO124" s="228">
        <v>2.35</v>
      </c>
      <c r="DP124" s="228">
        <v>0.56999999999999995</v>
      </c>
      <c r="DQ124" s="228">
        <v>0.56000000000000005</v>
      </c>
      <c r="DR124" s="228">
        <v>0.01</v>
      </c>
      <c r="DS124" s="229">
        <v>1.7899999999999999E-2</v>
      </c>
      <c r="DT124" s="228">
        <v>320</v>
      </c>
      <c r="DU124" s="228">
        <v>300</v>
      </c>
      <c r="DV124" s="228">
        <v>0.21</v>
      </c>
      <c r="DW124" s="228">
        <v>0.34</v>
      </c>
      <c r="DX124" s="228">
        <v>-0.13</v>
      </c>
      <c r="DY124" s="229">
        <v>-0.38240000000000002</v>
      </c>
      <c r="DZ124" s="229">
        <v>2.1399999999999999E-2</v>
      </c>
      <c r="EA124" s="230">
        <v>867000</v>
      </c>
      <c r="EB124" s="229">
        <v>4.7000000000000002E-3</v>
      </c>
      <c r="EC124" s="229">
        <v>2.1399999999999999E-2</v>
      </c>
      <c r="ED124" s="228">
        <v>0.68</v>
      </c>
      <c r="EE124" s="229">
        <v>2.0999999999999999E-3</v>
      </c>
      <c r="EF124" s="230">
        <v>3400417</v>
      </c>
      <c r="EG124" s="230">
        <v>796765</v>
      </c>
      <c r="EH124" s="229">
        <v>3.2677999999999998</v>
      </c>
      <c r="EI124" s="229">
        <v>0.39739999999999998</v>
      </c>
      <c r="EJ124" s="231">
        <v>223147.65</v>
      </c>
      <c r="EK124" s="231">
        <v>43604.959999999999</v>
      </c>
      <c r="EL124" s="231">
        <v>65096.39</v>
      </c>
      <c r="EM124" s="231">
        <v>2508</v>
      </c>
      <c r="EN124" s="231">
        <v>331849</v>
      </c>
      <c r="EO124" s="231">
        <v>70948.179999999993</v>
      </c>
      <c r="EP124" s="231">
        <v>260900.82</v>
      </c>
      <c r="EQ124" s="229">
        <v>3.6772999999999998</v>
      </c>
      <c r="ER124" s="231">
        <v>59201</v>
      </c>
      <c r="ES124" s="231">
        <v>30815</v>
      </c>
      <c r="ET124" s="231">
        <v>143705</v>
      </c>
      <c r="EU124" s="231">
        <v>82205057</v>
      </c>
      <c r="EV124" s="231">
        <v>233722</v>
      </c>
      <c r="EW124" s="231">
        <v>209425</v>
      </c>
      <c r="EX124" s="231">
        <v>24297</v>
      </c>
      <c r="EY124" s="229">
        <v>0.11600000000000001</v>
      </c>
      <c r="EZ124" s="229">
        <v>0.89259999999999995</v>
      </c>
      <c r="FA124" s="227" t="s">
        <v>555</v>
      </c>
      <c r="FB124" s="161">
        <f t="shared" si="1"/>
        <v>960000</v>
      </c>
    </row>
    <row r="125" spans="1:158" ht="17.25" hidden="1" thickBot="1" x14ac:dyDescent="0.3">
      <c r="A125" s="226">
        <v>46029</v>
      </c>
      <c r="B125" s="227" t="s">
        <v>170</v>
      </c>
      <c r="C125" s="227" t="s">
        <v>672</v>
      </c>
      <c r="D125" s="228">
        <v>225</v>
      </c>
      <c r="E125" s="231">
        <v>2312.4</v>
      </c>
      <c r="F125" s="231">
        <v>2245.1999999999998</v>
      </c>
      <c r="G125" s="228">
        <v>67.2</v>
      </c>
      <c r="H125" s="229">
        <v>2.9899999999999999E-2</v>
      </c>
      <c r="I125" s="231">
        <v>2311.8000000000002</v>
      </c>
      <c r="J125" s="231">
        <v>2240.8000000000002</v>
      </c>
      <c r="K125" s="228">
        <v>71</v>
      </c>
      <c r="L125" s="229">
        <v>3.1699999999999999E-2</v>
      </c>
      <c r="M125" s="231">
        <v>2312.4</v>
      </c>
      <c r="N125" s="231">
        <v>2245.1999999999998</v>
      </c>
      <c r="O125" s="228">
        <v>67.2</v>
      </c>
      <c r="P125" s="229">
        <v>2.9899999999999999E-2</v>
      </c>
      <c r="Q125" s="231">
        <v>2326.4</v>
      </c>
      <c r="R125" s="231">
        <v>2258.5</v>
      </c>
      <c r="S125" s="228">
        <v>67.900000000000006</v>
      </c>
      <c r="T125" s="229">
        <v>3.0099999999999998E-2</v>
      </c>
      <c r="U125" s="231">
        <v>2333.6</v>
      </c>
      <c r="V125" s="231">
        <v>2263.5</v>
      </c>
      <c r="W125" s="228">
        <v>70.099999999999994</v>
      </c>
      <c r="X125" s="229">
        <v>3.1E-2</v>
      </c>
      <c r="Y125" s="228">
        <v>0.6</v>
      </c>
      <c r="Z125" s="228">
        <v>4.4000000000000004</v>
      </c>
      <c r="AA125" s="228">
        <v>-3.8</v>
      </c>
      <c r="AB125" s="229">
        <v>2.9999999999999997E-4</v>
      </c>
      <c r="AC125" s="228">
        <v>0.6</v>
      </c>
      <c r="AD125" s="228">
        <v>4.4000000000000004</v>
      </c>
      <c r="AE125" s="228">
        <v>-3.8</v>
      </c>
      <c r="AF125" s="229">
        <v>2.9999999999999997E-4</v>
      </c>
      <c r="AG125" s="228">
        <v>14.6</v>
      </c>
      <c r="AH125" s="228">
        <v>17.7</v>
      </c>
      <c r="AI125" s="228">
        <v>-3.1</v>
      </c>
      <c r="AJ125" s="229">
        <v>6.3E-3</v>
      </c>
      <c r="AK125" s="228">
        <v>21.8</v>
      </c>
      <c r="AL125" s="228">
        <v>22.7</v>
      </c>
      <c r="AM125" s="228">
        <v>-0.9</v>
      </c>
      <c r="AN125" s="229">
        <v>9.4000000000000004E-3</v>
      </c>
      <c r="AO125" s="231">
        <v>2290.9299999999998</v>
      </c>
      <c r="AP125" s="231">
        <v>2304.0300000000002</v>
      </c>
      <c r="AQ125" s="228">
        <v>0</v>
      </c>
      <c r="AR125" s="230">
        <v>1302750</v>
      </c>
      <c r="AS125" s="230">
        <v>475875</v>
      </c>
      <c r="AT125" s="230">
        <v>826875</v>
      </c>
      <c r="AU125" s="229">
        <v>1.7376</v>
      </c>
      <c r="AV125" s="230">
        <v>1244700</v>
      </c>
      <c r="AW125" s="230">
        <v>455400</v>
      </c>
      <c r="AX125" s="230">
        <v>789300</v>
      </c>
      <c r="AY125" s="229">
        <v>1.7332000000000001</v>
      </c>
      <c r="AZ125" s="230">
        <v>53550</v>
      </c>
      <c r="BA125" s="230">
        <v>17775</v>
      </c>
      <c r="BB125" s="230">
        <v>35775</v>
      </c>
      <c r="BC125" s="229">
        <v>2.0127000000000002</v>
      </c>
      <c r="BD125" s="230">
        <v>4500</v>
      </c>
      <c r="BE125" s="230">
        <v>2700</v>
      </c>
      <c r="BF125" s="230">
        <v>1800</v>
      </c>
      <c r="BG125" s="229">
        <v>0.66669999999999996</v>
      </c>
      <c r="BH125" s="230">
        <v>4096125</v>
      </c>
      <c r="BI125" s="230">
        <v>971100</v>
      </c>
      <c r="BJ125" s="230">
        <v>3125025</v>
      </c>
      <c r="BK125" s="229">
        <v>3.218</v>
      </c>
      <c r="BL125" s="230">
        <v>855000</v>
      </c>
      <c r="BM125" s="230">
        <v>87300</v>
      </c>
      <c r="BN125" s="230">
        <v>767700</v>
      </c>
      <c r="BO125" s="229">
        <v>8.7937999999999992</v>
      </c>
      <c r="BP125" s="230">
        <v>6253875</v>
      </c>
      <c r="BQ125" s="230">
        <v>1534275</v>
      </c>
      <c r="BR125" s="230">
        <v>4719600</v>
      </c>
      <c r="BS125" s="229">
        <v>3.0760999999999998</v>
      </c>
      <c r="BT125" s="230">
        <v>1047927</v>
      </c>
      <c r="BU125" s="230">
        <v>309566</v>
      </c>
      <c r="BV125" s="230">
        <v>738361</v>
      </c>
      <c r="BW125" s="229">
        <v>2.3851</v>
      </c>
      <c r="BX125" s="230">
        <v>2013300</v>
      </c>
      <c r="BY125" s="230">
        <v>2135925</v>
      </c>
      <c r="BZ125" s="230">
        <v>-122625</v>
      </c>
      <c r="CA125" s="229">
        <v>-5.74E-2</v>
      </c>
      <c r="CB125" s="230">
        <v>1962675</v>
      </c>
      <c r="CC125" s="230">
        <v>2082825</v>
      </c>
      <c r="CD125" s="230">
        <v>-120150</v>
      </c>
      <c r="CE125" s="229">
        <v>-5.7700000000000001E-2</v>
      </c>
      <c r="CF125" s="230">
        <v>46575</v>
      </c>
      <c r="CG125" s="230">
        <v>49050</v>
      </c>
      <c r="CH125" s="230">
        <v>-2475</v>
      </c>
      <c r="CI125" s="229">
        <v>-5.0500000000000003E-2</v>
      </c>
      <c r="CJ125" s="230">
        <v>4050</v>
      </c>
      <c r="CK125" s="230">
        <v>4050</v>
      </c>
      <c r="CL125" s="228">
        <v>0</v>
      </c>
      <c r="CM125" s="229">
        <v>0</v>
      </c>
      <c r="CN125" s="230">
        <v>741150</v>
      </c>
      <c r="CO125" s="230">
        <v>454950</v>
      </c>
      <c r="CP125" s="230">
        <v>286200</v>
      </c>
      <c r="CQ125" s="229">
        <v>0.62909999999999999</v>
      </c>
      <c r="CR125" s="230">
        <v>482175</v>
      </c>
      <c r="CS125" s="230">
        <v>344925</v>
      </c>
      <c r="CT125" s="230">
        <v>137250</v>
      </c>
      <c r="CU125" s="229">
        <v>0.39789999999999998</v>
      </c>
      <c r="CV125" s="230">
        <v>3236625</v>
      </c>
      <c r="CW125" s="230">
        <v>2935800</v>
      </c>
      <c r="CX125" s="230">
        <v>300825</v>
      </c>
      <c r="CY125" s="229">
        <v>0.10249999999999999</v>
      </c>
      <c r="CZ125" s="228">
        <v>25.66</v>
      </c>
      <c r="DA125" s="228">
        <v>23.83</v>
      </c>
      <c r="DB125" s="228">
        <v>1.83</v>
      </c>
      <c r="DC125" s="228">
        <v>1.83</v>
      </c>
      <c r="DD125" s="228">
        <v>32.21</v>
      </c>
      <c r="DE125" s="228">
        <v>32.04</v>
      </c>
      <c r="DF125" s="228">
        <v>-6.55</v>
      </c>
      <c r="DG125" s="228">
        <v>0.17</v>
      </c>
      <c r="DH125" s="228">
        <v>25.68</v>
      </c>
      <c r="DI125" s="228">
        <v>23.86</v>
      </c>
      <c r="DJ125" s="228">
        <v>1.82</v>
      </c>
      <c r="DK125" s="228">
        <v>1.82</v>
      </c>
      <c r="DL125" s="228">
        <v>25.58</v>
      </c>
      <c r="DM125" s="228">
        <v>23.5</v>
      </c>
      <c r="DN125" s="228">
        <v>2.08</v>
      </c>
      <c r="DO125" s="228">
        <v>2.08</v>
      </c>
      <c r="DP125" s="228">
        <v>0.65</v>
      </c>
      <c r="DQ125" s="228">
        <v>0.76</v>
      </c>
      <c r="DR125" s="228">
        <v>-0.11</v>
      </c>
      <c r="DS125" s="229">
        <v>-0.1447</v>
      </c>
      <c r="DT125" s="231">
        <v>2300</v>
      </c>
      <c r="DU125" s="231">
        <v>2200</v>
      </c>
      <c r="DV125" s="228">
        <v>0.21</v>
      </c>
      <c r="DW125" s="228">
        <v>0.09</v>
      </c>
      <c r="DX125" s="228">
        <v>0.12</v>
      </c>
      <c r="DY125" s="229">
        <v>1.3332999999999999</v>
      </c>
      <c r="DZ125" s="229">
        <v>2.5100000000000001E-2</v>
      </c>
      <c r="EA125" s="230">
        <v>53100</v>
      </c>
      <c r="EB125" s="229">
        <v>6.1000000000000004E-3</v>
      </c>
      <c r="EC125" s="229">
        <v>2.5100000000000001E-2</v>
      </c>
      <c r="ED125" s="228">
        <v>13.1</v>
      </c>
      <c r="EE125" s="229">
        <v>5.7000000000000002E-3</v>
      </c>
      <c r="EF125" s="230">
        <v>616068</v>
      </c>
      <c r="EG125" s="230">
        <v>178826</v>
      </c>
      <c r="EH125" s="229">
        <v>2.4451000000000001</v>
      </c>
      <c r="EI125" s="229">
        <v>0.58789999999999998</v>
      </c>
      <c r="EJ125" s="231">
        <v>96775.24</v>
      </c>
      <c r="EK125" s="231">
        <v>19158.240000000002</v>
      </c>
      <c r="EL125" s="231">
        <v>29853.200000000001</v>
      </c>
      <c r="EM125" s="231">
        <v>1579</v>
      </c>
      <c r="EN125" s="231">
        <v>145786.68</v>
      </c>
      <c r="EO125" s="231">
        <v>34960.89</v>
      </c>
      <c r="EP125" s="231">
        <v>110825.79</v>
      </c>
      <c r="EQ125" s="229">
        <v>3.17</v>
      </c>
      <c r="ER125" s="231">
        <v>17106</v>
      </c>
      <c r="ES125" s="231">
        <v>10614</v>
      </c>
      <c r="ET125" s="231">
        <v>46563</v>
      </c>
      <c r="EU125" s="231">
        <v>16919681</v>
      </c>
      <c r="EV125" s="231">
        <v>74283</v>
      </c>
      <c r="EW125" s="231">
        <v>65762</v>
      </c>
      <c r="EX125" s="231">
        <v>8521</v>
      </c>
      <c r="EY125" s="229">
        <v>0.12959999999999999</v>
      </c>
      <c r="EZ125" s="229">
        <v>0.1913</v>
      </c>
      <c r="FA125" s="227" t="s">
        <v>556</v>
      </c>
      <c r="FB125" s="161">
        <f t="shared" si="1"/>
        <v>50625</v>
      </c>
    </row>
    <row r="126" spans="1:158" ht="17.25" hidden="1" thickBot="1" x14ac:dyDescent="0.3">
      <c r="A126" s="226">
        <v>46029</v>
      </c>
      <c r="B126" s="227" t="s">
        <v>168</v>
      </c>
      <c r="C126" s="227" t="s">
        <v>254</v>
      </c>
      <c r="D126" s="228">
        <v>1200</v>
      </c>
      <c r="E126" s="228">
        <v>775.15</v>
      </c>
      <c r="F126" s="228">
        <v>781.05</v>
      </c>
      <c r="G126" s="228">
        <v>-5.9</v>
      </c>
      <c r="H126" s="229">
        <v>-7.6E-3</v>
      </c>
      <c r="I126" s="228">
        <v>773.8</v>
      </c>
      <c r="J126" s="228">
        <v>779.05</v>
      </c>
      <c r="K126" s="228">
        <v>-5.25</v>
      </c>
      <c r="L126" s="229">
        <v>-6.7000000000000002E-3</v>
      </c>
      <c r="M126" s="228">
        <v>775.15</v>
      </c>
      <c r="N126" s="228">
        <v>781.05</v>
      </c>
      <c r="O126" s="228">
        <v>-5.9</v>
      </c>
      <c r="P126" s="229">
        <v>-7.6E-3</v>
      </c>
      <c r="Q126" s="228">
        <v>776.6</v>
      </c>
      <c r="R126" s="228">
        <v>782.6</v>
      </c>
      <c r="S126" s="228">
        <v>-6</v>
      </c>
      <c r="T126" s="229">
        <v>-7.7000000000000002E-3</v>
      </c>
      <c r="U126" s="228">
        <v>780.45</v>
      </c>
      <c r="V126" s="228">
        <v>786.1</v>
      </c>
      <c r="W126" s="228">
        <v>-5.65</v>
      </c>
      <c r="X126" s="229">
        <v>-7.1999999999999998E-3</v>
      </c>
      <c r="Y126" s="228">
        <v>1.35</v>
      </c>
      <c r="Z126" s="228">
        <v>2</v>
      </c>
      <c r="AA126" s="228">
        <v>-0.65</v>
      </c>
      <c r="AB126" s="229">
        <v>1.6999999999999999E-3</v>
      </c>
      <c r="AC126" s="228">
        <v>1.35</v>
      </c>
      <c r="AD126" s="228">
        <v>2</v>
      </c>
      <c r="AE126" s="228">
        <v>-0.65</v>
      </c>
      <c r="AF126" s="229">
        <v>1.6999999999999999E-3</v>
      </c>
      <c r="AG126" s="228">
        <v>2.8</v>
      </c>
      <c r="AH126" s="228">
        <v>3.55</v>
      </c>
      <c r="AI126" s="228">
        <v>-0.75</v>
      </c>
      <c r="AJ126" s="229">
        <v>3.5999999999999999E-3</v>
      </c>
      <c r="AK126" s="228">
        <v>6.65</v>
      </c>
      <c r="AL126" s="228">
        <v>7.05</v>
      </c>
      <c r="AM126" s="228">
        <v>-0.4</v>
      </c>
      <c r="AN126" s="229">
        <v>8.6E-3</v>
      </c>
      <c r="AO126" s="228">
        <v>776.81</v>
      </c>
      <c r="AP126" s="228">
        <v>778.19</v>
      </c>
      <c r="AQ126" s="228">
        <v>0</v>
      </c>
      <c r="AR126" s="230">
        <v>2208000</v>
      </c>
      <c r="AS126" s="230">
        <v>3271200</v>
      </c>
      <c r="AT126" s="230">
        <v>-1063200</v>
      </c>
      <c r="AU126" s="229">
        <v>-0.32500000000000001</v>
      </c>
      <c r="AV126" s="230">
        <v>2158800</v>
      </c>
      <c r="AW126" s="230">
        <v>3147600</v>
      </c>
      <c r="AX126" s="230">
        <v>-988800</v>
      </c>
      <c r="AY126" s="229">
        <v>-0.31409999999999999</v>
      </c>
      <c r="AZ126" s="230">
        <v>42000</v>
      </c>
      <c r="BA126" s="230">
        <v>106800</v>
      </c>
      <c r="BB126" s="230">
        <v>-64800</v>
      </c>
      <c r="BC126" s="229">
        <v>-0.60670000000000002</v>
      </c>
      <c r="BD126" s="230">
        <v>7200</v>
      </c>
      <c r="BE126" s="230">
        <v>16800</v>
      </c>
      <c r="BF126" s="230">
        <v>-9600</v>
      </c>
      <c r="BG126" s="229">
        <v>-0.57140000000000002</v>
      </c>
      <c r="BH126" s="230">
        <v>7329600</v>
      </c>
      <c r="BI126" s="230">
        <v>12470400</v>
      </c>
      <c r="BJ126" s="230">
        <v>-5140800</v>
      </c>
      <c r="BK126" s="229">
        <v>-0.41220000000000001</v>
      </c>
      <c r="BL126" s="230">
        <v>2581200</v>
      </c>
      <c r="BM126" s="230">
        <v>3795600</v>
      </c>
      <c r="BN126" s="230">
        <v>-1214400</v>
      </c>
      <c r="BO126" s="229">
        <v>-0.31990000000000002</v>
      </c>
      <c r="BP126" s="230">
        <v>12118800</v>
      </c>
      <c r="BQ126" s="230">
        <v>19537200</v>
      </c>
      <c r="BR126" s="230">
        <v>-7418400</v>
      </c>
      <c r="BS126" s="229">
        <v>-0.37969999999999998</v>
      </c>
      <c r="BT126" s="230">
        <v>2208375</v>
      </c>
      <c r="BU126" s="230">
        <v>1920377</v>
      </c>
      <c r="BV126" s="230">
        <v>287998</v>
      </c>
      <c r="BW126" s="229">
        <v>0.15</v>
      </c>
      <c r="BX126" s="230">
        <v>31046400</v>
      </c>
      <c r="BY126" s="230">
        <v>31597200</v>
      </c>
      <c r="BZ126" s="230">
        <v>-550800</v>
      </c>
      <c r="CA126" s="229">
        <v>-1.7399999999999999E-2</v>
      </c>
      <c r="CB126" s="230">
        <v>30912000</v>
      </c>
      <c r="CC126" s="230">
        <v>31471200</v>
      </c>
      <c r="CD126" s="230">
        <v>-559200</v>
      </c>
      <c r="CE126" s="229">
        <v>-1.78E-2</v>
      </c>
      <c r="CF126" s="230">
        <v>111600</v>
      </c>
      <c r="CG126" s="230">
        <v>106800</v>
      </c>
      <c r="CH126" s="230">
        <v>4800</v>
      </c>
      <c r="CI126" s="229">
        <v>4.4900000000000002E-2</v>
      </c>
      <c r="CJ126" s="230">
        <v>22800</v>
      </c>
      <c r="CK126" s="230">
        <v>19200</v>
      </c>
      <c r="CL126" s="230">
        <v>3600</v>
      </c>
      <c r="CM126" s="229">
        <v>0.1875</v>
      </c>
      <c r="CN126" s="230">
        <v>6666000</v>
      </c>
      <c r="CO126" s="230">
        <v>5485200</v>
      </c>
      <c r="CP126" s="230">
        <v>1180800</v>
      </c>
      <c r="CQ126" s="229">
        <v>0.21529999999999999</v>
      </c>
      <c r="CR126" s="230">
        <v>4024800</v>
      </c>
      <c r="CS126" s="230">
        <v>3500400</v>
      </c>
      <c r="CT126" s="230">
        <v>524400</v>
      </c>
      <c r="CU126" s="229">
        <v>0.14979999999999999</v>
      </c>
      <c r="CV126" s="230">
        <v>41737200</v>
      </c>
      <c r="CW126" s="230">
        <v>40582800</v>
      </c>
      <c r="CX126" s="230">
        <v>1154400</v>
      </c>
      <c r="CY126" s="229">
        <v>2.8400000000000002E-2</v>
      </c>
      <c r="CZ126" s="228">
        <v>22.56</v>
      </c>
      <c r="DA126" s="228">
        <v>21.14</v>
      </c>
      <c r="DB126" s="228">
        <v>1.42</v>
      </c>
      <c r="DC126" s="228">
        <v>1.42</v>
      </c>
      <c r="DD126" s="228">
        <v>24.55</v>
      </c>
      <c r="DE126" s="228">
        <v>24.59</v>
      </c>
      <c r="DF126" s="228">
        <v>-1.99</v>
      </c>
      <c r="DG126" s="228">
        <v>-0.04</v>
      </c>
      <c r="DH126" s="228">
        <v>22.67</v>
      </c>
      <c r="DI126" s="228">
        <v>21.07</v>
      </c>
      <c r="DJ126" s="228">
        <v>1.6</v>
      </c>
      <c r="DK126" s="228">
        <v>1.6</v>
      </c>
      <c r="DL126" s="228">
        <v>22.26</v>
      </c>
      <c r="DM126" s="228">
        <v>21.37</v>
      </c>
      <c r="DN126" s="228">
        <v>0.89</v>
      </c>
      <c r="DO126" s="228">
        <v>0.89</v>
      </c>
      <c r="DP126" s="228">
        <v>0.6</v>
      </c>
      <c r="DQ126" s="228">
        <v>0.64</v>
      </c>
      <c r="DR126" s="228">
        <v>-0.04</v>
      </c>
      <c r="DS126" s="229">
        <v>-6.25E-2</v>
      </c>
      <c r="DT126" s="228">
        <v>785</v>
      </c>
      <c r="DU126" s="228">
        <v>730</v>
      </c>
      <c r="DV126" s="228">
        <v>0.35</v>
      </c>
      <c r="DW126" s="228">
        <v>0.3</v>
      </c>
      <c r="DX126" s="228">
        <v>0.05</v>
      </c>
      <c r="DY126" s="229">
        <v>0.16669999999999999</v>
      </c>
      <c r="DZ126" s="229">
        <v>4.3E-3</v>
      </c>
      <c r="EA126" s="230">
        <v>126000</v>
      </c>
      <c r="EB126" s="229">
        <v>1.9E-3</v>
      </c>
      <c r="EC126" s="229">
        <v>4.3E-3</v>
      </c>
      <c r="ED126" s="228">
        <v>1.38</v>
      </c>
      <c r="EE126" s="229">
        <v>1.8E-3</v>
      </c>
      <c r="EF126" s="230">
        <v>1675048</v>
      </c>
      <c r="EG126" s="230">
        <v>1204568</v>
      </c>
      <c r="EH126" s="229">
        <v>0.3906</v>
      </c>
      <c r="EI126" s="229">
        <v>0.75849999999999995</v>
      </c>
      <c r="EJ126" s="231">
        <v>58986.14</v>
      </c>
      <c r="EK126" s="231">
        <v>19399.07</v>
      </c>
      <c r="EL126" s="231">
        <v>17153.080000000002</v>
      </c>
      <c r="EM126" s="231">
        <v>2953</v>
      </c>
      <c r="EN126" s="231">
        <v>95538.29</v>
      </c>
      <c r="EO126" s="231">
        <v>154041.92000000001</v>
      </c>
      <c r="EP126" s="231">
        <v>-58503.63</v>
      </c>
      <c r="EQ126" s="229">
        <v>-0.37980000000000003</v>
      </c>
      <c r="ER126" s="231">
        <v>52838</v>
      </c>
      <c r="ES126" s="231">
        <v>29610</v>
      </c>
      <c r="ET126" s="231">
        <v>240659</v>
      </c>
      <c r="EU126" s="231">
        <v>79442217</v>
      </c>
      <c r="EV126" s="231">
        <v>323107</v>
      </c>
      <c r="EW126" s="231">
        <v>315984</v>
      </c>
      <c r="EX126" s="231">
        <v>7123</v>
      </c>
      <c r="EY126" s="229">
        <v>2.2499999999999999E-2</v>
      </c>
      <c r="EZ126" s="229">
        <v>0.52539999999999998</v>
      </c>
      <c r="FA126" s="227" t="s">
        <v>568</v>
      </c>
      <c r="FB126" s="161">
        <f t="shared" si="1"/>
        <v>134400</v>
      </c>
    </row>
    <row r="127" spans="1:158" ht="17.25" hidden="1" thickBot="1" x14ac:dyDescent="0.3">
      <c r="A127" s="226">
        <v>46029</v>
      </c>
      <c r="B127" s="227" t="s">
        <v>162</v>
      </c>
      <c r="C127" s="227" t="s">
        <v>255</v>
      </c>
      <c r="D127" s="228">
        <v>50</v>
      </c>
      <c r="E127" s="231">
        <v>16875</v>
      </c>
      <c r="F127" s="231">
        <v>17330</v>
      </c>
      <c r="G127" s="228">
        <v>-455</v>
      </c>
      <c r="H127" s="229">
        <v>-2.63E-2</v>
      </c>
      <c r="I127" s="231">
        <v>16809</v>
      </c>
      <c r="J127" s="231">
        <v>17292</v>
      </c>
      <c r="K127" s="228">
        <v>-483</v>
      </c>
      <c r="L127" s="229">
        <v>-2.7900000000000001E-2</v>
      </c>
      <c r="M127" s="231">
        <v>16875</v>
      </c>
      <c r="N127" s="231">
        <v>17330</v>
      </c>
      <c r="O127" s="228">
        <v>-455</v>
      </c>
      <c r="P127" s="229">
        <v>-2.63E-2</v>
      </c>
      <c r="Q127" s="231">
        <v>16963</v>
      </c>
      <c r="R127" s="231">
        <v>17426</v>
      </c>
      <c r="S127" s="228">
        <v>-463</v>
      </c>
      <c r="T127" s="229">
        <v>-2.6599999999999999E-2</v>
      </c>
      <c r="U127" s="231">
        <v>17071</v>
      </c>
      <c r="V127" s="231">
        <v>17516</v>
      </c>
      <c r="W127" s="228">
        <v>-445</v>
      </c>
      <c r="X127" s="229">
        <v>-2.5399999999999999E-2</v>
      </c>
      <c r="Y127" s="228">
        <v>66</v>
      </c>
      <c r="Z127" s="228">
        <v>38</v>
      </c>
      <c r="AA127" s="228">
        <v>28</v>
      </c>
      <c r="AB127" s="229">
        <v>3.8999999999999998E-3</v>
      </c>
      <c r="AC127" s="228">
        <v>66</v>
      </c>
      <c r="AD127" s="228">
        <v>38</v>
      </c>
      <c r="AE127" s="228">
        <v>28</v>
      </c>
      <c r="AF127" s="229">
        <v>3.8999999999999998E-3</v>
      </c>
      <c r="AG127" s="228">
        <v>154</v>
      </c>
      <c r="AH127" s="228">
        <v>134</v>
      </c>
      <c r="AI127" s="228">
        <v>20</v>
      </c>
      <c r="AJ127" s="229">
        <v>9.1999999999999998E-3</v>
      </c>
      <c r="AK127" s="228">
        <v>262</v>
      </c>
      <c r="AL127" s="228">
        <v>224</v>
      </c>
      <c r="AM127" s="228">
        <v>38</v>
      </c>
      <c r="AN127" s="229">
        <v>1.5599999999999999E-2</v>
      </c>
      <c r="AO127" s="231">
        <v>16894.54</v>
      </c>
      <c r="AP127" s="231">
        <v>16960.599999999999</v>
      </c>
      <c r="AQ127" s="228">
        <v>0</v>
      </c>
      <c r="AR127" s="230">
        <v>1014400</v>
      </c>
      <c r="AS127" s="230">
        <v>265450</v>
      </c>
      <c r="AT127" s="230">
        <v>748950</v>
      </c>
      <c r="AU127" s="229">
        <v>2.8214000000000001</v>
      </c>
      <c r="AV127" s="230">
        <v>950550</v>
      </c>
      <c r="AW127" s="230">
        <v>255550</v>
      </c>
      <c r="AX127" s="230">
        <v>695000</v>
      </c>
      <c r="AY127" s="229">
        <v>2.7195999999999998</v>
      </c>
      <c r="AZ127" s="230">
        <v>50150</v>
      </c>
      <c r="BA127" s="230">
        <v>8500</v>
      </c>
      <c r="BB127" s="230">
        <v>41650</v>
      </c>
      <c r="BC127" s="229">
        <v>4.9000000000000004</v>
      </c>
      <c r="BD127" s="230">
        <v>13700</v>
      </c>
      <c r="BE127" s="230">
        <v>1400</v>
      </c>
      <c r="BF127" s="230">
        <v>12300</v>
      </c>
      <c r="BG127" s="229">
        <v>8.7857000000000003</v>
      </c>
      <c r="BH127" s="230">
        <v>8363900</v>
      </c>
      <c r="BI127" s="230">
        <v>2043150</v>
      </c>
      <c r="BJ127" s="230">
        <v>6320750</v>
      </c>
      <c r="BK127" s="229">
        <v>3.0935999999999999</v>
      </c>
      <c r="BL127" s="230">
        <v>9300750</v>
      </c>
      <c r="BM127" s="230">
        <v>1406600</v>
      </c>
      <c r="BN127" s="230">
        <v>7894150</v>
      </c>
      <c r="BO127" s="229">
        <v>5.6121999999999996</v>
      </c>
      <c r="BP127" s="230">
        <v>18679050</v>
      </c>
      <c r="BQ127" s="230">
        <v>3715200</v>
      </c>
      <c r="BR127" s="230">
        <v>14963850</v>
      </c>
      <c r="BS127" s="229">
        <v>4.0277000000000003</v>
      </c>
      <c r="BT127" s="230">
        <v>446068</v>
      </c>
      <c r="BU127" s="230">
        <v>196146</v>
      </c>
      <c r="BV127" s="230">
        <v>249922</v>
      </c>
      <c r="BW127" s="229">
        <v>1.2742</v>
      </c>
      <c r="BX127" s="230">
        <v>2954550</v>
      </c>
      <c r="BY127" s="230">
        <v>2944450</v>
      </c>
      <c r="BZ127" s="230">
        <v>10100</v>
      </c>
      <c r="CA127" s="229">
        <v>3.3999999999999998E-3</v>
      </c>
      <c r="CB127" s="230">
        <v>2890750</v>
      </c>
      <c r="CC127" s="230">
        <v>2893900</v>
      </c>
      <c r="CD127" s="230">
        <v>-3150</v>
      </c>
      <c r="CE127" s="229">
        <v>-1.1000000000000001E-3</v>
      </c>
      <c r="CF127" s="230">
        <v>51700</v>
      </c>
      <c r="CG127" s="230">
        <v>45150</v>
      </c>
      <c r="CH127" s="230">
        <v>6550</v>
      </c>
      <c r="CI127" s="229">
        <v>0.14510000000000001</v>
      </c>
      <c r="CJ127" s="230">
        <v>12100</v>
      </c>
      <c r="CK127" s="230">
        <v>5400</v>
      </c>
      <c r="CL127" s="230">
        <v>6700</v>
      </c>
      <c r="CM127" s="229">
        <v>1.2406999999999999</v>
      </c>
      <c r="CN127" s="230">
        <v>1629400</v>
      </c>
      <c r="CO127" s="230">
        <v>1199300</v>
      </c>
      <c r="CP127" s="230">
        <v>430100</v>
      </c>
      <c r="CQ127" s="229">
        <v>0.35859999999999997</v>
      </c>
      <c r="CR127" s="230">
        <v>1125850</v>
      </c>
      <c r="CS127" s="230">
        <v>1279850</v>
      </c>
      <c r="CT127" s="230">
        <v>-154000</v>
      </c>
      <c r="CU127" s="229">
        <v>-0.1203</v>
      </c>
      <c r="CV127" s="230">
        <v>5709800</v>
      </c>
      <c r="CW127" s="230">
        <v>5423600</v>
      </c>
      <c r="CX127" s="230">
        <v>286200</v>
      </c>
      <c r="CY127" s="229">
        <v>5.28E-2</v>
      </c>
      <c r="CZ127" s="228">
        <v>18.8</v>
      </c>
      <c r="DA127" s="228">
        <v>17.59</v>
      </c>
      <c r="DB127" s="228">
        <v>1.21</v>
      </c>
      <c r="DC127" s="228">
        <v>1.21</v>
      </c>
      <c r="DD127" s="228">
        <v>24.36</v>
      </c>
      <c r="DE127" s="228">
        <v>24.12</v>
      </c>
      <c r="DF127" s="228">
        <v>-5.56</v>
      </c>
      <c r="DG127" s="228">
        <v>0.24</v>
      </c>
      <c r="DH127" s="228">
        <v>18.14</v>
      </c>
      <c r="DI127" s="228">
        <v>16.86</v>
      </c>
      <c r="DJ127" s="228">
        <v>1.28</v>
      </c>
      <c r="DK127" s="228">
        <v>1.28</v>
      </c>
      <c r="DL127" s="228">
        <v>19.39</v>
      </c>
      <c r="DM127" s="228">
        <v>18.66</v>
      </c>
      <c r="DN127" s="228">
        <v>0.73</v>
      </c>
      <c r="DO127" s="228">
        <v>0.73</v>
      </c>
      <c r="DP127" s="228">
        <v>0.69</v>
      </c>
      <c r="DQ127" s="228">
        <v>1.07</v>
      </c>
      <c r="DR127" s="228">
        <v>-0.38</v>
      </c>
      <c r="DS127" s="229">
        <v>-0.35510000000000003</v>
      </c>
      <c r="DT127" s="231">
        <v>17500</v>
      </c>
      <c r="DU127" s="231">
        <v>16000</v>
      </c>
      <c r="DV127" s="228">
        <v>1.1100000000000001</v>
      </c>
      <c r="DW127" s="228">
        <v>0.69</v>
      </c>
      <c r="DX127" s="228">
        <v>0.42</v>
      </c>
      <c r="DY127" s="229">
        <v>0.60870000000000002</v>
      </c>
      <c r="DZ127" s="229">
        <v>2.1600000000000001E-2</v>
      </c>
      <c r="EA127" s="230">
        <v>50550</v>
      </c>
      <c r="EB127" s="229">
        <v>5.1999999999999998E-3</v>
      </c>
      <c r="EC127" s="229">
        <v>2.1600000000000001E-2</v>
      </c>
      <c r="ED127" s="228">
        <v>66.06</v>
      </c>
      <c r="EE127" s="229">
        <v>3.8999999999999998E-3</v>
      </c>
      <c r="EF127" s="230">
        <v>220989</v>
      </c>
      <c r="EG127" s="230">
        <v>99548</v>
      </c>
      <c r="EH127" s="229">
        <v>1.2199</v>
      </c>
      <c r="EI127" s="229">
        <v>0.49540000000000001</v>
      </c>
      <c r="EJ127" s="231">
        <v>1464321.73</v>
      </c>
      <c r="EK127" s="231">
        <v>1547368.49</v>
      </c>
      <c r="EL127" s="231">
        <v>171436.07</v>
      </c>
      <c r="EM127" s="231">
        <v>7949</v>
      </c>
      <c r="EN127" s="231">
        <v>3183126.29</v>
      </c>
      <c r="EO127" s="231">
        <v>647778.91</v>
      </c>
      <c r="EP127" s="231">
        <v>2535347.38</v>
      </c>
      <c r="EQ127" s="229">
        <v>3.9138999999999999</v>
      </c>
      <c r="ER127" s="231">
        <v>284506</v>
      </c>
      <c r="ES127" s="231">
        <v>182388</v>
      </c>
      <c r="ET127" s="231">
        <v>498650</v>
      </c>
      <c r="EU127" s="231">
        <v>17687048</v>
      </c>
      <c r="EV127" s="231">
        <v>965543</v>
      </c>
      <c r="EW127" s="231">
        <v>930025</v>
      </c>
      <c r="EX127" s="231">
        <v>35518</v>
      </c>
      <c r="EY127" s="229">
        <v>3.8199999999999998E-2</v>
      </c>
      <c r="EZ127" s="229">
        <v>0.32279999999999998</v>
      </c>
      <c r="FA127" s="227" t="s">
        <v>567</v>
      </c>
      <c r="FB127" s="161">
        <f t="shared" si="1"/>
        <v>63800</v>
      </c>
    </row>
    <row r="128" spans="1:158" ht="17.25" hidden="1" thickBot="1" x14ac:dyDescent="0.3">
      <c r="A128" s="226">
        <v>46029</v>
      </c>
      <c r="B128" s="227" t="s">
        <v>170</v>
      </c>
      <c r="C128" s="227" t="s">
        <v>603</v>
      </c>
      <c r="D128" s="228">
        <v>525</v>
      </c>
      <c r="E128" s="231">
        <v>1038.2</v>
      </c>
      <c r="F128" s="231">
        <v>1056.5999999999999</v>
      </c>
      <c r="G128" s="228">
        <v>-18.399999999999999</v>
      </c>
      <c r="H128" s="229">
        <v>-1.7399999999999999E-2</v>
      </c>
      <c r="I128" s="231">
        <v>1034.7</v>
      </c>
      <c r="J128" s="231">
        <v>1051.5999999999999</v>
      </c>
      <c r="K128" s="228">
        <v>-16.899999999999999</v>
      </c>
      <c r="L128" s="229">
        <v>-1.61E-2</v>
      </c>
      <c r="M128" s="231">
        <v>1038.2</v>
      </c>
      <c r="N128" s="231">
        <v>1056.5999999999999</v>
      </c>
      <c r="O128" s="228">
        <v>-18.399999999999999</v>
      </c>
      <c r="P128" s="229">
        <v>-1.7399999999999999E-2</v>
      </c>
      <c r="Q128" s="231">
        <v>1044.5</v>
      </c>
      <c r="R128" s="231">
        <v>1062</v>
      </c>
      <c r="S128" s="228">
        <v>-17.5</v>
      </c>
      <c r="T128" s="229">
        <v>-1.6500000000000001E-2</v>
      </c>
      <c r="U128" s="231">
        <v>1050</v>
      </c>
      <c r="V128" s="231">
        <v>1069.5999999999999</v>
      </c>
      <c r="W128" s="228">
        <v>-19.600000000000001</v>
      </c>
      <c r="X128" s="229">
        <v>-1.83E-2</v>
      </c>
      <c r="Y128" s="228">
        <v>3.5</v>
      </c>
      <c r="Z128" s="228">
        <v>5</v>
      </c>
      <c r="AA128" s="228">
        <v>-1.5</v>
      </c>
      <c r="AB128" s="229">
        <v>3.3999999999999998E-3</v>
      </c>
      <c r="AC128" s="228">
        <v>3.5</v>
      </c>
      <c r="AD128" s="228">
        <v>5</v>
      </c>
      <c r="AE128" s="228">
        <v>-1.5</v>
      </c>
      <c r="AF128" s="229">
        <v>3.3999999999999998E-3</v>
      </c>
      <c r="AG128" s="228">
        <v>9.8000000000000007</v>
      </c>
      <c r="AH128" s="228">
        <v>10.4</v>
      </c>
      <c r="AI128" s="228">
        <v>-0.6</v>
      </c>
      <c r="AJ128" s="229">
        <v>9.4999999999999998E-3</v>
      </c>
      <c r="AK128" s="228">
        <v>15.3</v>
      </c>
      <c r="AL128" s="228">
        <v>18</v>
      </c>
      <c r="AM128" s="228">
        <v>-2.7</v>
      </c>
      <c r="AN128" s="229">
        <v>1.4800000000000001E-2</v>
      </c>
      <c r="AO128" s="231">
        <v>1036.82</v>
      </c>
      <c r="AP128" s="231">
        <v>1043.28</v>
      </c>
      <c r="AQ128" s="228">
        <v>0</v>
      </c>
      <c r="AR128" s="230">
        <v>3742725</v>
      </c>
      <c r="AS128" s="230">
        <v>2670675</v>
      </c>
      <c r="AT128" s="230">
        <v>1072050</v>
      </c>
      <c r="AU128" s="229">
        <v>0.40139999999999998</v>
      </c>
      <c r="AV128" s="230">
        <v>3557400</v>
      </c>
      <c r="AW128" s="230">
        <v>2549925</v>
      </c>
      <c r="AX128" s="230">
        <v>1007475</v>
      </c>
      <c r="AY128" s="229">
        <v>0.39510000000000001</v>
      </c>
      <c r="AZ128" s="230">
        <v>164850</v>
      </c>
      <c r="BA128" s="230">
        <v>102375</v>
      </c>
      <c r="BB128" s="230">
        <v>62475</v>
      </c>
      <c r="BC128" s="229">
        <v>0.61029999999999995</v>
      </c>
      <c r="BD128" s="230">
        <v>20475</v>
      </c>
      <c r="BE128" s="230">
        <v>18375</v>
      </c>
      <c r="BF128" s="230">
        <v>2100</v>
      </c>
      <c r="BG128" s="229">
        <v>0.1143</v>
      </c>
      <c r="BH128" s="230">
        <v>5954550</v>
      </c>
      <c r="BI128" s="230">
        <v>3273375</v>
      </c>
      <c r="BJ128" s="230">
        <v>2681175</v>
      </c>
      <c r="BK128" s="229">
        <v>0.81910000000000005</v>
      </c>
      <c r="BL128" s="230">
        <v>3011925</v>
      </c>
      <c r="BM128" s="230">
        <v>971775</v>
      </c>
      <c r="BN128" s="230">
        <v>2040150</v>
      </c>
      <c r="BO128" s="229">
        <v>2.0994000000000002</v>
      </c>
      <c r="BP128" s="230">
        <v>12709200</v>
      </c>
      <c r="BQ128" s="230">
        <v>6915825</v>
      </c>
      <c r="BR128" s="230">
        <v>5793375</v>
      </c>
      <c r="BS128" s="229">
        <v>0.8377</v>
      </c>
      <c r="BT128" s="230">
        <v>4916062</v>
      </c>
      <c r="BU128" s="230">
        <v>2100914</v>
      </c>
      <c r="BV128" s="230">
        <v>2815148</v>
      </c>
      <c r="BW128" s="229">
        <v>1.34</v>
      </c>
      <c r="BX128" s="230">
        <v>22504125</v>
      </c>
      <c r="BY128" s="230">
        <v>21885675</v>
      </c>
      <c r="BZ128" s="230">
        <v>618450</v>
      </c>
      <c r="CA128" s="229">
        <v>2.8299999999999999E-2</v>
      </c>
      <c r="CB128" s="230">
        <v>22075200</v>
      </c>
      <c r="CC128" s="230">
        <v>21505050</v>
      </c>
      <c r="CD128" s="230">
        <v>570150</v>
      </c>
      <c r="CE128" s="229">
        <v>2.6499999999999999E-2</v>
      </c>
      <c r="CF128" s="230">
        <v>383250</v>
      </c>
      <c r="CG128" s="230">
        <v>347025</v>
      </c>
      <c r="CH128" s="230">
        <v>36225</v>
      </c>
      <c r="CI128" s="229">
        <v>0.10440000000000001</v>
      </c>
      <c r="CJ128" s="230">
        <v>45675</v>
      </c>
      <c r="CK128" s="230">
        <v>33600</v>
      </c>
      <c r="CL128" s="230">
        <v>12075</v>
      </c>
      <c r="CM128" s="229">
        <v>0.3594</v>
      </c>
      <c r="CN128" s="230">
        <v>3250275</v>
      </c>
      <c r="CO128" s="230">
        <v>2571975</v>
      </c>
      <c r="CP128" s="230">
        <v>678300</v>
      </c>
      <c r="CQ128" s="229">
        <v>0.26369999999999999</v>
      </c>
      <c r="CR128" s="230">
        <v>2096325</v>
      </c>
      <c r="CS128" s="230">
        <v>2035950</v>
      </c>
      <c r="CT128" s="230">
        <v>60375</v>
      </c>
      <c r="CU128" s="229">
        <v>2.9700000000000001E-2</v>
      </c>
      <c r="CV128" s="230">
        <v>27850725</v>
      </c>
      <c r="CW128" s="230">
        <v>26493600</v>
      </c>
      <c r="CX128" s="230">
        <v>1357125</v>
      </c>
      <c r="CY128" s="229">
        <v>5.1200000000000002E-2</v>
      </c>
      <c r="CZ128" s="228">
        <v>25.43</v>
      </c>
      <c r="DA128" s="228">
        <v>23.88</v>
      </c>
      <c r="DB128" s="228">
        <v>1.55</v>
      </c>
      <c r="DC128" s="228">
        <v>1.55</v>
      </c>
      <c r="DD128" s="228">
        <v>38.47</v>
      </c>
      <c r="DE128" s="228">
        <v>38.5</v>
      </c>
      <c r="DF128" s="228">
        <v>-13.04</v>
      </c>
      <c r="DG128" s="228">
        <v>-0.03</v>
      </c>
      <c r="DH128" s="228">
        <v>25.51</v>
      </c>
      <c r="DI128" s="228">
        <v>23.9</v>
      </c>
      <c r="DJ128" s="228">
        <v>1.61</v>
      </c>
      <c r="DK128" s="228">
        <v>1.61</v>
      </c>
      <c r="DL128" s="228">
        <v>25.26</v>
      </c>
      <c r="DM128" s="228">
        <v>23.82</v>
      </c>
      <c r="DN128" s="228">
        <v>1.44</v>
      </c>
      <c r="DO128" s="228">
        <v>1.44</v>
      </c>
      <c r="DP128" s="228">
        <v>0.64</v>
      </c>
      <c r="DQ128" s="228">
        <v>0.79</v>
      </c>
      <c r="DR128" s="228">
        <v>-0.15</v>
      </c>
      <c r="DS128" s="229">
        <v>-0.18990000000000001</v>
      </c>
      <c r="DT128" s="231">
        <v>1100</v>
      </c>
      <c r="DU128" s="231">
        <v>1040</v>
      </c>
      <c r="DV128" s="228">
        <v>0.51</v>
      </c>
      <c r="DW128" s="228">
        <v>0.3</v>
      </c>
      <c r="DX128" s="228">
        <v>0.21</v>
      </c>
      <c r="DY128" s="229">
        <v>0.7</v>
      </c>
      <c r="DZ128" s="229">
        <v>1.9099999999999999E-2</v>
      </c>
      <c r="EA128" s="230">
        <v>380625</v>
      </c>
      <c r="EB128" s="229">
        <v>6.1000000000000004E-3</v>
      </c>
      <c r="EC128" s="229">
        <v>1.9099999999999999E-2</v>
      </c>
      <c r="ED128" s="228">
        <v>6.46</v>
      </c>
      <c r="EE128" s="229">
        <v>6.1999999999999998E-3</v>
      </c>
      <c r="EF128" s="230">
        <v>3167940</v>
      </c>
      <c r="EG128" s="230">
        <v>1200636</v>
      </c>
      <c r="EH128" s="229">
        <v>1.6386000000000001</v>
      </c>
      <c r="EI128" s="229">
        <v>0.64439999999999997</v>
      </c>
      <c r="EJ128" s="231">
        <v>64568.84</v>
      </c>
      <c r="EK128" s="231">
        <v>31383.49</v>
      </c>
      <c r="EL128" s="231">
        <v>38818.5</v>
      </c>
      <c r="EM128" s="231">
        <v>3304</v>
      </c>
      <c r="EN128" s="231">
        <v>134770.82999999999</v>
      </c>
      <c r="EO128" s="231">
        <v>74415.14</v>
      </c>
      <c r="EP128" s="231">
        <v>60355.69</v>
      </c>
      <c r="EQ128" s="229">
        <v>0.81110000000000004</v>
      </c>
      <c r="ER128" s="231">
        <v>35613</v>
      </c>
      <c r="ES128" s="231">
        <v>22038</v>
      </c>
      <c r="ET128" s="231">
        <v>233667</v>
      </c>
      <c r="EU128" s="231">
        <v>111218809</v>
      </c>
      <c r="EV128" s="231">
        <v>291318</v>
      </c>
      <c r="EW128" s="231">
        <v>281233</v>
      </c>
      <c r="EX128" s="231">
        <v>10085</v>
      </c>
      <c r="EY128" s="229">
        <v>3.5900000000000001E-2</v>
      </c>
      <c r="EZ128" s="229">
        <v>0.25040000000000001</v>
      </c>
      <c r="FA128" s="227" t="s">
        <v>567</v>
      </c>
      <c r="FB128" s="161">
        <f t="shared" si="1"/>
        <v>428925</v>
      </c>
    </row>
    <row r="129" spans="1:158" ht="17.25" hidden="1" thickBot="1" x14ac:dyDescent="0.3">
      <c r="A129" s="226">
        <v>46029</v>
      </c>
      <c r="B129" s="227" t="s">
        <v>215</v>
      </c>
      <c r="C129" s="227" t="s">
        <v>673</v>
      </c>
      <c r="D129" s="228">
        <v>200</v>
      </c>
      <c r="E129" s="231">
        <v>2523</v>
      </c>
      <c r="F129" s="231">
        <v>2505</v>
      </c>
      <c r="G129" s="228">
        <v>18</v>
      </c>
      <c r="H129" s="229">
        <v>7.1999999999999998E-3</v>
      </c>
      <c r="I129" s="231">
        <v>2511.4</v>
      </c>
      <c r="J129" s="231">
        <v>2496.4</v>
      </c>
      <c r="K129" s="228">
        <v>15</v>
      </c>
      <c r="L129" s="229">
        <v>6.0000000000000001E-3</v>
      </c>
      <c r="M129" s="231">
        <v>2523</v>
      </c>
      <c r="N129" s="231">
        <v>2505</v>
      </c>
      <c r="O129" s="228">
        <v>18</v>
      </c>
      <c r="P129" s="229">
        <v>7.1999999999999998E-3</v>
      </c>
      <c r="Q129" s="231">
        <v>2536.8000000000002</v>
      </c>
      <c r="R129" s="231">
        <v>2518.8000000000002</v>
      </c>
      <c r="S129" s="228">
        <v>18</v>
      </c>
      <c r="T129" s="229">
        <v>7.1000000000000004E-3</v>
      </c>
      <c r="U129" s="231">
        <v>2525.1</v>
      </c>
      <c r="V129" s="231">
        <v>2535.6999999999998</v>
      </c>
      <c r="W129" s="228">
        <v>-10.6</v>
      </c>
      <c r="X129" s="229">
        <v>-4.1999999999999997E-3</v>
      </c>
      <c r="Y129" s="228">
        <v>11.6</v>
      </c>
      <c r="Z129" s="228">
        <v>8.6</v>
      </c>
      <c r="AA129" s="228">
        <v>3</v>
      </c>
      <c r="AB129" s="229">
        <v>4.5999999999999999E-3</v>
      </c>
      <c r="AC129" s="228">
        <v>11.6</v>
      </c>
      <c r="AD129" s="228">
        <v>8.6</v>
      </c>
      <c r="AE129" s="228">
        <v>3</v>
      </c>
      <c r="AF129" s="229">
        <v>4.5999999999999999E-3</v>
      </c>
      <c r="AG129" s="228">
        <v>25.4</v>
      </c>
      <c r="AH129" s="228">
        <v>22.4</v>
      </c>
      <c r="AI129" s="228">
        <v>3</v>
      </c>
      <c r="AJ129" s="229">
        <v>1.01E-2</v>
      </c>
      <c r="AK129" s="228">
        <v>13.7</v>
      </c>
      <c r="AL129" s="228">
        <v>39.299999999999997</v>
      </c>
      <c r="AM129" s="228">
        <v>-25.6</v>
      </c>
      <c r="AN129" s="229">
        <v>5.4999999999999997E-3</v>
      </c>
      <c r="AO129" s="231">
        <v>2505.77</v>
      </c>
      <c r="AP129" s="231">
        <v>2512.21</v>
      </c>
      <c r="AQ129" s="228">
        <v>0</v>
      </c>
      <c r="AR129" s="230">
        <v>856000</v>
      </c>
      <c r="AS129" s="230">
        <v>566800</v>
      </c>
      <c r="AT129" s="230">
        <v>289200</v>
      </c>
      <c r="AU129" s="229">
        <v>0.51019999999999999</v>
      </c>
      <c r="AV129" s="230">
        <v>715000</v>
      </c>
      <c r="AW129" s="230">
        <v>496600</v>
      </c>
      <c r="AX129" s="230">
        <v>218400</v>
      </c>
      <c r="AY129" s="229">
        <v>0.43980000000000002</v>
      </c>
      <c r="AZ129" s="230">
        <v>139200</v>
      </c>
      <c r="BA129" s="230">
        <v>61600</v>
      </c>
      <c r="BB129" s="230">
        <v>77600</v>
      </c>
      <c r="BC129" s="229">
        <v>1.2597</v>
      </c>
      <c r="BD129" s="230">
        <v>1800</v>
      </c>
      <c r="BE129" s="230">
        <v>8600</v>
      </c>
      <c r="BF129" s="230">
        <v>-6800</v>
      </c>
      <c r="BG129" s="229">
        <v>-0.79069999999999996</v>
      </c>
      <c r="BH129" s="230">
        <v>3465800</v>
      </c>
      <c r="BI129" s="230">
        <v>2449800</v>
      </c>
      <c r="BJ129" s="230">
        <v>1016000</v>
      </c>
      <c r="BK129" s="229">
        <v>0.41470000000000001</v>
      </c>
      <c r="BL129" s="230">
        <v>1148200</v>
      </c>
      <c r="BM129" s="230">
        <v>993000</v>
      </c>
      <c r="BN129" s="230">
        <v>155200</v>
      </c>
      <c r="BO129" s="229">
        <v>0.15629999999999999</v>
      </c>
      <c r="BP129" s="230">
        <v>5470000</v>
      </c>
      <c r="BQ129" s="230">
        <v>4009600</v>
      </c>
      <c r="BR129" s="230">
        <v>1460400</v>
      </c>
      <c r="BS129" s="229">
        <v>0.36420000000000002</v>
      </c>
      <c r="BT129" s="230">
        <v>849904</v>
      </c>
      <c r="BU129" s="230">
        <v>650990</v>
      </c>
      <c r="BV129" s="230">
        <v>198914</v>
      </c>
      <c r="BW129" s="229">
        <v>0.30559999999999998</v>
      </c>
      <c r="BX129" s="230">
        <v>5200000</v>
      </c>
      <c r="BY129" s="230">
        <v>5248800</v>
      </c>
      <c r="BZ129" s="230">
        <v>-48800</v>
      </c>
      <c r="CA129" s="229">
        <v>-9.2999999999999992E-3</v>
      </c>
      <c r="CB129" s="230">
        <v>4908200</v>
      </c>
      <c r="CC129" s="230">
        <v>4968800</v>
      </c>
      <c r="CD129" s="230">
        <v>-60600</v>
      </c>
      <c r="CE129" s="229">
        <v>-1.2200000000000001E-2</v>
      </c>
      <c r="CF129" s="230">
        <v>279000</v>
      </c>
      <c r="CG129" s="230">
        <v>268200</v>
      </c>
      <c r="CH129" s="230">
        <v>10800</v>
      </c>
      <c r="CI129" s="229">
        <v>4.0300000000000002E-2</v>
      </c>
      <c r="CJ129" s="230">
        <v>12800</v>
      </c>
      <c r="CK129" s="230">
        <v>11800</v>
      </c>
      <c r="CL129" s="230">
        <v>1000</v>
      </c>
      <c r="CM129" s="229">
        <v>8.4699999999999998E-2</v>
      </c>
      <c r="CN129" s="230">
        <v>4094600</v>
      </c>
      <c r="CO129" s="230">
        <v>4128400</v>
      </c>
      <c r="CP129" s="230">
        <v>-33800</v>
      </c>
      <c r="CQ129" s="229">
        <v>-8.2000000000000007E-3</v>
      </c>
      <c r="CR129" s="230">
        <v>2141200</v>
      </c>
      <c r="CS129" s="230">
        <v>2128200</v>
      </c>
      <c r="CT129" s="230">
        <v>13000</v>
      </c>
      <c r="CU129" s="229">
        <v>6.1000000000000004E-3</v>
      </c>
      <c r="CV129" s="230">
        <v>11435800</v>
      </c>
      <c r="CW129" s="230">
        <v>11505400</v>
      </c>
      <c r="CX129" s="230">
        <v>-69600</v>
      </c>
      <c r="CY129" s="229">
        <v>-6.0000000000000001E-3</v>
      </c>
      <c r="CZ129" s="228">
        <v>34.39</v>
      </c>
      <c r="DA129" s="228">
        <v>33.799999999999997</v>
      </c>
      <c r="DB129" s="228">
        <v>0.59</v>
      </c>
      <c r="DC129" s="228">
        <v>0.59</v>
      </c>
      <c r="DD129" s="228">
        <v>54.26</v>
      </c>
      <c r="DE129" s="228">
        <v>54.39</v>
      </c>
      <c r="DF129" s="228">
        <v>-19.87</v>
      </c>
      <c r="DG129" s="228">
        <v>-0.13</v>
      </c>
      <c r="DH129" s="228">
        <v>34.71</v>
      </c>
      <c r="DI129" s="228">
        <v>34.11</v>
      </c>
      <c r="DJ129" s="228">
        <v>0.6</v>
      </c>
      <c r="DK129" s="228">
        <v>0.6</v>
      </c>
      <c r="DL129" s="228">
        <v>33.46</v>
      </c>
      <c r="DM129" s="228">
        <v>33.04</v>
      </c>
      <c r="DN129" s="228">
        <v>0.42</v>
      </c>
      <c r="DO129" s="228">
        <v>0.42</v>
      </c>
      <c r="DP129" s="228">
        <v>0.52</v>
      </c>
      <c r="DQ129" s="228">
        <v>0.52</v>
      </c>
      <c r="DR129" s="228">
        <v>0</v>
      </c>
      <c r="DS129" s="229">
        <v>0</v>
      </c>
      <c r="DT129" s="231">
        <v>2600</v>
      </c>
      <c r="DU129" s="231">
        <v>2400</v>
      </c>
      <c r="DV129" s="228">
        <v>0.33</v>
      </c>
      <c r="DW129" s="228">
        <v>0.41</v>
      </c>
      <c r="DX129" s="228">
        <v>-0.08</v>
      </c>
      <c r="DY129" s="229">
        <v>-0.1951</v>
      </c>
      <c r="DZ129" s="229">
        <v>5.6099999999999997E-2</v>
      </c>
      <c r="EA129" s="230">
        <v>280000</v>
      </c>
      <c r="EB129" s="229">
        <v>5.4999999999999997E-3</v>
      </c>
      <c r="EC129" s="229">
        <v>5.6099999999999997E-2</v>
      </c>
      <c r="ED129" s="228">
        <v>6.44</v>
      </c>
      <c r="EE129" s="229">
        <v>2.5999999999999999E-3</v>
      </c>
      <c r="EF129" s="230">
        <v>190370</v>
      </c>
      <c r="EG129" s="230">
        <v>165647</v>
      </c>
      <c r="EH129" s="229">
        <v>0.14929999999999999</v>
      </c>
      <c r="EI129" s="229">
        <v>0.224</v>
      </c>
      <c r="EJ129" s="231">
        <v>91071.63</v>
      </c>
      <c r="EK129" s="231">
        <v>29032.97</v>
      </c>
      <c r="EL129" s="231">
        <v>21458.63</v>
      </c>
      <c r="EM129" s="231">
        <v>3972</v>
      </c>
      <c r="EN129" s="231">
        <v>141563.23000000001</v>
      </c>
      <c r="EO129" s="231">
        <v>104042.42</v>
      </c>
      <c r="EP129" s="231">
        <v>37520.81</v>
      </c>
      <c r="EQ129" s="229">
        <v>0.36059999999999998</v>
      </c>
      <c r="ER129" s="231">
        <v>111238</v>
      </c>
      <c r="ES129" s="231">
        <v>53072</v>
      </c>
      <c r="ET129" s="231">
        <v>131235</v>
      </c>
      <c r="EU129" s="231">
        <v>11364224</v>
      </c>
      <c r="EV129" s="231">
        <v>295545</v>
      </c>
      <c r="EW129" s="231">
        <v>296415</v>
      </c>
      <c r="EX129" s="228">
        <v>-870</v>
      </c>
      <c r="EY129" s="229">
        <v>-2.8999999999999998E-3</v>
      </c>
      <c r="EZ129" s="229">
        <v>1.0063</v>
      </c>
      <c r="FA129" s="227" t="s">
        <v>556</v>
      </c>
      <c r="FB129" s="161">
        <f t="shared" si="1"/>
        <v>291800</v>
      </c>
    </row>
    <row r="130" spans="1:158" ht="17.25" hidden="1" thickBot="1" x14ac:dyDescent="0.3">
      <c r="A130" s="226">
        <v>46029</v>
      </c>
      <c r="B130" s="227" t="s">
        <v>175</v>
      </c>
      <c r="C130" s="227" t="s">
        <v>517</v>
      </c>
      <c r="D130" s="228">
        <v>625</v>
      </c>
      <c r="E130" s="231">
        <v>2310</v>
      </c>
      <c r="F130" s="231">
        <v>2260</v>
      </c>
      <c r="G130" s="228">
        <v>50</v>
      </c>
      <c r="H130" s="229">
        <v>2.2100000000000002E-2</v>
      </c>
      <c r="I130" s="231">
        <v>2305</v>
      </c>
      <c r="J130" s="231">
        <v>2246</v>
      </c>
      <c r="K130" s="228">
        <v>59</v>
      </c>
      <c r="L130" s="229">
        <v>2.63E-2</v>
      </c>
      <c r="M130" s="231">
        <v>2310</v>
      </c>
      <c r="N130" s="231">
        <v>2260</v>
      </c>
      <c r="O130" s="228">
        <v>50</v>
      </c>
      <c r="P130" s="229">
        <v>2.2100000000000002E-2</v>
      </c>
      <c r="Q130" s="231">
        <v>2322</v>
      </c>
      <c r="R130" s="231">
        <v>2273</v>
      </c>
      <c r="S130" s="228">
        <v>49</v>
      </c>
      <c r="T130" s="229">
        <v>2.1600000000000001E-2</v>
      </c>
      <c r="U130" s="231">
        <v>2337</v>
      </c>
      <c r="V130" s="231">
        <v>2288</v>
      </c>
      <c r="W130" s="228">
        <v>49</v>
      </c>
      <c r="X130" s="229">
        <v>2.1399999999999999E-2</v>
      </c>
      <c r="Y130" s="228">
        <v>5</v>
      </c>
      <c r="Z130" s="228">
        <v>14</v>
      </c>
      <c r="AA130" s="228">
        <v>-9</v>
      </c>
      <c r="AB130" s="229">
        <v>2.2000000000000001E-3</v>
      </c>
      <c r="AC130" s="228">
        <v>5</v>
      </c>
      <c r="AD130" s="228">
        <v>14</v>
      </c>
      <c r="AE130" s="228">
        <v>-9</v>
      </c>
      <c r="AF130" s="229">
        <v>2.2000000000000001E-3</v>
      </c>
      <c r="AG130" s="228">
        <v>17</v>
      </c>
      <c r="AH130" s="228">
        <v>27</v>
      </c>
      <c r="AI130" s="228">
        <v>-10</v>
      </c>
      <c r="AJ130" s="229">
        <v>7.4000000000000003E-3</v>
      </c>
      <c r="AK130" s="228">
        <v>32</v>
      </c>
      <c r="AL130" s="228">
        <v>42</v>
      </c>
      <c r="AM130" s="228">
        <v>-10</v>
      </c>
      <c r="AN130" s="229">
        <v>1.3899999999999999E-2</v>
      </c>
      <c r="AO130" s="231">
        <v>2300.44</v>
      </c>
      <c r="AP130" s="231">
        <v>2314.4299999999998</v>
      </c>
      <c r="AQ130" s="228">
        <v>0</v>
      </c>
      <c r="AR130" s="230">
        <v>5001250</v>
      </c>
      <c r="AS130" s="230">
        <v>4561875</v>
      </c>
      <c r="AT130" s="230">
        <v>439375</v>
      </c>
      <c r="AU130" s="229">
        <v>9.6299999999999997E-2</v>
      </c>
      <c r="AV130" s="230">
        <v>4630000</v>
      </c>
      <c r="AW130" s="230">
        <v>4173750</v>
      </c>
      <c r="AX130" s="230">
        <v>456250</v>
      </c>
      <c r="AY130" s="229">
        <v>0.10929999999999999</v>
      </c>
      <c r="AZ130" s="230">
        <v>291250</v>
      </c>
      <c r="BA130" s="230">
        <v>276250</v>
      </c>
      <c r="BB130" s="230">
        <v>15000</v>
      </c>
      <c r="BC130" s="229">
        <v>5.4300000000000001E-2</v>
      </c>
      <c r="BD130" s="230">
        <v>80000</v>
      </c>
      <c r="BE130" s="230">
        <v>111875</v>
      </c>
      <c r="BF130" s="230">
        <v>-31875</v>
      </c>
      <c r="BG130" s="229">
        <v>-0.28489999999999999</v>
      </c>
      <c r="BH130" s="230">
        <v>28492500</v>
      </c>
      <c r="BI130" s="230">
        <v>20423125</v>
      </c>
      <c r="BJ130" s="230">
        <v>8069375</v>
      </c>
      <c r="BK130" s="229">
        <v>0.39510000000000001</v>
      </c>
      <c r="BL130" s="230">
        <v>13084375</v>
      </c>
      <c r="BM130" s="230">
        <v>8363750</v>
      </c>
      <c r="BN130" s="230">
        <v>4720625</v>
      </c>
      <c r="BO130" s="229">
        <v>0.56440000000000001</v>
      </c>
      <c r="BP130" s="230">
        <v>46578125</v>
      </c>
      <c r="BQ130" s="230">
        <v>33348750</v>
      </c>
      <c r="BR130" s="230">
        <v>13229375</v>
      </c>
      <c r="BS130" s="229">
        <v>0.3967</v>
      </c>
      <c r="BT130" s="230">
        <v>2703253</v>
      </c>
      <c r="BU130" s="230">
        <v>2545981</v>
      </c>
      <c r="BV130" s="230">
        <v>157272</v>
      </c>
      <c r="BW130" s="229">
        <v>6.1800000000000001E-2</v>
      </c>
      <c r="BX130" s="230">
        <v>13975000</v>
      </c>
      <c r="BY130" s="230">
        <v>14290000</v>
      </c>
      <c r="BZ130" s="230">
        <v>-315000</v>
      </c>
      <c r="CA130" s="229">
        <v>-2.1999999999999999E-2</v>
      </c>
      <c r="CB130" s="230">
        <v>13400000</v>
      </c>
      <c r="CC130" s="230">
        <v>13711250</v>
      </c>
      <c r="CD130" s="230">
        <v>-311250</v>
      </c>
      <c r="CE130" s="229">
        <v>-2.2700000000000001E-2</v>
      </c>
      <c r="CF130" s="230">
        <v>490000</v>
      </c>
      <c r="CG130" s="230">
        <v>495000</v>
      </c>
      <c r="CH130" s="230">
        <v>-5000</v>
      </c>
      <c r="CI130" s="229">
        <v>-1.01E-2</v>
      </c>
      <c r="CJ130" s="230">
        <v>85000</v>
      </c>
      <c r="CK130" s="230">
        <v>83750</v>
      </c>
      <c r="CL130" s="230">
        <v>1250</v>
      </c>
      <c r="CM130" s="229">
        <v>1.49E-2</v>
      </c>
      <c r="CN130" s="230">
        <v>9473125</v>
      </c>
      <c r="CO130" s="230">
        <v>9221250</v>
      </c>
      <c r="CP130" s="230">
        <v>251875</v>
      </c>
      <c r="CQ130" s="229">
        <v>2.7300000000000001E-2</v>
      </c>
      <c r="CR130" s="230">
        <v>7148750</v>
      </c>
      <c r="CS130" s="230">
        <v>6143125</v>
      </c>
      <c r="CT130" s="230">
        <v>1005625</v>
      </c>
      <c r="CU130" s="229">
        <v>0.16370000000000001</v>
      </c>
      <c r="CV130" s="230">
        <v>30596875</v>
      </c>
      <c r="CW130" s="230">
        <v>29654375</v>
      </c>
      <c r="CX130" s="230">
        <v>942500</v>
      </c>
      <c r="CY130" s="229">
        <v>3.1800000000000002E-2</v>
      </c>
      <c r="CZ130" s="228">
        <v>31.98</v>
      </c>
      <c r="DA130" s="228">
        <v>32.340000000000003</v>
      </c>
      <c r="DB130" s="228">
        <v>-0.36</v>
      </c>
      <c r="DC130" s="228">
        <v>-0.36</v>
      </c>
      <c r="DD130" s="228">
        <v>44.71</v>
      </c>
      <c r="DE130" s="228">
        <v>44.68</v>
      </c>
      <c r="DF130" s="228">
        <v>-12.73</v>
      </c>
      <c r="DG130" s="228">
        <v>0.03</v>
      </c>
      <c r="DH130" s="228">
        <v>31.54</v>
      </c>
      <c r="DI130" s="228">
        <v>32.049999999999997</v>
      </c>
      <c r="DJ130" s="228">
        <v>-0.51</v>
      </c>
      <c r="DK130" s="228">
        <v>-0.51</v>
      </c>
      <c r="DL130" s="228">
        <v>32.950000000000003</v>
      </c>
      <c r="DM130" s="228">
        <v>33.020000000000003</v>
      </c>
      <c r="DN130" s="228">
        <v>-7.0000000000000007E-2</v>
      </c>
      <c r="DO130" s="228">
        <v>-7.0000000000000007E-2</v>
      </c>
      <c r="DP130" s="228">
        <v>0.75</v>
      </c>
      <c r="DQ130" s="228">
        <v>0.67</v>
      </c>
      <c r="DR130" s="228">
        <v>0.08</v>
      </c>
      <c r="DS130" s="229">
        <v>0.11940000000000001</v>
      </c>
      <c r="DT130" s="231">
        <v>2400</v>
      </c>
      <c r="DU130" s="231">
        <v>2100</v>
      </c>
      <c r="DV130" s="228">
        <v>0.46</v>
      </c>
      <c r="DW130" s="228">
        <v>0.41</v>
      </c>
      <c r="DX130" s="228">
        <v>0.05</v>
      </c>
      <c r="DY130" s="229">
        <v>0.122</v>
      </c>
      <c r="DZ130" s="229">
        <v>4.1099999999999998E-2</v>
      </c>
      <c r="EA130" s="230">
        <v>578750</v>
      </c>
      <c r="EB130" s="229">
        <v>5.1999999999999998E-3</v>
      </c>
      <c r="EC130" s="229">
        <v>4.1099999999999998E-2</v>
      </c>
      <c r="ED130" s="228">
        <v>13.99</v>
      </c>
      <c r="EE130" s="229">
        <v>6.1000000000000004E-3</v>
      </c>
      <c r="EF130" s="230">
        <v>980578</v>
      </c>
      <c r="EG130" s="230">
        <v>1031086</v>
      </c>
      <c r="EH130" s="229">
        <v>-4.9000000000000002E-2</v>
      </c>
      <c r="EI130" s="229">
        <v>0.36270000000000002</v>
      </c>
      <c r="EJ130" s="231">
        <v>685126.83</v>
      </c>
      <c r="EK130" s="231">
        <v>289020.78999999998</v>
      </c>
      <c r="EL130" s="231">
        <v>115113.59</v>
      </c>
      <c r="EM130" s="231">
        <v>15509</v>
      </c>
      <c r="EN130" s="231">
        <v>1089261.21</v>
      </c>
      <c r="EO130" s="231">
        <v>768477.25</v>
      </c>
      <c r="EP130" s="231">
        <v>320783.96000000002</v>
      </c>
      <c r="EQ130" s="229">
        <v>0.41739999999999999</v>
      </c>
      <c r="ER130" s="231">
        <v>220574</v>
      </c>
      <c r="ES130" s="231">
        <v>151373</v>
      </c>
      <c r="ET130" s="231">
        <v>322904</v>
      </c>
      <c r="EU130" s="231">
        <v>38177110</v>
      </c>
      <c r="EV130" s="231">
        <v>694852</v>
      </c>
      <c r="EW130" s="231">
        <v>663496</v>
      </c>
      <c r="EX130" s="231">
        <v>31356</v>
      </c>
      <c r="EY130" s="229">
        <v>4.7300000000000002E-2</v>
      </c>
      <c r="EZ130" s="229">
        <v>0.8014</v>
      </c>
      <c r="FA130" s="227" t="s">
        <v>556</v>
      </c>
      <c r="FB130" s="161">
        <f t="shared" si="1"/>
        <v>575000</v>
      </c>
    </row>
    <row r="131" spans="1:158" ht="17.25" hidden="1" thickBot="1" x14ac:dyDescent="0.3">
      <c r="A131" s="226">
        <v>46029</v>
      </c>
      <c r="B131" s="227" t="s">
        <v>175</v>
      </c>
      <c r="C131" s="227" t="s">
        <v>257</v>
      </c>
      <c r="D131" s="228">
        <v>400</v>
      </c>
      <c r="E131" s="231">
        <v>1735.2</v>
      </c>
      <c r="F131" s="231">
        <v>1740.6</v>
      </c>
      <c r="G131" s="228">
        <v>-5.4</v>
      </c>
      <c r="H131" s="229">
        <v>-3.0999999999999999E-3</v>
      </c>
      <c r="I131" s="231">
        <v>1727.1</v>
      </c>
      <c r="J131" s="231">
        <v>1731.3</v>
      </c>
      <c r="K131" s="228">
        <v>-4.2</v>
      </c>
      <c r="L131" s="229">
        <v>-2.3999999999999998E-3</v>
      </c>
      <c r="M131" s="231">
        <v>1735.2</v>
      </c>
      <c r="N131" s="231">
        <v>1740.6</v>
      </c>
      <c r="O131" s="228">
        <v>-5.4</v>
      </c>
      <c r="P131" s="229">
        <v>-3.0999999999999999E-3</v>
      </c>
      <c r="Q131" s="231">
        <v>1743.1</v>
      </c>
      <c r="R131" s="231">
        <v>1751.4</v>
      </c>
      <c r="S131" s="228">
        <v>-8.3000000000000007</v>
      </c>
      <c r="T131" s="229">
        <v>-4.7000000000000002E-3</v>
      </c>
      <c r="U131" s="231">
        <v>1762.7</v>
      </c>
      <c r="V131" s="231">
        <v>1762</v>
      </c>
      <c r="W131" s="228">
        <v>0.7</v>
      </c>
      <c r="X131" s="229">
        <v>4.0000000000000002E-4</v>
      </c>
      <c r="Y131" s="228">
        <v>8.1</v>
      </c>
      <c r="Z131" s="228">
        <v>9.3000000000000007</v>
      </c>
      <c r="AA131" s="228">
        <v>-1.2</v>
      </c>
      <c r="AB131" s="229">
        <v>4.7000000000000002E-3</v>
      </c>
      <c r="AC131" s="228">
        <v>8.1</v>
      </c>
      <c r="AD131" s="228">
        <v>9.3000000000000007</v>
      </c>
      <c r="AE131" s="228">
        <v>-1.2</v>
      </c>
      <c r="AF131" s="229">
        <v>4.7000000000000002E-3</v>
      </c>
      <c r="AG131" s="228">
        <v>16</v>
      </c>
      <c r="AH131" s="228">
        <v>20.100000000000001</v>
      </c>
      <c r="AI131" s="228">
        <v>-4.0999999999999996</v>
      </c>
      <c r="AJ131" s="229">
        <v>9.2999999999999992E-3</v>
      </c>
      <c r="AK131" s="228">
        <v>35.6</v>
      </c>
      <c r="AL131" s="228">
        <v>30.7</v>
      </c>
      <c r="AM131" s="228">
        <v>4.9000000000000004</v>
      </c>
      <c r="AN131" s="229">
        <v>2.06E-2</v>
      </c>
      <c r="AO131" s="231">
        <v>1743.17</v>
      </c>
      <c r="AP131" s="231">
        <v>1754.29</v>
      </c>
      <c r="AQ131" s="228">
        <v>0</v>
      </c>
      <c r="AR131" s="230">
        <v>1096800</v>
      </c>
      <c r="AS131" s="230">
        <v>1948000</v>
      </c>
      <c r="AT131" s="230">
        <v>-851200</v>
      </c>
      <c r="AU131" s="229">
        <v>-0.437</v>
      </c>
      <c r="AV131" s="230">
        <v>1079600</v>
      </c>
      <c r="AW131" s="230">
        <v>1902000</v>
      </c>
      <c r="AX131" s="230">
        <v>-822400</v>
      </c>
      <c r="AY131" s="229">
        <v>-0.43240000000000001</v>
      </c>
      <c r="AZ131" s="230">
        <v>15600</v>
      </c>
      <c r="BA131" s="230">
        <v>41200</v>
      </c>
      <c r="BB131" s="230">
        <v>-25600</v>
      </c>
      <c r="BC131" s="229">
        <v>-0.62139999999999995</v>
      </c>
      <c r="BD131" s="230">
        <v>1600</v>
      </c>
      <c r="BE131" s="230">
        <v>4800</v>
      </c>
      <c r="BF131" s="230">
        <v>-3200</v>
      </c>
      <c r="BG131" s="229">
        <v>-0.66669999999999996</v>
      </c>
      <c r="BH131" s="230">
        <v>2842800</v>
      </c>
      <c r="BI131" s="230">
        <v>5591600</v>
      </c>
      <c r="BJ131" s="230">
        <v>-2748800</v>
      </c>
      <c r="BK131" s="229">
        <v>-0.49159999999999998</v>
      </c>
      <c r="BL131" s="230">
        <v>671600</v>
      </c>
      <c r="BM131" s="230">
        <v>1281600</v>
      </c>
      <c r="BN131" s="230">
        <v>-610000</v>
      </c>
      <c r="BO131" s="229">
        <v>-0.47599999999999998</v>
      </c>
      <c r="BP131" s="230">
        <v>4611200</v>
      </c>
      <c r="BQ131" s="230">
        <v>8821200</v>
      </c>
      <c r="BR131" s="230">
        <v>-4210000</v>
      </c>
      <c r="BS131" s="229">
        <v>-0.4773</v>
      </c>
      <c r="BT131" s="230">
        <v>907412</v>
      </c>
      <c r="BU131" s="230">
        <v>1374903</v>
      </c>
      <c r="BV131" s="230">
        <v>-467491</v>
      </c>
      <c r="BW131" s="229">
        <v>-0.34</v>
      </c>
      <c r="BX131" s="230">
        <v>8988400</v>
      </c>
      <c r="BY131" s="230">
        <v>8802000</v>
      </c>
      <c r="BZ131" s="230">
        <v>186400</v>
      </c>
      <c r="CA131" s="229">
        <v>2.12E-2</v>
      </c>
      <c r="CB131" s="230">
        <v>8951600</v>
      </c>
      <c r="CC131" s="230">
        <v>8769600</v>
      </c>
      <c r="CD131" s="230">
        <v>182000</v>
      </c>
      <c r="CE131" s="229">
        <v>2.0799999999999999E-2</v>
      </c>
      <c r="CF131" s="230">
        <v>32800</v>
      </c>
      <c r="CG131" s="230">
        <v>29200</v>
      </c>
      <c r="CH131" s="230">
        <v>3600</v>
      </c>
      <c r="CI131" s="229">
        <v>0.12330000000000001</v>
      </c>
      <c r="CJ131" s="230">
        <v>4000</v>
      </c>
      <c r="CK131" s="230">
        <v>3200</v>
      </c>
      <c r="CL131" s="228">
        <v>800</v>
      </c>
      <c r="CM131" s="229">
        <v>0.25</v>
      </c>
      <c r="CN131" s="230">
        <v>1454800</v>
      </c>
      <c r="CO131" s="230">
        <v>1181200</v>
      </c>
      <c r="CP131" s="230">
        <v>273600</v>
      </c>
      <c r="CQ131" s="229">
        <v>0.2316</v>
      </c>
      <c r="CR131" s="230">
        <v>993200</v>
      </c>
      <c r="CS131" s="230">
        <v>888000</v>
      </c>
      <c r="CT131" s="230">
        <v>105200</v>
      </c>
      <c r="CU131" s="229">
        <v>0.11849999999999999</v>
      </c>
      <c r="CV131" s="230">
        <v>11436400</v>
      </c>
      <c r="CW131" s="230">
        <v>10871200</v>
      </c>
      <c r="CX131" s="230">
        <v>565200</v>
      </c>
      <c r="CY131" s="229">
        <v>5.1999999999999998E-2</v>
      </c>
      <c r="CZ131" s="228">
        <v>25.11</v>
      </c>
      <c r="DA131" s="228">
        <v>24.96</v>
      </c>
      <c r="DB131" s="228">
        <v>0.15</v>
      </c>
      <c r="DC131" s="228">
        <v>0.15</v>
      </c>
      <c r="DD131" s="228">
        <v>29.42</v>
      </c>
      <c r="DE131" s="228">
        <v>29.49</v>
      </c>
      <c r="DF131" s="228">
        <v>-4.3099999999999996</v>
      </c>
      <c r="DG131" s="228">
        <v>-7.0000000000000007E-2</v>
      </c>
      <c r="DH131" s="228">
        <v>25.16</v>
      </c>
      <c r="DI131" s="228">
        <v>24.99</v>
      </c>
      <c r="DJ131" s="228">
        <v>0.17</v>
      </c>
      <c r="DK131" s="228">
        <v>0.17</v>
      </c>
      <c r="DL131" s="228">
        <v>24.87</v>
      </c>
      <c r="DM131" s="228">
        <v>24.82</v>
      </c>
      <c r="DN131" s="228">
        <v>0.05</v>
      </c>
      <c r="DO131" s="228">
        <v>0.05</v>
      </c>
      <c r="DP131" s="228">
        <v>0.68</v>
      </c>
      <c r="DQ131" s="228">
        <v>0.75</v>
      </c>
      <c r="DR131" s="228">
        <v>-7.0000000000000007E-2</v>
      </c>
      <c r="DS131" s="229">
        <v>-9.3299999999999994E-2</v>
      </c>
      <c r="DT131" s="231">
        <v>1840</v>
      </c>
      <c r="DU131" s="231">
        <v>1620</v>
      </c>
      <c r="DV131" s="228">
        <v>0.24</v>
      </c>
      <c r="DW131" s="228">
        <v>0.23</v>
      </c>
      <c r="DX131" s="228">
        <v>0.01</v>
      </c>
      <c r="DY131" s="229">
        <v>4.3499999999999997E-2</v>
      </c>
      <c r="DZ131" s="229">
        <v>4.1000000000000003E-3</v>
      </c>
      <c r="EA131" s="230">
        <v>32400</v>
      </c>
      <c r="EB131" s="229">
        <v>4.5999999999999999E-3</v>
      </c>
      <c r="EC131" s="229">
        <v>4.1000000000000003E-3</v>
      </c>
      <c r="ED131" s="228">
        <v>11.12</v>
      </c>
      <c r="EE131" s="229">
        <v>6.4000000000000003E-3</v>
      </c>
      <c r="EF131" s="230">
        <v>543741</v>
      </c>
      <c r="EG131" s="230">
        <v>799669</v>
      </c>
      <c r="EH131" s="229">
        <v>-0.32</v>
      </c>
      <c r="EI131" s="229">
        <v>0.59919999999999995</v>
      </c>
      <c r="EJ131" s="231">
        <v>51660.39</v>
      </c>
      <c r="EK131" s="231">
        <v>11377.49</v>
      </c>
      <c r="EL131" s="231">
        <v>19121.25</v>
      </c>
      <c r="EM131" s="231">
        <v>2738</v>
      </c>
      <c r="EN131" s="231">
        <v>82159.13</v>
      </c>
      <c r="EO131" s="231">
        <v>156203.44</v>
      </c>
      <c r="EP131" s="231">
        <v>-74044.31</v>
      </c>
      <c r="EQ131" s="229">
        <v>-0.47399999999999998</v>
      </c>
      <c r="ER131" s="231">
        <v>25984</v>
      </c>
      <c r="ES131" s="231">
        <v>16295</v>
      </c>
      <c r="ET131" s="231">
        <v>155970</v>
      </c>
      <c r="EU131" s="231">
        <v>33919851</v>
      </c>
      <c r="EV131" s="231">
        <v>198249</v>
      </c>
      <c r="EW131" s="231">
        <v>188670</v>
      </c>
      <c r="EX131" s="231">
        <v>9579</v>
      </c>
      <c r="EY131" s="229">
        <v>5.0799999999999998E-2</v>
      </c>
      <c r="EZ131" s="229">
        <v>0.3372</v>
      </c>
      <c r="FA131" s="227" t="s">
        <v>567</v>
      </c>
      <c r="FB131" s="161">
        <f t="shared" ref="FB131:FB138" si="2">BX131-CB131</f>
        <v>36800</v>
      </c>
    </row>
    <row r="132" spans="1:158" ht="17.25" hidden="1" thickBot="1" x14ac:dyDescent="0.3">
      <c r="A132" s="226">
        <v>46029</v>
      </c>
      <c r="B132" s="227" t="s">
        <v>181</v>
      </c>
      <c r="C132" s="227" t="s">
        <v>563</v>
      </c>
      <c r="D132" s="228">
        <v>120</v>
      </c>
      <c r="E132" s="231">
        <v>14113.4</v>
      </c>
      <c r="F132" s="231">
        <v>14007.65</v>
      </c>
      <c r="G132" s="228">
        <v>105.75</v>
      </c>
      <c r="H132" s="229">
        <v>7.4999999999999997E-3</v>
      </c>
      <c r="I132" s="231">
        <v>14053.4</v>
      </c>
      <c r="J132" s="231">
        <v>13957.1</v>
      </c>
      <c r="K132" s="228">
        <v>96.3</v>
      </c>
      <c r="L132" s="229">
        <v>6.8999999999999999E-3</v>
      </c>
      <c r="M132" s="231">
        <v>14113.4</v>
      </c>
      <c r="N132" s="231">
        <v>14007.65</v>
      </c>
      <c r="O132" s="228">
        <v>105.75</v>
      </c>
      <c r="P132" s="229">
        <v>7.4999999999999997E-3</v>
      </c>
      <c r="Q132" s="231">
        <v>14174.4</v>
      </c>
      <c r="R132" s="231">
        <v>14068.2</v>
      </c>
      <c r="S132" s="228">
        <v>106.2</v>
      </c>
      <c r="T132" s="229">
        <v>7.4999999999999997E-3</v>
      </c>
      <c r="U132" s="231">
        <v>14225.65</v>
      </c>
      <c r="V132" s="231">
        <v>14125.3</v>
      </c>
      <c r="W132" s="228">
        <v>100.35</v>
      </c>
      <c r="X132" s="229">
        <v>7.1000000000000004E-3</v>
      </c>
      <c r="Y132" s="228">
        <v>60</v>
      </c>
      <c r="Z132" s="228">
        <v>50.55</v>
      </c>
      <c r="AA132" s="228">
        <v>9.4499999999999993</v>
      </c>
      <c r="AB132" s="229">
        <v>4.3E-3</v>
      </c>
      <c r="AC132" s="228">
        <v>60</v>
      </c>
      <c r="AD132" s="228">
        <v>50.55</v>
      </c>
      <c r="AE132" s="228">
        <v>9.4499999999999993</v>
      </c>
      <c r="AF132" s="229">
        <v>4.3E-3</v>
      </c>
      <c r="AG132" s="228">
        <v>121</v>
      </c>
      <c r="AH132" s="228">
        <v>111.1</v>
      </c>
      <c r="AI132" s="228">
        <v>9.9</v>
      </c>
      <c r="AJ132" s="229">
        <v>8.6E-3</v>
      </c>
      <c r="AK132" s="228">
        <v>172.25</v>
      </c>
      <c r="AL132" s="228">
        <v>168.2</v>
      </c>
      <c r="AM132" s="228">
        <v>4.05</v>
      </c>
      <c r="AN132" s="229">
        <v>1.23E-2</v>
      </c>
      <c r="AO132" s="231">
        <v>14077.37</v>
      </c>
      <c r="AP132" s="231">
        <v>14141.56</v>
      </c>
      <c r="AQ132" s="228">
        <v>0</v>
      </c>
      <c r="AR132" s="230">
        <v>686160</v>
      </c>
      <c r="AS132" s="230">
        <v>630360</v>
      </c>
      <c r="AT132" s="230">
        <v>55800</v>
      </c>
      <c r="AU132" s="229">
        <v>8.8499999999999995E-2</v>
      </c>
      <c r="AV132" s="230">
        <v>654240</v>
      </c>
      <c r="AW132" s="230">
        <v>604080</v>
      </c>
      <c r="AX132" s="230">
        <v>50160</v>
      </c>
      <c r="AY132" s="229">
        <v>8.3000000000000004E-2</v>
      </c>
      <c r="AZ132" s="230">
        <v>27000</v>
      </c>
      <c r="BA132" s="230">
        <v>23880</v>
      </c>
      <c r="BB132" s="230">
        <v>3120</v>
      </c>
      <c r="BC132" s="229">
        <v>0.13070000000000001</v>
      </c>
      <c r="BD132" s="230">
        <v>4920</v>
      </c>
      <c r="BE132" s="230">
        <v>2400</v>
      </c>
      <c r="BF132" s="230">
        <v>2520</v>
      </c>
      <c r="BG132" s="229">
        <v>1.05</v>
      </c>
      <c r="BH132" s="230">
        <v>17967120</v>
      </c>
      <c r="BI132" s="230">
        <v>10923840</v>
      </c>
      <c r="BJ132" s="230">
        <v>7043280</v>
      </c>
      <c r="BK132" s="229">
        <v>0.64480000000000004</v>
      </c>
      <c r="BL132" s="230">
        <v>19435320</v>
      </c>
      <c r="BM132" s="230">
        <v>12003000</v>
      </c>
      <c r="BN132" s="230">
        <v>7432320</v>
      </c>
      <c r="BO132" s="229">
        <v>0.61919999999999997</v>
      </c>
      <c r="BP132" s="230">
        <v>38088600</v>
      </c>
      <c r="BQ132" s="230">
        <v>23557200</v>
      </c>
      <c r="BR132" s="230">
        <v>14531400</v>
      </c>
      <c r="BS132" s="229">
        <v>0.6169</v>
      </c>
      <c r="BT132" s="228">
        <v>0</v>
      </c>
      <c r="BU132" s="228">
        <v>0</v>
      </c>
      <c r="BV132" s="228">
        <v>0</v>
      </c>
      <c r="BW132" s="229">
        <v>0</v>
      </c>
      <c r="BX132" s="230">
        <v>2348520</v>
      </c>
      <c r="BY132" s="230">
        <v>2345040</v>
      </c>
      <c r="BZ132" s="230">
        <v>3480</v>
      </c>
      <c r="CA132" s="229">
        <v>1.5E-3</v>
      </c>
      <c r="CB132" s="230">
        <v>2275320</v>
      </c>
      <c r="CC132" s="230">
        <v>2273640</v>
      </c>
      <c r="CD132" s="230">
        <v>1680</v>
      </c>
      <c r="CE132" s="229">
        <v>6.9999999999999999E-4</v>
      </c>
      <c r="CF132" s="230">
        <v>65160</v>
      </c>
      <c r="CG132" s="230">
        <v>63240</v>
      </c>
      <c r="CH132" s="230">
        <v>1920</v>
      </c>
      <c r="CI132" s="229">
        <v>3.04E-2</v>
      </c>
      <c r="CJ132" s="230">
        <v>8040</v>
      </c>
      <c r="CK132" s="230">
        <v>8160</v>
      </c>
      <c r="CL132" s="228">
        <v>-120</v>
      </c>
      <c r="CM132" s="229">
        <v>-1.47E-2</v>
      </c>
      <c r="CN132" s="230">
        <v>6744240</v>
      </c>
      <c r="CO132" s="230">
        <v>5897160</v>
      </c>
      <c r="CP132" s="230">
        <v>847080</v>
      </c>
      <c r="CQ132" s="229">
        <v>0.14360000000000001</v>
      </c>
      <c r="CR132" s="230">
        <v>8002320</v>
      </c>
      <c r="CS132" s="230">
        <v>6617640</v>
      </c>
      <c r="CT132" s="230">
        <v>1384680</v>
      </c>
      <c r="CU132" s="229">
        <v>0.2092</v>
      </c>
      <c r="CV132" s="230">
        <v>17095080</v>
      </c>
      <c r="CW132" s="230">
        <v>14859840</v>
      </c>
      <c r="CX132" s="230">
        <v>2235240</v>
      </c>
      <c r="CY132" s="229">
        <v>0.15040000000000001</v>
      </c>
      <c r="CZ132" s="228">
        <v>14.89</v>
      </c>
      <c r="DA132" s="228">
        <v>14.64</v>
      </c>
      <c r="DB132" s="228">
        <v>0.25</v>
      </c>
      <c r="DC132" s="228">
        <v>0.25</v>
      </c>
      <c r="DD132" s="228">
        <v>21.39</v>
      </c>
      <c r="DE132" s="228">
        <v>21.42</v>
      </c>
      <c r="DF132" s="228">
        <v>-6.5</v>
      </c>
      <c r="DG132" s="228">
        <v>-0.03</v>
      </c>
      <c r="DH132" s="228">
        <v>13.97</v>
      </c>
      <c r="DI132" s="228">
        <v>13.95</v>
      </c>
      <c r="DJ132" s="228">
        <v>0.02</v>
      </c>
      <c r="DK132" s="228">
        <v>0.02</v>
      </c>
      <c r="DL132" s="228">
        <v>15.74</v>
      </c>
      <c r="DM132" s="228">
        <v>15.26</v>
      </c>
      <c r="DN132" s="228">
        <v>0.48</v>
      </c>
      <c r="DO132" s="228">
        <v>0.48</v>
      </c>
      <c r="DP132" s="228">
        <v>1.19</v>
      </c>
      <c r="DQ132" s="228">
        <v>1.1200000000000001</v>
      </c>
      <c r="DR132" s="228">
        <v>7.0000000000000007E-2</v>
      </c>
      <c r="DS132" s="229">
        <v>6.25E-2</v>
      </c>
      <c r="DT132" s="231">
        <v>14500</v>
      </c>
      <c r="DU132" s="231">
        <v>13700</v>
      </c>
      <c r="DV132" s="228">
        <v>1.08</v>
      </c>
      <c r="DW132" s="228">
        <v>1.1000000000000001</v>
      </c>
      <c r="DX132" s="228">
        <v>-0.02</v>
      </c>
      <c r="DY132" s="229">
        <v>-1.8200000000000001E-2</v>
      </c>
      <c r="DZ132" s="229">
        <v>3.1199999999999999E-2</v>
      </c>
      <c r="EA132" s="230">
        <v>71400</v>
      </c>
      <c r="EB132" s="229">
        <v>4.3E-3</v>
      </c>
      <c r="EC132" s="229">
        <v>3.1199999999999999E-2</v>
      </c>
      <c r="ED132" s="228">
        <v>64.19</v>
      </c>
      <c r="EE132" s="229">
        <v>4.5999999999999999E-3</v>
      </c>
      <c r="EF132" s="228">
        <v>0</v>
      </c>
      <c r="EG132" s="228">
        <v>0</v>
      </c>
      <c r="EH132" s="229">
        <v>0</v>
      </c>
      <c r="EI132" s="229">
        <v>0</v>
      </c>
      <c r="EJ132" s="231">
        <v>2585466.12</v>
      </c>
      <c r="EK132" s="231">
        <v>2684545.24</v>
      </c>
      <c r="EL132" s="231">
        <v>96616.75</v>
      </c>
      <c r="EM132" s="228">
        <v>0</v>
      </c>
      <c r="EN132" s="231">
        <v>5366628.1100000003</v>
      </c>
      <c r="EO132" s="231">
        <v>3316716.46</v>
      </c>
      <c r="EP132" s="231">
        <v>2049911.65</v>
      </c>
      <c r="EQ132" s="229">
        <v>0.61809999999999998</v>
      </c>
      <c r="ER132" s="231">
        <v>964706</v>
      </c>
      <c r="ES132" s="231">
        <v>1082306</v>
      </c>
      <c r="ET132" s="231">
        <v>331505</v>
      </c>
      <c r="EU132" s="228">
        <v>0</v>
      </c>
      <c r="EV132" s="231">
        <v>2378516</v>
      </c>
      <c r="EW132" s="231">
        <v>2063055</v>
      </c>
      <c r="EX132" s="231">
        <v>315461</v>
      </c>
      <c r="EY132" s="229">
        <v>0.15290000000000001</v>
      </c>
      <c r="EZ132" s="229">
        <v>0</v>
      </c>
      <c r="FA132" s="227" t="s">
        <v>555</v>
      </c>
      <c r="FB132" s="161">
        <f t="shared" si="2"/>
        <v>73200</v>
      </c>
    </row>
    <row r="133" spans="1:158" ht="17.25" hidden="1" thickBot="1" x14ac:dyDescent="0.3">
      <c r="A133" s="226">
        <v>46029</v>
      </c>
      <c r="B133" s="227" t="s">
        <v>162</v>
      </c>
      <c r="C133" s="227" t="s">
        <v>559</v>
      </c>
      <c r="D133" s="228">
        <v>6150</v>
      </c>
      <c r="E133" s="228">
        <v>119.82</v>
      </c>
      <c r="F133" s="228">
        <v>121.41</v>
      </c>
      <c r="G133" s="228">
        <v>-1.59</v>
      </c>
      <c r="H133" s="229">
        <v>-1.3100000000000001E-2</v>
      </c>
      <c r="I133" s="228">
        <v>119.35</v>
      </c>
      <c r="J133" s="228">
        <v>120.83</v>
      </c>
      <c r="K133" s="228">
        <v>-1.48</v>
      </c>
      <c r="L133" s="229">
        <v>-1.2200000000000001E-2</v>
      </c>
      <c r="M133" s="228">
        <v>119.82</v>
      </c>
      <c r="N133" s="228">
        <v>121.41</v>
      </c>
      <c r="O133" s="228">
        <v>-1.59</v>
      </c>
      <c r="P133" s="229">
        <v>-1.3100000000000001E-2</v>
      </c>
      <c r="Q133" s="228">
        <v>120.47</v>
      </c>
      <c r="R133" s="228">
        <v>122.03</v>
      </c>
      <c r="S133" s="228">
        <v>-1.56</v>
      </c>
      <c r="T133" s="229">
        <v>-1.2800000000000001E-2</v>
      </c>
      <c r="U133" s="228">
        <v>121.3</v>
      </c>
      <c r="V133" s="228">
        <v>122.54</v>
      </c>
      <c r="W133" s="228">
        <v>-1.24</v>
      </c>
      <c r="X133" s="229">
        <v>-1.01E-2</v>
      </c>
      <c r="Y133" s="228">
        <v>0.47</v>
      </c>
      <c r="Z133" s="228">
        <v>0.57999999999999996</v>
      </c>
      <c r="AA133" s="228">
        <v>-0.11</v>
      </c>
      <c r="AB133" s="229">
        <v>3.8999999999999998E-3</v>
      </c>
      <c r="AC133" s="228">
        <v>0.47</v>
      </c>
      <c r="AD133" s="228">
        <v>0.57999999999999996</v>
      </c>
      <c r="AE133" s="228">
        <v>-0.11</v>
      </c>
      <c r="AF133" s="229">
        <v>3.8999999999999998E-3</v>
      </c>
      <c r="AG133" s="228">
        <v>1.1200000000000001</v>
      </c>
      <c r="AH133" s="228">
        <v>1.2</v>
      </c>
      <c r="AI133" s="228">
        <v>-0.08</v>
      </c>
      <c r="AJ133" s="229">
        <v>9.4000000000000004E-3</v>
      </c>
      <c r="AK133" s="228">
        <v>1.95</v>
      </c>
      <c r="AL133" s="228">
        <v>1.71</v>
      </c>
      <c r="AM133" s="228">
        <v>0.24</v>
      </c>
      <c r="AN133" s="229">
        <v>1.6299999999999999E-2</v>
      </c>
      <c r="AO133" s="228">
        <v>120.51</v>
      </c>
      <c r="AP133" s="228">
        <v>120.96</v>
      </c>
      <c r="AQ133" s="228">
        <v>0</v>
      </c>
      <c r="AR133" s="230">
        <v>16420500</v>
      </c>
      <c r="AS133" s="230">
        <v>20036700</v>
      </c>
      <c r="AT133" s="230">
        <v>-3616200</v>
      </c>
      <c r="AU133" s="229">
        <v>-0.18049999999999999</v>
      </c>
      <c r="AV133" s="230">
        <v>14932200</v>
      </c>
      <c r="AW133" s="230">
        <v>18862050</v>
      </c>
      <c r="AX133" s="230">
        <v>-3929850</v>
      </c>
      <c r="AY133" s="229">
        <v>-0.20830000000000001</v>
      </c>
      <c r="AZ133" s="230">
        <v>1236150</v>
      </c>
      <c r="BA133" s="230">
        <v>1070100</v>
      </c>
      <c r="BB133" s="230">
        <v>166050</v>
      </c>
      <c r="BC133" s="229">
        <v>0.1552</v>
      </c>
      <c r="BD133" s="230">
        <v>252150</v>
      </c>
      <c r="BE133" s="230">
        <v>104550</v>
      </c>
      <c r="BF133" s="230">
        <v>147600</v>
      </c>
      <c r="BG133" s="229">
        <v>1.4117999999999999</v>
      </c>
      <c r="BH133" s="230">
        <v>30159600</v>
      </c>
      <c r="BI133" s="230">
        <v>30848400</v>
      </c>
      <c r="BJ133" s="230">
        <v>-688800</v>
      </c>
      <c r="BK133" s="229">
        <v>-2.23E-2</v>
      </c>
      <c r="BL133" s="230">
        <v>10916250</v>
      </c>
      <c r="BM133" s="230">
        <v>14993700</v>
      </c>
      <c r="BN133" s="230">
        <v>-4077450</v>
      </c>
      <c r="BO133" s="229">
        <v>-0.27189999999999998</v>
      </c>
      <c r="BP133" s="230">
        <v>57496350</v>
      </c>
      <c r="BQ133" s="230">
        <v>65878800</v>
      </c>
      <c r="BR133" s="230">
        <v>-8382450</v>
      </c>
      <c r="BS133" s="229">
        <v>-0.12720000000000001</v>
      </c>
      <c r="BT133" s="230">
        <v>9456716</v>
      </c>
      <c r="BU133" s="230">
        <v>19750472</v>
      </c>
      <c r="BV133" s="230">
        <v>-10293756</v>
      </c>
      <c r="BW133" s="229">
        <v>-0.5212</v>
      </c>
      <c r="BX133" s="230">
        <v>171904800</v>
      </c>
      <c r="BY133" s="230">
        <v>169081950</v>
      </c>
      <c r="BZ133" s="230">
        <v>2822850</v>
      </c>
      <c r="CA133" s="229">
        <v>1.67E-2</v>
      </c>
      <c r="CB133" s="230">
        <v>167704350</v>
      </c>
      <c r="CC133" s="230">
        <v>165232050</v>
      </c>
      <c r="CD133" s="230">
        <v>2472300</v>
      </c>
      <c r="CE133" s="229">
        <v>1.4999999999999999E-2</v>
      </c>
      <c r="CF133" s="230">
        <v>3388650</v>
      </c>
      <c r="CG133" s="230">
        <v>3204150</v>
      </c>
      <c r="CH133" s="230">
        <v>184500</v>
      </c>
      <c r="CI133" s="229">
        <v>5.7599999999999998E-2</v>
      </c>
      <c r="CJ133" s="230">
        <v>811800</v>
      </c>
      <c r="CK133" s="230">
        <v>645750</v>
      </c>
      <c r="CL133" s="230">
        <v>166050</v>
      </c>
      <c r="CM133" s="229">
        <v>0.2571</v>
      </c>
      <c r="CN133" s="230">
        <v>55362300</v>
      </c>
      <c r="CO133" s="230">
        <v>48978600</v>
      </c>
      <c r="CP133" s="230">
        <v>6383700</v>
      </c>
      <c r="CQ133" s="229">
        <v>0.1303</v>
      </c>
      <c r="CR133" s="230">
        <v>35257950</v>
      </c>
      <c r="CS133" s="230">
        <v>33991050</v>
      </c>
      <c r="CT133" s="230">
        <v>1266900</v>
      </c>
      <c r="CU133" s="229">
        <v>3.73E-2</v>
      </c>
      <c r="CV133" s="230">
        <v>262525050</v>
      </c>
      <c r="CW133" s="230">
        <v>252051600</v>
      </c>
      <c r="CX133" s="230">
        <v>10473450</v>
      </c>
      <c r="CY133" s="229">
        <v>4.1599999999999998E-2</v>
      </c>
      <c r="CZ133" s="228">
        <v>30.1</v>
      </c>
      <c r="DA133" s="228">
        <v>29.22</v>
      </c>
      <c r="DB133" s="228">
        <v>0.88</v>
      </c>
      <c r="DC133" s="228">
        <v>0.88</v>
      </c>
      <c r="DD133" s="228">
        <v>38.19</v>
      </c>
      <c r="DE133" s="228">
        <v>38.24</v>
      </c>
      <c r="DF133" s="228">
        <v>-8.09</v>
      </c>
      <c r="DG133" s="228">
        <v>-0.05</v>
      </c>
      <c r="DH133" s="228">
        <v>30.37</v>
      </c>
      <c r="DI133" s="228">
        <v>29.46</v>
      </c>
      <c r="DJ133" s="228">
        <v>0.91</v>
      </c>
      <c r="DK133" s="228">
        <v>0.91</v>
      </c>
      <c r="DL133" s="228">
        <v>29.37</v>
      </c>
      <c r="DM133" s="228">
        <v>28.72</v>
      </c>
      <c r="DN133" s="228">
        <v>0.65</v>
      </c>
      <c r="DO133" s="228">
        <v>0.65</v>
      </c>
      <c r="DP133" s="228">
        <v>0.64</v>
      </c>
      <c r="DQ133" s="228">
        <v>0.69</v>
      </c>
      <c r="DR133" s="228">
        <v>-0.05</v>
      </c>
      <c r="DS133" s="229">
        <v>-7.2499999999999995E-2</v>
      </c>
      <c r="DT133" s="228">
        <v>125</v>
      </c>
      <c r="DU133" s="228">
        <v>120</v>
      </c>
      <c r="DV133" s="228">
        <v>0.36</v>
      </c>
      <c r="DW133" s="228">
        <v>0.49</v>
      </c>
      <c r="DX133" s="228">
        <v>-0.13</v>
      </c>
      <c r="DY133" s="229">
        <v>-0.26529999999999998</v>
      </c>
      <c r="DZ133" s="229">
        <v>2.4400000000000002E-2</v>
      </c>
      <c r="EA133" s="230">
        <v>3849900</v>
      </c>
      <c r="EB133" s="229">
        <v>5.4000000000000003E-3</v>
      </c>
      <c r="EC133" s="229">
        <v>2.4400000000000002E-2</v>
      </c>
      <c r="ED133" s="228">
        <v>0.45</v>
      </c>
      <c r="EE133" s="229">
        <v>3.7000000000000002E-3</v>
      </c>
      <c r="EF133" s="230">
        <v>5270006</v>
      </c>
      <c r="EG133" s="230">
        <v>12945334</v>
      </c>
      <c r="EH133" s="229">
        <v>-0.59289999999999998</v>
      </c>
      <c r="EI133" s="229">
        <v>0.55730000000000002</v>
      </c>
      <c r="EJ133" s="231">
        <v>38206.699999999997</v>
      </c>
      <c r="EK133" s="231">
        <v>13067.15</v>
      </c>
      <c r="EL133" s="231">
        <v>19797.38</v>
      </c>
      <c r="EM133" s="231">
        <v>3605</v>
      </c>
      <c r="EN133" s="231">
        <v>71071.23</v>
      </c>
      <c r="EO133" s="231">
        <v>81719.12</v>
      </c>
      <c r="EP133" s="231">
        <v>-10647.89</v>
      </c>
      <c r="EQ133" s="229">
        <v>-0.1303</v>
      </c>
      <c r="ER133" s="231">
        <v>69314</v>
      </c>
      <c r="ES133" s="231">
        <v>41306</v>
      </c>
      <c r="ET133" s="231">
        <v>206010</v>
      </c>
      <c r="EU133" s="231">
        <v>606151620</v>
      </c>
      <c r="EV133" s="231">
        <v>316630</v>
      </c>
      <c r="EW133" s="231">
        <v>306623</v>
      </c>
      <c r="EX133" s="231">
        <v>10007</v>
      </c>
      <c r="EY133" s="229">
        <v>3.2599999999999997E-2</v>
      </c>
      <c r="EZ133" s="229">
        <v>0.43309999999999998</v>
      </c>
      <c r="FA133" s="227" t="s">
        <v>567</v>
      </c>
      <c r="FB133" s="161">
        <f t="shared" si="2"/>
        <v>4200450</v>
      </c>
    </row>
    <row r="134" spans="1:158" ht="17.25" hidden="1" thickBot="1" x14ac:dyDescent="0.3">
      <c r="A134" s="226">
        <v>46029</v>
      </c>
      <c r="B134" s="227" t="s">
        <v>221</v>
      </c>
      <c r="C134" s="227" t="s">
        <v>487</v>
      </c>
      <c r="D134" s="228">
        <v>275</v>
      </c>
      <c r="E134" s="231">
        <v>2886.6</v>
      </c>
      <c r="F134" s="231">
        <v>2828.8</v>
      </c>
      <c r="G134" s="228">
        <v>57.8</v>
      </c>
      <c r="H134" s="229">
        <v>2.0400000000000001E-2</v>
      </c>
      <c r="I134" s="231">
        <v>2874.8</v>
      </c>
      <c r="J134" s="231">
        <v>2816</v>
      </c>
      <c r="K134" s="228">
        <v>58.8</v>
      </c>
      <c r="L134" s="229">
        <v>2.0899999999999998E-2</v>
      </c>
      <c r="M134" s="231">
        <v>2886.6</v>
      </c>
      <c r="N134" s="231">
        <v>2828.8</v>
      </c>
      <c r="O134" s="228">
        <v>57.8</v>
      </c>
      <c r="P134" s="229">
        <v>2.0400000000000001E-2</v>
      </c>
      <c r="Q134" s="231">
        <v>2902.8</v>
      </c>
      <c r="R134" s="231">
        <v>2847.2</v>
      </c>
      <c r="S134" s="228">
        <v>55.6</v>
      </c>
      <c r="T134" s="229">
        <v>1.95E-2</v>
      </c>
      <c r="U134" s="231">
        <v>2921</v>
      </c>
      <c r="V134" s="231">
        <v>2858.9</v>
      </c>
      <c r="W134" s="228">
        <v>62.1</v>
      </c>
      <c r="X134" s="229">
        <v>2.1700000000000001E-2</v>
      </c>
      <c r="Y134" s="228">
        <v>11.8</v>
      </c>
      <c r="Z134" s="228">
        <v>12.8</v>
      </c>
      <c r="AA134" s="228">
        <v>-1</v>
      </c>
      <c r="AB134" s="229">
        <v>4.1000000000000003E-3</v>
      </c>
      <c r="AC134" s="228">
        <v>11.8</v>
      </c>
      <c r="AD134" s="228">
        <v>12.8</v>
      </c>
      <c r="AE134" s="228">
        <v>-1</v>
      </c>
      <c r="AF134" s="229">
        <v>4.1000000000000003E-3</v>
      </c>
      <c r="AG134" s="228">
        <v>28</v>
      </c>
      <c r="AH134" s="228">
        <v>31.2</v>
      </c>
      <c r="AI134" s="228">
        <v>-3.2</v>
      </c>
      <c r="AJ134" s="229">
        <v>9.7000000000000003E-3</v>
      </c>
      <c r="AK134" s="228">
        <v>46.2</v>
      </c>
      <c r="AL134" s="228">
        <v>42.9</v>
      </c>
      <c r="AM134" s="228">
        <v>3.3</v>
      </c>
      <c r="AN134" s="229">
        <v>1.61E-2</v>
      </c>
      <c r="AO134" s="231">
        <v>2862.87</v>
      </c>
      <c r="AP134" s="231">
        <v>2883.15</v>
      </c>
      <c r="AQ134" s="228">
        <v>0</v>
      </c>
      <c r="AR134" s="230">
        <v>1076625</v>
      </c>
      <c r="AS134" s="230">
        <v>671550</v>
      </c>
      <c r="AT134" s="230">
        <v>405075</v>
      </c>
      <c r="AU134" s="229">
        <v>0.60319999999999996</v>
      </c>
      <c r="AV134" s="230">
        <v>1034550</v>
      </c>
      <c r="AW134" s="230">
        <v>657525</v>
      </c>
      <c r="AX134" s="230">
        <v>377025</v>
      </c>
      <c r="AY134" s="229">
        <v>0.57340000000000002</v>
      </c>
      <c r="AZ134" s="230">
        <v>36850</v>
      </c>
      <c r="BA134" s="230">
        <v>13200</v>
      </c>
      <c r="BB134" s="230">
        <v>23650</v>
      </c>
      <c r="BC134" s="229">
        <v>1.7917000000000001</v>
      </c>
      <c r="BD134" s="230">
        <v>5225</v>
      </c>
      <c r="BE134" s="228">
        <v>825</v>
      </c>
      <c r="BF134" s="230">
        <v>4400</v>
      </c>
      <c r="BG134" s="229">
        <v>5.3333000000000004</v>
      </c>
      <c r="BH134" s="230">
        <v>3248850</v>
      </c>
      <c r="BI134" s="230">
        <v>808775</v>
      </c>
      <c r="BJ134" s="230">
        <v>2440075</v>
      </c>
      <c r="BK134" s="229">
        <v>3.0169999999999999</v>
      </c>
      <c r="BL134" s="230">
        <v>513975</v>
      </c>
      <c r="BM134" s="230">
        <v>315700</v>
      </c>
      <c r="BN134" s="230">
        <v>198275</v>
      </c>
      <c r="BO134" s="229">
        <v>0.628</v>
      </c>
      <c r="BP134" s="230">
        <v>4839450</v>
      </c>
      <c r="BQ134" s="230">
        <v>1796025</v>
      </c>
      <c r="BR134" s="230">
        <v>3043425</v>
      </c>
      <c r="BS134" s="229">
        <v>1.6944999999999999</v>
      </c>
      <c r="BT134" s="230">
        <v>383992</v>
      </c>
      <c r="BU134" s="230">
        <v>380438</v>
      </c>
      <c r="BV134" s="230">
        <v>3554</v>
      </c>
      <c r="BW134" s="229">
        <v>9.2999999999999992E-3</v>
      </c>
      <c r="BX134" s="230">
        <v>5125450</v>
      </c>
      <c r="BY134" s="230">
        <v>5196675</v>
      </c>
      <c r="BZ134" s="230">
        <v>-71225</v>
      </c>
      <c r="CA134" s="229">
        <v>-1.37E-2</v>
      </c>
      <c r="CB134" s="230">
        <v>5062475</v>
      </c>
      <c r="CC134" s="230">
        <v>5146900</v>
      </c>
      <c r="CD134" s="230">
        <v>-84425</v>
      </c>
      <c r="CE134" s="229">
        <v>-1.6400000000000001E-2</v>
      </c>
      <c r="CF134" s="230">
        <v>59950</v>
      </c>
      <c r="CG134" s="230">
        <v>47300</v>
      </c>
      <c r="CH134" s="230">
        <v>12650</v>
      </c>
      <c r="CI134" s="229">
        <v>0.26740000000000003</v>
      </c>
      <c r="CJ134" s="230">
        <v>3025</v>
      </c>
      <c r="CK134" s="230">
        <v>2475</v>
      </c>
      <c r="CL134" s="228">
        <v>550</v>
      </c>
      <c r="CM134" s="229">
        <v>0.22220000000000001</v>
      </c>
      <c r="CN134" s="230">
        <v>945725</v>
      </c>
      <c r="CO134" s="230">
        <v>988350</v>
      </c>
      <c r="CP134" s="230">
        <v>-42625</v>
      </c>
      <c r="CQ134" s="229">
        <v>-4.3099999999999999E-2</v>
      </c>
      <c r="CR134" s="230">
        <v>664125</v>
      </c>
      <c r="CS134" s="230">
        <v>636900</v>
      </c>
      <c r="CT134" s="230">
        <v>27225</v>
      </c>
      <c r="CU134" s="229">
        <v>4.2700000000000002E-2</v>
      </c>
      <c r="CV134" s="230">
        <v>6735300</v>
      </c>
      <c r="CW134" s="230">
        <v>6821925</v>
      </c>
      <c r="CX134" s="230">
        <v>-86625</v>
      </c>
      <c r="CY134" s="229">
        <v>-1.2699999999999999E-2</v>
      </c>
      <c r="CZ134" s="228">
        <v>32.549999999999997</v>
      </c>
      <c r="DA134" s="228">
        <v>32.25</v>
      </c>
      <c r="DB134" s="228">
        <v>0.3</v>
      </c>
      <c r="DC134" s="228">
        <v>0.3</v>
      </c>
      <c r="DD134" s="228">
        <v>35.200000000000003</v>
      </c>
      <c r="DE134" s="228">
        <v>35.17</v>
      </c>
      <c r="DF134" s="228">
        <v>-2.65</v>
      </c>
      <c r="DG134" s="228">
        <v>0.03</v>
      </c>
      <c r="DH134" s="228">
        <v>32.43</v>
      </c>
      <c r="DI134" s="228">
        <v>32.049999999999997</v>
      </c>
      <c r="DJ134" s="228">
        <v>0.38</v>
      </c>
      <c r="DK134" s="228">
        <v>0.38</v>
      </c>
      <c r="DL134" s="228">
        <v>33.26</v>
      </c>
      <c r="DM134" s="228">
        <v>32.78</v>
      </c>
      <c r="DN134" s="228">
        <v>0.48</v>
      </c>
      <c r="DO134" s="228">
        <v>0.48</v>
      </c>
      <c r="DP134" s="228">
        <v>0.7</v>
      </c>
      <c r="DQ134" s="228">
        <v>0.64</v>
      </c>
      <c r="DR134" s="228">
        <v>0.06</v>
      </c>
      <c r="DS134" s="229">
        <v>9.3700000000000006E-2</v>
      </c>
      <c r="DT134" s="231">
        <v>3000</v>
      </c>
      <c r="DU134" s="231">
        <v>2800</v>
      </c>
      <c r="DV134" s="228">
        <v>0.16</v>
      </c>
      <c r="DW134" s="228">
        <v>0.39</v>
      </c>
      <c r="DX134" s="228">
        <v>-0.23</v>
      </c>
      <c r="DY134" s="229">
        <v>-0.5897</v>
      </c>
      <c r="DZ134" s="229">
        <v>1.23E-2</v>
      </c>
      <c r="EA134" s="230">
        <v>49775</v>
      </c>
      <c r="EB134" s="229">
        <v>5.5999999999999999E-3</v>
      </c>
      <c r="EC134" s="229">
        <v>1.23E-2</v>
      </c>
      <c r="ED134" s="228">
        <v>20.28</v>
      </c>
      <c r="EE134" s="229">
        <v>7.1000000000000004E-3</v>
      </c>
      <c r="EF134" s="230">
        <v>198282</v>
      </c>
      <c r="EG134" s="230">
        <v>178818</v>
      </c>
      <c r="EH134" s="229">
        <v>0.10879999999999999</v>
      </c>
      <c r="EI134" s="229">
        <v>0.51639999999999997</v>
      </c>
      <c r="EJ134" s="231">
        <v>98454.81</v>
      </c>
      <c r="EK134" s="231">
        <v>14113.19</v>
      </c>
      <c r="EL134" s="231">
        <v>30832.05</v>
      </c>
      <c r="EM134" s="231">
        <v>1781</v>
      </c>
      <c r="EN134" s="231">
        <v>143400.04999999999</v>
      </c>
      <c r="EO134" s="231">
        <v>51723.19</v>
      </c>
      <c r="EP134" s="231">
        <v>91676.86</v>
      </c>
      <c r="EQ134" s="229">
        <v>1.7725</v>
      </c>
      <c r="ER134" s="231">
        <v>28307</v>
      </c>
      <c r="ES134" s="231">
        <v>17965</v>
      </c>
      <c r="ET134" s="231">
        <v>147962</v>
      </c>
      <c r="EU134" s="231">
        <v>17093933</v>
      </c>
      <c r="EV134" s="231">
        <v>194234</v>
      </c>
      <c r="EW134" s="231">
        <v>193571</v>
      </c>
      <c r="EX134" s="228">
        <v>663</v>
      </c>
      <c r="EY134" s="229">
        <v>3.3999999999999998E-3</v>
      </c>
      <c r="EZ134" s="229">
        <v>0.39400000000000002</v>
      </c>
      <c r="FA134" s="227" t="s">
        <v>556</v>
      </c>
      <c r="FB134" s="161">
        <f t="shared" si="2"/>
        <v>62975</v>
      </c>
    </row>
    <row r="135" spans="1:158" ht="17.25" hidden="1" thickBot="1" x14ac:dyDescent="0.3">
      <c r="A135" s="226">
        <v>46029</v>
      </c>
      <c r="B135" s="227" t="s">
        <v>175</v>
      </c>
      <c r="C135" s="227" t="s">
        <v>262</v>
      </c>
      <c r="D135" s="228">
        <v>275</v>
      </c>
      <c r="E135" s="231">
        <v>3973.1</v>
      </c>
      <c r="F135" s="231">
        <v>3960.4</v>
      </c>
      <c r="G135" s="228">
        <v>12.7</v>
      </c>
      <c r="H135" s="229">
        <v>3.2000000000000002E-3</v>
      </c>
      <c r="I135" s="231">
        <v>3960.1</v>
      </c>
      <c r="J135" s="231">
        <v>3940.7</v>
      </c>
      <c r="K135" s="228">
        <v>19.399999999999999</v>
      </c>
      <c r="L135" s="229">
        <v>4.8999999999999998E-3</v>
      </c>
      <c r="M135" s="231">
        <v>3973.1</v>
      </c>
      <c r="N135" s="231">
        <v>3960.4</v>
      </c>
      <c r="O135" s="228">
        <v>12.7</v>
      </c>
      <c r="P135" s="229">
        <v>3.2000000000000002E-3</v>
      </c>
      <c r="Q135" s="231">
        <v>3989.7</v>
      </c>
      <c r="R135" s="231">
        <v>3976.1</v>
      </c>
      <c r="S135" s="228">
        <v>13.6</v>
      </c>
      <c r="T135" s="229">
        <v>3.3999999999999998E-3</v>
      </c>
      <c r="U135" s="231">
        <v>4003.7</v>
      </c>
      <c r="V135" s="231">
        <v>3971.8</v>
      </c>
      <c r="W135" s="228">
        <v>31.9</v>
      </c>
      <c r="X135" s="229">
        <v>8.0000000000000002E-3</v>
      </c>
      <c r="Y135" s="228">
        <v>13</v>
      </c>
      <c r="Z135" s="228">
        <v>19.7</v>
      </c>
      <c r="AA135" s="228">
        <v>-6.7</v>
      </c>
      <c r="AB135" s="229">
        <v>3.3E-3</v>
      </c>
      <c r="AC135" s="228">
        <v>13</v>
      </c>
      <c r="AD135" s="228">
        <v>19.7</v>
      </c>
      <c r="AE135" s="228">
        <v>-6.7</v>
      </c>
      <c r="AF135" s="229">
        <v>3.3E-3</v>
      </c>
      <c r="AG135" s="228">
        <v>29.6</v>
      </c>
      <c r="AH135" s="228">
        <v>35.4</v>
      </c>
      <c r="AI135" s="228">
        <v>-5.8</v>
      </c>
      <c r="AJ135" s="229">
        <v>7.4999999999999997E-3</v>
      </c>
      <c r="AK135" s="228">
        <v>43.6</v>
      </c>
      <c r="AL135" s="228">
        <v>31.1</v>
      </c>
      <c r="AM135" s="228">
        <v>12.5</v>
      </c>
      <c r="AN135" s="229">
        <v>1.0999999999999999E-2</v>
      </c>
      <c r="AO135" s="231">
        <v>3973.79</v>
      </c>
      <c r="AP135" s="231">
        <v>3988.6</v>
      </c>
      <c r="AQ135" s="228">
        <v>0</v>
      </c>
      <c r="AR135" s="230">
        <v>929775</v>
      </c>
      <c r="AS135" s="230">
        <v>1311475</v>
      </c>
      <c r="AT135" s="230">
        <v>-381700</v>
      </c>
      <c r="AU135" s="229">
        <v>-0.29099999999999998</v>
      </c>
      <c r="AV135" s="230">
        <v>881650</v>
      </c>
      <c r="AW135" s="230">
        <v>1244375</v>
      </c>
      <c r="AX135" s="230">
        <v>-362725</v>
      </c>
      <c r="AY135" s="229">
        <v>-0.29149999999999998</v>
      </c>
      <c r="AZ135" s="230">
        <v>42625</v>
      </c>
      <c r="BA135" s="230">
        <v>58300</v>
      </c>
      <c r="BB135" s="230">
        <v>-15675</v>
      </c>
      <c r="BC135" s="229">
        <v>-0.26889999999999997</v>
      </c>
      <c r="BD135" s="230">
        <v>5500</v>
      </c>
      <c r="BE135" s="230">
        <v>8800</v>
      </c>
      <c r="BF135" s="230">
        <v>-3300</v>
      </c>
      <c r="BG135" s="229">
        <v>-0.375</v>
      </c>
      <c r="BH135" s="230">
        <v>4379100</v>
      </c>
      <c r="BI135" s="230">
        <v>7187400</v>
      </c>
      <c r="BJ135" s="230">
        <v>-2808300</v>
      </c>
      <c r="BK135" s="229">
        <v>-0.39069999999999999</v>
      </c>
      <c r="BL135" s="230">
        <v>2086425</v>
      </c>
      <c r="BM135" s="230">
        <v>2937550</v>
      </c>
      <c r="BN135" s="230">
        <v>-851125</v>
      </c>
      <c r="BO135" s="229">
        <v>-0.28970000000000001</v>
      </c>
      <c r="BP135" s="230">
        <v>7395300</v>
      </c>
      <c r="BQ135" s="230">
        <v>11436425</v>
      </c>
      <c r="BR135" s="230">
        <v>-4041125</v>
      </c>
      <c r="BS135" s="229">
        <v>-0.35339999999999999</v>
      </c>
      <c r="BT135" s="230">
        <v>500497</v>
      </c>
      <c r="BU135" s="230">
        <v>643445</v>
      </c>
      <c r="BV135" s="230">
        <v>-142948</v>
      </c>
      <c r="BW135" s="229">
        <v>-0.22220000000000001</v>
      </c>
      <c r="BX135" s="230">
        <v>3696825</v>
      </c>
      <c r="BY135" s="230">
        <v>3741100</v>
      </c>
      <c r="BZ135" s="230">
        <v>-44275</v>
      </c>
      <c r="CA135" s="229">
        <v>-1.18E-2</v>
      </c>
      <c r="CB135" s="230">
        <v>3581325</v>
      </c>
      <c r="CC135" s="230">
        <v>3629175</v>
      </c>
      <c r="CD135" s="230">
        <v>-47850</v>
      </c>
      <c r="CE135" s="229">
        <v>-1.32E-2</v>
      </c>
      <c r="CF135" s="230">
        <v>104500</v>
      </c>
      <c r="CG135" s="230">
        <v>101200</v>
      </c>
      <c r="CH135" s="230">
        <v>3300</v>
      </c>
      <c r="CI135" s="229">
        <v>3.2599999999999997E-2</v>
      </c>
      <c r="CJ135" s="230">
        <v>11000</v>
      </c>
      <c r="CK135" s="230">
        <v>10725</v>
      </c>
      <c r="CL135" s="228">
        <v>275</v>
      </c>
      <c r="CM135" s="229">
        <v>2.5600000000000001E-2</v>
      </c>
      <c r="CN135" s="230">
        <v>2052050</v>
      </c>
      <c r="CO135" s="230">
        <v>1962400</v>
      </c>
      <c r="CP135" s="230">
        <v>89650</v>
      </c>
      <c r="CQ135" s="229">
        <v>4.5699999999999998E-2</v>
      </c>
      <c r="CR135" s="230">
        <v>1526250</v>
      </c>
      <c r="CS135" s="230">
        <v>1400025</v>
      </c>
      <c r="CT135" s="230">
        <v>126225</v>
      </c>
      <c r="CU135" s="229">
        <v>9.0200000000000002E-2</v>
      </c>
      <c r="CV135" s="230">
        <v>7275125</v>
      </c>
      <c r="CW135" s="230">
        <v>7103525</v>
      </c>
      <c r="CX135" s="230">
        <v>171600</v>
      </c>
      <c r="CY135" s="229">
        <v>2.4199999999999999E-2</v>
      </c>
      <c r="CZ135" s="228">
        <v>25.68</v>
      </c>
      <c r="DA135" s="228">
        <v>25.59</v>
      </c>
      <c r="DB135" s="228">
        <v>0.09</v>
      </c>
      <c r="DC135" s="228">
        <v>0.09</v>
      </c>
      <c r="DD135" s="228">
        <v>35.42</v>
      </c>
      <c r="DE135" s="228">
        <v>35.5</v>
      </c>
      <c r="DF135" s="228">
        <v>-9.74</v>
      </c>
      <c r="DG135" s="228">
        <v>-0.08</v>
      </c>
      <c r="DH135" s="228">
        <v>25.5</v>
      </c>
      <c r="DI135" s="228">
        <v>25.42</v>
      </c>
      <c r="DJ135" s="228">
        <v>0.08</v>
      </c>
      <c r="DK135" s="228">
        <v>0.08</v>
      </c>
      <c r="DL135" s="228">
        <v>26.06</v>
      </c>
      <c r="DM135" s="228">
        <v>26</v>
      </c>
      <c r="DN135" s="228">
        <v>0.06</v>
      </c>
      <c r="DO135" s="228">
        <v>0.06</v>
      </c>
      <c r="DP135" s="228">
        <v>0.74</v>
      </c>
      <c r="DQ135" s="228">
        <v>0.71</v>
      </c>
      <c r="DR135" s="228">
        <v>0.03</v>
      </c>
      <c r="DS135" s="229">
        <v>4.2299999999999997E-2</v>
      </c>
      <c r="DT135" s="231">
        <v>3900</v>
      </c>
      <c r="DU135" s="231">
        <v>3800</v>
      </c>
      <c r="DV135" s="228">
        <v>0.48</v>
      </c>
      <c r="DW135" s="228">
        <v>0.41</v>
      </c>
      <c r="DX135" s="228">
        <v>7.0000000000000007E-2</v>
      </c>
      <c r="DY135" s="229">
        <v>0.17069999999999999</v>
      </c>
      <c r="DZ135" s="229">
        <v>3.1199999999999999E-2</v>
      </c>
      <c r="EA135" s="230">
        <v>111925</v>
      </c>
      <c r="EB135" s="229">
        <v>4.1999999999999997E-3</v>
      </c>
      <c r="EC135" s="229">
        <v>3.1199999999999999E-2</v>
      </c>
      <c r="ED135" s="228">
        <v>14.81</v>
      </c>
      <c r="EE135" s="229">
        <v>3.7000000000000002E-3</v>
      </c>
      <c r="EF135" s="230">
        <v>278250</v>
      </c>
      <c r="EG135" s="230">
        <v>299992</v>
      </c>
      <c r="EH135" s="229">
        <v>-7.2499999999999995E-2</v>
      </c>
      <c r="EI135" s="229">
        <v>0.55589999999999995</v>
      </c>
      <c r="EJ135" s="231">
        <v>180825.35</v>
      </c>
      <c r="EK135" s="231">
        <v>81367.240000000005</v>
      </c>
      <c r="EL135" s="231">
        <v>36955.730000000003</v>
      </c>
      <c r="EM135" s="231">
        <v>3851</v>
      </c>
      <c r="EN135" s="231">
        <v>299148.32</v>
      </c>
      <c r="EO135" s="231">
        <v>463528.27</v>
      </c>
      <c r="EP135" s="231">
        <v>-164379.95000000001</v>
      </c>
      <c r="EQ135" s="229">
        <v>-0.35460000000000003</v>
      </c>
      <c r="ER135" s="231">
        <v>81925</v>
      </c>
      <c r="ES135" s="231">
        <v>57240</v>
      </c>
      <c r="ET135" s="231">
        <v>146899</v>
      </c>
      <c r="EU135" s="231">
        <v>14790848</v>
      </c>
      <c r="EV135" s="231">
        <v>286064</v>
      </c>
      <c r="EW135" s="231">
        <v>278530</v>
      </c>
      <c r="EX135" s="231">
        <v>7534</v>
      </c>
      <c r="EY135" s="229">
        <v>2.7E-2</v>
      </c>
      <c r="EZ135" s="229">
        <v>0.4919</v>
      </c>
      <c r="FA135" s="227" t="s">
        <v>556</v>
      </c>
      <c r="FB135" s="161">
        <f t="shared" si="2"/>
        <v>115500</v>
      </c>
    </row>
    <row r="136" spans="1:158" ht="17.25" hidden="1" thickBot="1" x14ac:dyDescent="0.3">
      <c r="A136" s="226">
        <v>46029</v>
      </c>
      <c r="B136" s="227" t="s">
        <v>227</v>
      </c>
      <c r="C136" s="227" t="s">
        <v>263</v>
      </c>
      <c r="D136" s="228">
        <v>3750</v>
      </c>
      <c r="E136" s="228">
        <v>351.8</v>
      </c>
      <c r="F136" s="228">
        <v>347.6</v>
      </c>
      <c r="G136" s="228">
        <v>4.2</v>
      </c>
      <c r="H136" s="229">
        <v>1.21E-2</v>
      </c>
      <c r="I136" s="228">
        <v>352.6</v>
      </c>
      <c r="J136" s="228">
        <v>346.7</v>
      </c>
      <c r="K136" s="228">
        <v>5.9</v>
      </c>
      <c r="L136" s="229">
        <v>1.7000000000000001E-2</v>
      </c>
      <c r="M136" s="228">
        <v>351.8</v>
      </c>
      <c r="N136" s="228">
        <v>347.6</v>
      </c>
      <c r="O136" s="228">
        <v>4.2</v>
      </c>
      <c r="P136" s="229">
        <v>1.21E-2</v>
      </c>
      <c r="Q136" s="228">
        <v>350.1</v>
      </c>
      <c r="R136" s="228">
        <v>345.75</v>
      </c>
      <c r="S136" s="228">
        <v>4.3499999999999996</v>
      </c>
      <c r="T136" s="229">
        <v>1.26E-2</v>
      </c>
      <c r="U136" s="228">
        <v>351.3</v>
      </c>
      <c r="V136" s="228">
        <v>346.55</v>
      </c>
      <c r="W136" s="228">
        <v>4.75</v>
      </c>
      <c r="X136" s="229">
        <v>1.37E-2</v>
      </c>
      <c r="Y136" s="228">
        <v>-0.8</v>
      </c>
      <c r="Z136" s="228">
        <v>0.9</v>
      </c>
      <c r="AA136" s="228">
        <v>-1.7</v>
      </c>
      <c r="AB136" s="229">
        <v>-2.3E-3</v>
      </c>
      <c r="AC136" s="228">
        <v>-0.8</v>
      </c>
      <c r="AD136" s="228">
        <v>0.9</v>
      </c>
      <c r="AE136" s="228">
        <v>-1.7</v>
      </c>
      <c r="AF136" s="229">
        <v>-2.3E-3</v>
      </c>
      <c r="AG136" s="228">
        <v>-2.5</v>
      </c>
      <c r="AH136" s="228">
        <v>-0.95</v>
      </c>
      <c r="AI136" s="228">
        <v>-1.55</v>
      </c>
      <c r="AJ136" s="229">
        <v>-7.1000000000000004E-3</v>
      </c>
      <c r="AK136" s="228">
        <v>-1.3</v>
      </c>
      <c r="AL136" s="228">
        <v>-0.15</v>
      </c>
      <c r="AM136" s="228">
        <v>-1.1499999999999999</v>
      </c>
      <c r="AN136" s="229">
        <v>-3.7000000000000002E-3</v>
      </c>
      <c r="AO136" s="228">
        <v>352.02</v>
      </c>
      <c r="AP136" s="228">
        <v>350.37</v>
      </c>
      <c r="AQ136" s="228">
        <v>0</v>
      </c>
      <c r="AR136" s="230">
        <v>38658750</v>
      </c>
      <c r="AS136" s="230">
        <v>40680000</v>
      </c>
      <c r="AT136" s="230">
        <v>-2021250</v>
      </c>
      <c r="AU136" s="229">
        <v>-4.9700000000000001E-2</v>
      </c>
      <c r="AV136" s="230">
        <v>35126250</v>
      </c>
      <c r="AW136" s="230">
        <v>36633750</v>
      </c>
      <c r="AX136" s="230">
        <v>-1507500</v>
      </c>
      <c r="AY136" s="229">
        <v>-4.1200000000000001E-2</v>
      </c>
      <c r="AZ136" s="230">
        <v>3003750</v>
      </c>
      <c r="BA136" s="230">
        <v>3378750</v>
      </c>
      <c r="BB136" s="230">
        <v>-375000</v>
      </c>
      <c r="BC136" s="229">
        <v>-0.111</v>
      </c>
      <c r="BD136" s="230">
        <v>528750</v>
      </c>
      <c r="BE136" s="230">
        <v>667500</v>
      </c>
      <c r="BF136" s="230">
        <v>-138750</v>
      </c>
      <c r="BG136" s="229">
        <v>-0.2079</v>
      </c>
      <c r="BH136" s="230">
        <v>161370000</v>
      </c>
      <c r="BI136" s="230">
        <v>293246250</v>
      </c>
      <c r="BJ136" s="230">
        <v>-131876250</v>
      </c>
      <c r="BK136" s="229">
        <v>-0.44969999999999999</v>
      </c>
      <c r="BL136" s="230">
        <v>69693750</v>
      </c>
      <c r="BM136" s="230">
        <v>98242500</v>
      </c>
      <c r="BN136" s="230">
        <v>-28548750</v>
      </c>
      <c r="BO136" s="229">
        <v>-0.29060000000000002</v>
      </c>
      <c r="BP136" s="230">
        <v>269722500</v>
      </c>
      <c r="BQ136" s="230">
        <v>432168750</v>
      </c>
      <c r="BR136" s="230">
        <v>-162446250</v>
      </c>
      <c r="BS136" s="229">
        <v>-0.37590000000000001</v>
      </c>
      <c r="BT136" s="230">
        <v>33597761</v>
      </c>
      <c r="BU136" s="230">
        <v>44951801</v>
      </c>
      <c r="BV136" s="230">
        <v>-11354040</v>
      </c>
      <c r="BW136" s="229">
        <v>-0.25259999999999999</v>
      </c>
      <c r="BX136" s="230">
        <v>51701250</v>
      </c>
      <c r="BY136" s="230">
        <v>53201250</v>
      </c>
      <c r="BZ136" s="230">
        <v>-1500000</v>
      </c>
      <c r="CA136" s="229">
        <v>-2.8199999999999999E-2</v>
      </c>
      <c r="CB136" s="230">
        <v>47883750</v>
      </c>
      <c r="CC136" s="230">
        <v>49672500</v>
      </c>
      <c r="CD136" s="230">
        <v>-1788750</v>
      </c>
      <c r="CE136" s="229">
        <v>-3.5999999999999997E-2</v>
      </c>
      <c r="CF136" s="230">
        <v>3382500</v>
      </c>
      <c r="CG136" s="230">
        <v>3187500</v>
      </c>
      <c r="CH136" s="230">
        <v>195000</v>
      </c>
      <c r="CI136" s="229">
        <v>6.1199999999999997E-2</v>
      </c>
      <c r="CJ136" s="230">
        <v>435000</v>
      </c>
      <c r="CK136" s="230">
        <v>341250</v>
      </c>
      <c r="CL136" s="230">
        <v>93750</v>
      </c>
      <c r="CM136" s="229">
        <v>0.2747</v>
      </c>
      <c r="CN136" s="230">
        <v>46905000</v>
      </c>
      <c r="CO136" s="230">
        <v>52128750</v>
      </c>
      <c r="CP136" s="230">
        <v>-5223750</v>
      </c>
      <c r="CQ136" s="229">
        <v>-0.1002</v>
      </c>
      <c r="CR136" s="230">
        <v>43222500</v>
      </c>
      <c r="CS136" s="230">
        <v>40451250</v>
      </c>
      <c r="CT136" s="230">
        <v>2771250</v>
      </c>
      <c r="CU136" s="229">
        <v>6.8500000000000005E-2</v>
      </c>
      <c r="CV136" s="230">
        <v>141828750</v>
      </c>
      <c r="CW136" s="230">
        <v>145781250</v>
      </c>
      <c r="CX136" s="230">
        <v>-3952500</v>
      </c>
      <c r="CY136" s="229">
        <v>-2.7099999999999999E-2</v>
      </c>
      <c r="CZ136" s="228">
        <v>37.99</v>
      </c>
      <c r="DA136" s="228">
        <v>38.6</v>
      </c>
      <c r="DB136" s="228">
        <v>-0.61</v>
      </c>
      <c r="DC136" s="228">
        <v>-0.61</v>
      </c>
      <c r="DD136" s="228">
        <v>46.8</v>
      </c>
      <c r="DE136" s="228">
        <v>46.86</v>
      </c>
      <c r="DF136" s="228">
        <v>-8.81</v>
      </c>
      <c r="DG136" s="228">
        <v>-0.06</v>
      </c>
      <c r="DH136" s="228">
        <v>37.61</v>
      </c>
      <c r="DI136" s="228">
        <v>38.5</v>
      </c>
      <c r="DJ136" s="228">
        <v>-0.89</v>
      </c>
      <c r="DK136" s="228">
        <v>-0.89</v>
      </c>
      <c r="DL136" s="228">
        <v>38.86</v>
      </c>
      <c r="DM136" s="228">
        <v>38.909999999999997</v>
      </c>
      <c r="DN136" s="228">
        <v>-0.05</v>
      </c>
      <c r="DO136" s="228">
        <v>-0.05</v>
      </c>
      <c r="DP136" s="228">
        <v>0.92</v>
      </c>
      <c r="DQ136" s="228">
        <v>0.78</v>
      </c>
      <c r="DR136" s="228">
        <v>0.14000000000000001</v>
      </c>
      <c r="DS136" s="229">
        <v>0.17949999999999999</v>
      </c>
      <c r="DT136" s="228">
        <v>360</v>
      </c>
      <c r="DU136" s="228">
        <v>300</v>
      </c>
      <c r="DV136" s="228">
        <v>0.43</v>
      </c>
      <c r="DW136" s="228">
        <v>0.34</v>
      </c>
      <c r="DX136" s="228">
        <v>0.09</v>
      </c>
      <c r="DY136" s="229">
        <v>0.26469999999999999</v>
      </c>
      <c r="DZ136" s="229">
        <v>7.3800000000000004E-2</v>
      </c>
      <c r="EA136" s="230">
        <v>3528750</v>
      </c>
      <c r="EB136" s="229">
        <v>-4.7999999999999996E-3</v>
      </c>
      <c r="EC136" s="229">
        <v>7.3800000000000004E-2</v>
      </c>
      <c r="ED136" s="228">
        <v>-1.65</v>
      </c>
      <c r="EE136" s="229">
        <v>-4.7000000000000002E-3</v>
      </c>
      <c r="EF136" s="230">
        <v>10419381</v>
      </c>
      <c r="EG136" s="230">
        <v>10818170</v>
      </c>
      <c r="EH136" s="229">
        <v>-3.6900000000000002E-2</v>
      </c>
      <c r="EI136" s="229">
        <v>0.31009999999999999</v>
      </c>
      <c r="EJ136" s="231">
        <v>601624.03</v>
      </c>
      <c r="EK136" s="231">
        <v>237683.77</v>
      </c>
      <c r="EL136" s="231">
        <v>136037.04</v>
      </c>
      <c r="EM136" s="231">
        <v>6349</v>
      </c>
      <c r="EN136" s="231">
        <v>975344.84</v>
      </c>
      <c r="EO136" s="231">
        <v>1548297.57</v>
      </c>
      <c r="EP136" s="231">
        <v>-572952.73</v>
      </c>
      <c r="EQ136" s="229">
        <v>-0.37009999999999998</v>
      </c>
      <c r="ER136" s="231">
        <v>163582</v>
      </c>
      <c r="ES136" s="231">
        <v>136061</v>
      </c>
      <c r="ET136" s="231">
        <v>181825</v>
      </c>
      <c r="EU136" s="231">
        <v>134225816</v>
      </c>
      <c r="EV136" s="231">
        <v>481468</v>
      </c>
      <c r="EW136" s="231">
        <v>493924</v>
      </c>
      <c r="EX136" s="231">
        <v>-12456</v>
      </c>
      <c r="EY136" s="229">
        <v>-2.52E-2</v>
      </c>
      <c r="EZ136" s="229">
        <v>1.0566</v>
      </c>
      <c r="FA136" s="227" t="s">
        <v>556</v>
      </c>
      <c r="FB136" s="161">
        <f t="shared" si="2"/>
        <v>3817500</v>
      </c>
    </row>
    <row r="137" spans="1:158" ht="17.25" hidden="1" thickBot="1" x14ac:dyDescent="0.3">
      <c r="A137" s="226">
        <v>46029</v>
      </c>
      <c r="B137" s="227" t="s">
        <v>615</v>
      </c>
      <c r="C137" s="227" t="s">
        <v>264</v>
      </c>
      <c r="D137" s="228">
        <v>375</v>
      </c>
      <c r="E137" s="231">
        <v>1360.6</v>
      </c>
      <c r="F137" s="231">
        <v>1342.7</v>
      </c>
      <c r="G137" s="228">
        <v>17.899999999999999</v>
      </c>
      <c r="H137" s="229">
        <v>1.3299999999999999E-2</v>
      </c>
      <c r="I137" s="231">
        <v>1359.4</v>
      </c>
      <c r="J137" s="231">
        <v>1335.8</v>
      </c>
      <c r="K137" s="228">
        <v>23.6</v>
      </c>
      <c r="L137" s="229">
        <v>1.77E-2</v>
      </c>
      <c r="M137" s="231">
        <v>1360.6</v>
      </c>
      <c r="N137" s="231">
        <v>1342.7</v>
      </c>
      <c r="O137" s="228">
        <v>17.899999999999999</v>
      </c>
      <c r="P137" s="229">
        <v>1.3299999999999999E-2</v>
      </c>
      <c r="Q137" s="231">
        <v>1368.7</v>
      </c>
      <c r="R137" s="231">
        <v>1350.8</v>
      </c>
      <c r="S137" s="228">
        <v>17.899999999999999</v>
      </c>
      <c r="T137" s="229">
        <v>1.3299999999999999E-2</v>
      </c>
      <c r="U137" s="231">
        <v>1376.5</v>
      </c>
      <c r="V137" s="231">
        <v>1360</v>
      </c>
      <c r="W137" s="228">
        <v>16.5</v>
      </c>
      <c r="X137" s="229">
        <v>1.21E-2</v>
      </c>
      <c r="Y137" s="228">
        <v>1.2</v>
      </c>
      <c r="Z137" s="228">
        <v>6.9</v>
      </c>
      <c r="AA137" s="228">
        <v>-5.7</v>
      </c>
      <c r="AB137" s="229">
        <v>8.9999999999999998E-4</v>
      </c>
      <c r="AC137" s="228">
        <v>1.2</v>
      </c>
      <c r="AD137" s="228">
        <v>6.9</v>
      </c>
      <c r="AE137" s="228">
        <v>-5.7</v>
      </c>
      <c r="AF137" s="229">
        <v>8.9999999999999998E-4</v>
      </c>
      <c r="AG137" s="228">
        <v>9.3000000000000007</v>
      </c>
      <c r="AH137" s="228">
        <v>15</v>
      </c>
      <c r="AI137" s="228">
        <v>-5.7</v>
      </c>
      <c r="AJ137" s="229">
        <v>6.7999999999999996E-3</v>
      </c>
      <c r="AK137" s="228">
        <v>17.100000000000001</v>
      </c>
      <c r="AL137" s="228">
        <v>24.2</v>
      </c>
      <c r="AM137" s="228">
        <v>-7.1</v>
      </c>
      <c r="AN137" s="229">
        <v>1.26E-2</v>
      </c>
      <c r="AO137" s="231">
        <v>1370.87</v>
      </c>
      <c r="AP137" s="231">
        <v>1381.82</v>
      </c>
      <c r="AQ137" s="228">
        <v>0</v>
      </c>
      <c r="AR137" s="230">
        <v>2538000</v>
      </c>
      <c r="AS137" s="230">
        <v>626250</v>
      </c>
      <c r="AT137" s="230">
        <v>1911750</v>
      </c>
      <c r="AU137" s="229">
        <v>3.0527000000000002</v>
      </c>
      <c r="AV137" s="230">
        <v>2432625</v>
      </c>
      <c r="AW137" s="230">
        <v>593250</v>
      </c>
      <c r="AX137" s="230">
        <v>1839375</v>
      </c>
      <c r="AY137" s="229">
        <v>3.1004999999999998</v>
      </c>
      <c r="AZ137" s="230">
        <v>97500</v>
      </c>
      <c r="BA137" s="230">
        <v>33000</v>
      </c>
      <c r="BB137" s="230">
        <v>64500</v>
      </c>
      <c r="BC137" s="229">
        <v>1.9544999999999999</v>
      </c>
      <c r="BD137" s="230">
        <v>7875</v>
      </c>
      <c r="BE137" s="228">
        <v>0</v>
      </c>
      <c r="BF137" s="230">
        <v>7875</v>
      </c>
      <c r="BG137" s="229">
        <v>0</v>
      </c>
      <c r="BH137" s="230">
        <v>12523875</v>
      </c>
      <c r="BI137" s="230">
        <v>1274625</v>
      </c>
      <c r="BJ137" s="230">
        <v>11249250</v>
      </c>
      <c r="BK137" s="229">
        <v>8.8254999999999999</v>
      </c>
      <c r="BL137" s="230">
        <v>2874375</v>
      </c>
      <c r="BM137" s="230">
        <v>863625</v>
      </c>
      <c r="BN137" s="230">
        <v>2010750</v>
      </c>
      <c r="BO137" s="229">
        <v>2.3283</v>
      </c>
      <c r="BP137" s="230">
        <v>17936250</v>
      </c>
      <c r="BQ137" s="230">
        <v>2764500</v>
      </c>
      <c r="BR137" s="230">
        <v>15171750</v>
      </c>
      <c r="BS137" s="229">
        <v>5.4881000000000002</v>
      </c>
      <c r="BT137" s="230">
        <v>2524351</v>
      </c>
      <c r="BU137" s="230">
        <v>714302</v>
      </c>
      <c r="BV137" s="230">
        <v>1810049</v>
      </c>
      <c r="BW137" s="229">
        <v>2.5339999999999998</v>
      </c>
      <c r="BX137" s="230">
        <v>8050875</v>
      </c>
      <c r="BY137" s="230">
        <v>7974000</v>
      </c>
      <c r="BZ137" s="230">
        <v>76875</v>
      </c>
      <c r="CA137" s="229">
        <v>9.5999999999999992E-3</v>
      </c>
      <c r="CB137" s="230">
        <v>7963500</v>
      </c>
      <c r="CC137" s="230">
        <v>7895250</v>
      </c>
      <c r="CD137" s="230">
        <v>68250</v>
      </c>
      <c r="CE137" s="229">
        <v>8.6E-3</v>
      </c>
      <c r="CF137" s="230">
        <v>78000</v>
      </c>
      <c r="CG137" s="230">
        <v>74625</v>
      </c>
      <c r="CH137" s="230">
        <v>3375</v>
      </c>
      <c r="CI137" s="229">
        <v>4.5199999999999997E-2</v>
      </c>
      <c r="CJ137" s="230">
        <v>9375</v>
      </c>
      <c r="CK137" s="230">
        <v>4125</v>
      </c>
      <c r="CL137" s="230">
        <v>5250</v>
      </c>
      <c r="CM137" s="229">
        <v>1.2726999999999999</v>
      </c>
      <c r="CN137" s="230">
        <v>3474000</v>
      </c>
      <c r="CO137" s="230">
        <v>2158125</v>
      </c>
      <c r="CP137" s="230">
        <v>1315875</v>
      </c>
      <c r="CQ137" s="229">
        <v>0.60970000000000002</v>
      </c>
      <c r="CR137" s="230">
        <v>1927500</v>
      </c>
      <c r="CS137" s="230">
        <v>1631625</v>
      </c>
      <c r="CT137" s="230">
        <v>295875</v>
      </c>
      <c r="CU137" s="229">
        <v>0.18129999999999999</v>
      </c>
      <c r="CV137" s="230">
        <v>13452375</v>
      </c>
      <c r="CW137" s="230">
        <v>11763750</v>
      </c>
      <c r="CX137" s="230">
        <v>1688625</v>
      </c>
      <c r="CY137" s="229">
        <v>0.14349999999999999</v>
      </c>
      <c r="CZ137" s="228">
        <v>29.72</v>
      </c>
      <c r="DA137" s="228">
        <v>29.06</v>
      </c>
      <c r="DB137" s="228">
        <v>0.66</v>
      </c>
      <c r="DC137" s="228">
        <v>0.66</v>
      </c>
      <c r="DD137" s="228">
        <v>35.619999999999997</v>
      </c>
      <c r="DE137" s="228">
        <v>35.630000000000003</v>
      </c>
      <c r="DF137" s="228">
        <v>-5.9</v>
      </c>
      <c r="DG137" s="228">
        <v>-0.01</v>
      </c>
      <c r="DH137" s="228">
        <v>30.08</v>
      </c>
      <c r="DI137" s="228">
        <v>28.89</v>
      </c>
      <c r="DJ137" s="228">
        <v>1.19</v>
      </c>
      <c r="DK137" s="228">
        <v>1.19</v>
      </c>
      <c r="DL137" s="228">
        <v>28.13</v>
      </c>
      <c r="DM137" s="228">
        <v>29.32</v>
      </c>
      <c r="DN137" s="228">
        <v>-1.19</v>
      </c>
      <c r="DO137" s="228">
        <v>-1.19</v>
      </c>
      <c r="DP137" s="228">
        <v>0.55000000000000004</v>
      </c>
      <c r="DQ137" s="228">
        <v>0.76</v>
      </c>
      <c r="DR137" s="228">
        <v>-0.21</v>
      </c>
      <c r="DS137" s="229">
        <v>-0.27629999999999999</v>
      </c>
      <c r="DT137" s="231">
        <v>1500</v>
      </c>
      <c r="DU137" s="231">
        <v>1280</v>
      </c>
      <c r="DV137" s="228">
        <v>0.23</v>
      </c>
      <c r="DW137" s="228">
        <v>0.68</v>
      </c>
      <c r="DX137" s="228">
        <v>-0.45</v>
      </c>
      <c r="DY137" s="229">
        <v>-0.66180000000000005</v>
      </c>
      <c r="DZ137" s="229">
        <v>1.09E-2</v>
      </c>
      <c r="EA137" s="230">
        <v>78750</v>
      </c>
      <c r="EB137" s="229">
        <v>6.0000000000000001E-3</v>
      </c>
      <c r="EC137" s="229">
        <v>1.09E-2</v>
      </c>
      <c r="ED137" s="228">
        <v>10.95</v>
      </c>
      <c r="EE137" s="229">
        <v>8.0000000000000002E-3</v>
      </c>
      <c r="EF137" s="230">
        <v>1362895</v>
      </c>
      <c r="EG137" s="230">
        <v>427453</v>
      </c>
      <c r="EH137" s="229">
        <v>2.1884000000000001</v>
      </c>
      <c r="EI137" s="229">
        <v>0.53990000000000005</v>
      </c>
      <c r="EJ137" s="231">
        <v>181184.18</v>
      </c>
      <c r="EK137" s="231">
        <v>38900.21</v>
      </c>
      <c r="EL137" s="231">
        <v>34805.03</v>
      </c>
      <c r="EM137" s="231">
        <v>1609</v>
      </c>
      <c r="EN137" s="231">
        <v>254889.42</v>
      </c>
      <c r="EO137" s="231">
        <v>37855.410000000003</v>
      </c>
      <c r="EP137" s="231">
        <v>217034.01</v>
      </c>
      <c r="EQ137" s="229">
        <v>5.7332000000000001</v>
      </c>
      <c r="ER137" s="231">
        <v>50208</v>
      </c>
      <c r="ES137" s="231">
        <v>25141</v>
      </c>
      <c r="ET137" s="231">
        <v>109548</v>
      </c>
      <c r="EU137" s="231">
        <v>45110207</v>
      </c>
      <c r="EV137" s="231">
        <v>184897</v>
      </c>
      <c r="EW137" s="231">
        <v>158949</v>
      </c>
      <c r="EX137" s="231">
        <v>25948</v>
      </c>
      <c r="EY137" s="229">
        <v>0.16320000000000001</v>
      </c>
      <c r="EZ137" s="229">
        <v>0.29820000000000002</v>
      </c>
      <c r="FA137" s="227" t="s">
        <v>555</v>
      </c>
      <c r="FB137" s="161">
        <f t="shared" si="2"/>
        <v>87375</v>
      </c>
    </row>
    <row r="138" spans="1:158" ht="17.25" hidden="1" thickBot="1" x14ac:dyDescent="0.3">
      <c r="A138" s="226">
        <v>46029</v>
      </c>
      <c r="B138" s="227" t="s">
        <v>206</v>
      </c>
      <c r="C138" s="227" t="s">
        <v>550</v>
      </c>
      <c r="D138" s="228">
        <v>6500</v>
      </c>
      <c r="E138" s="228">
        <v>116.32</v>
      </c>
      <c r="F138" s="228">
        <v>118.99</v>
      </c>
      <c r="G138" s="228">
        <v>-2.67</v>
      </c>
      <c r="H138" s="229">
        <v>-2.24E-2</v>
      </c>
      <c r="I138" s="228">
        <v>116.05</v>
      </c>
      <c r="J138" s="228">
        <v>118.54</v>
      </c>
      <c r="K138" s="228">
        <v>-2.4900000000000002</v>
      </c>
      <c r="L138" s="229">
        <v>-2.1000000000000001E-2</v>
      </c>
      <c r="M138" s="228">
        <v>116.32</v>
      </c>
      <c r="N138" s="228">
        <v>118.99</v>
      </c>
      <c r="O138" s="228">
        <v>-2.67</v>
      </c>
      <c r="P138" s="229">
        <v>-2.24E-2</v>
      </c>
      <c r="Q138" s="228">
        <v>116.85</v>
      </c>
      <c r="R138" s="228">
        <v>119.44</v>
      </c>
      <c r="S138" s="228">
        <v>-2.59</v>
      </c>
      <c r="T138" s="229">
        <v>-2.1700000000000001E-2</v>
      </c>
      <c r="U138" s="228">
        <v>117.74</v>
      </c>
      <c r="V138" s="228">
        <v>120.36</v>
      </c>
      <c r="W138" s="228">
        <v>-2.62</v>
      </c>
      <c r="X138" s="229">
        <v>-2.18E-2</v>
      </c>
      <c r="Y138" s="228">
        <v>0.27</v>
      </c>
      <c r="Z138" s="228">
        <v>0.45</v>
      </c>
      <c r="AA138" s="228">
        <v>-0.18</v>
      </c>
      <c r="AB138" s="229">
        <v>2.3E-3</v>
      </c>
      <c r="AC138" s="228">
        <v>0.27</v>
      </c>
      <c r="AD138" s="228">
        <v>0.45</v>
      </c>
      <c r="AE138" s="228">
        <v>-0.18</v>
      </c>
      <c r="AF138" s="229">
        <v>2.3E-3</v>
      </c>
      <c r="AG138" s="228">
        <v>0.8</v>
      </c>
      <c r="AH138" s="228">
        <v>0.9</v>
      </c>
      <c r="AI138" s="228">
        <v>-0.1</v>
      </c>
      <c r="AJ138" s="229">
        <v>6.8999999999999999E-3</v>
      </c>
      <c r="AK138" s="228">
        <v>1.69</v>
      </c>
      <c r="AL138" s="228">
        <v>1.82</v>
      </c>
      <c r="AM138" s="228">
        <v>-0.13</v>
      </c>
      <c r="AN138" s="229">
        <v>1.46E-2</v>
      </c>
      <c r="AO138" s="228">
        <v>117.03</v>
      </c>
      <c r="AP138" s="228">
        <v>117.48</v>
      </c>
      <c r="AQ138" s="228">
        <v>0</v>
      </c>
      <c r="AR138" s="230">
        <v>29529500</v>
      </c>
      <c r="AS138" s="230">
        <v>12883000</v>
      </c>
      <c r="AT138" s="230">
        <v>16646500</v>
      </c>
      <c r="AU138" s="229">
        <v>1.2921</v>
      </c>
      <c r="AV138" s="230">
        <v>24661000</v>
      </c>
      <c r="AW138" s="230">
        <v>11680500</v>
      </c>
      <c r="AX138" s="230">
        <v>12980500</v>
      </c>
      <c r="AY138" s="229">
        <v>1.1113</v>
      </c>
      <c r="AZ138" s="230">
        <v>4621500</v>
      </c>
      <c r="BA138" s="230">
        <v>1085500</v>
      </c>
      <c r="BB138" s="230">
        <v>3536000</v>
      </c>
      <c r="BC138" s="229">
        <v>3.2574999999999998</v>
      </c>
      <c r="BD138" s="230">
        <v>247000</v>
      </c>
      <c r="BE138" s="230">
        <v>117000</v>
      </c>
      <c r="BF138" s="230">
        <v>130000</v>
      </c>
      <c r="BG138" s="229">
        <v>1.1111</v>
      </c>
      <c r="BH138" s="230">
        <v>45357000</v>
      </c>
      <c r="BI138" s="230">
        <v>27579500</v>
      </c>
      <c r="BJ138" s="230">
        <v>17777500</v>
      </c>
      <c r="BK138" s="229">
        <v>0.64459999999999995</v>
      </c>
      <c r="BL138" s="230">
        <v>19708000</v>
      </c>
      <c r="BM138" s="230">
        <v>8281000</v>
      </c>
      <c r="BN138" s="230">
        <v>11427000</v>
      </c>
      <c r="BO138" s="229">
        <v>1.3798999999999999</v>
      </c>
      <c r="BP138" s="230">
        <v>94594500</v>
      </c>
      <c r="BQ138" s="230">
        <v>48743500</v>
      </c>
      <c r="BR138" s="230">
        <v>45851000</v>
      </c>
      <c r="BS138" s="229">
        <v>0.94069999999999998</v>
      </c>
      <c r="BT138" s="230">
        <v>10035926</v>
      </c>
      <c r="BU138" s="230">
        <v>9683920</v>
      </c>
      <c r="BV138" s="230">
        <v>352006</v>
      </c>
      <c r="BW138" s="229">
        <v>3.6299999999999999E-2</v>
      </c>
      <c r="BX138" s="230">
        <v>89752000</v>
      </c>
      <c r="BY138" s="230">
        <v>93366000</v>
      </c>
      <c r="BZ138" s="230">
        <v>-3614000</v>
      </c>
      <c r="CA138" s="229">
        <v>-3.8699999999999998E-2</v>
      </c>
      <c r="CB138" s="230">
        <v>83798000</v>
      </c>
      <c r="CC138" s="230">
        <v>90779000</v>
      </c>
      <c r="CD138" s="230">
        <v>-6981000</v>
      </c>
      <c r="CE138" s="229">
        <v>-7.6899999999999996E-2</v>
      </c>
      <c r="CF138" s="230">
        <v>5583500</v>
      </c>
      <c r="CG138" s="230">
        <v>2398500</v>
      </c>
      <c r="CH138" s="230">
        <v>3185000</v>
      </c>
      <c r="CI138" s="229">
        <v>1.3279000000000001</v>
      </c>
      <c r="CJ138" s="230">
        <v>370500</v>
      </c>
      <c r="CK138" s="230">
        <v>188500</v>
      </c>
      <c r="CL138" s="230">
        <v>182000</v>
      </c>
      <c r="CM138" s="229">
        <v>0.96550000000000002</v>
      </c>
      <c r="CN138" s="230">
        <v>50895000</v>
      </c>
      <c r="CO138" s="230">
        <v>43082000</v>
      </c>
      <c r="CP138" s="230">
        <v>7813000</v>
      </c>
      <c r="CQ138" s="229">
        <v>0.18140000000000001</v>
      </c>
      <c r="CR138" s="230">
        <v>24466000</v>
      </c>
      <c r="CS138" s="230">
        <v>22041500</v>
      </c>
      <c r="CT138" s="230">
        <v>2424500</v>
      </c>
      <c r="CU138" s="229">
        <v>0.11</v>
      </c>
      <c r="CV138" s="230">
        <v>165113000</v>
      </c>
      <c r="CW138" s="230">
        <v>158489500</v>
      </c>
      <c r="CX138" s="230">
        <v>6623500</v>
      </c>
      <c r="CY138" s="229">
        <v>4.1799999999999997E-2</v>
      </c>
      <c r="CZ138" s="228">
        <v>33.840000000000003</v>
      </c>
      <c r="DA138" s="228">
        <v>33.130000000000003</v>
      </c>
      <c r="DB138" s="228">
        <v>0.71</v>
      </c>
      <c r="DC138" s="228">
        <v>0.71</v>
      </c>
      <c r="DD138" s="228">
        <v>50.57</v>
      </c>
      <c r="DE138" s="228">
        <v>50.61</v>
      </c>
      <c r="DF138" s="228">
        <v>-16.73</v>
      </c>
      <c r="DG138" s="228">
        <v>-0.04</v>
      </c>
      <c r="DH138" s="228">
        <v>34.61</v>
      </c>
      <c r="DI138" s="228">
        <v>33.4</v>
      </c>
      <c r="DJ138" s="228">
        <v>1.21</v>
      </c>
      <c r="DK138" s="228">
        <v>1.21</v>
      </c>
      <c r="DL138" s="228">
        <v>32.06</v>
      </c>
      <c r="DM138" s="228">
        <v>32.229999999999997</v>
      </c>
      <c r="DN138" s="228">
        <v>-0.17</v>
      </c>
      <c r="DO138" s="228">
        <v>-0.17</v>
      </c>
      <c r="DP138" s="228">
        <v>0.48</v>
      </c>
      <c r="DQ138" s="228">
        <v>0.51</v>
      </c>
      <c r="DR138" s="228">
        <v>-0.03</v>
      </c>
      <c r="DS138" s="229">
        <v>-5.8799999999999998E-2</v>
      </c>
      <c r="DT138" s="228">
        <v>125</v>
      </c>
      <c r="DU138" s="228">
        <v>115</v>
      </c>
      <c r="DV138" s="228">
        <v>0.43</v>
      </c>
      <c r="DW138" s="228">
        <v>0.3</v>
      </c>
      <c r="DX138" s="228">
        <v>0.13</v>
      </c>
      <c r="DY138" s="229">
        <v>0.43330000000000002</v>
      </c>
      <c r="DZ138" s="229">
        <v>6.6299999999999998E-2</v>
      </c>
      <c r="EA138" s="230">
        <v>2587000</v>
      </c>
      <c r="EB138" s="229">
        <v>4.5999999999999999E-3</v>
      </c>
      <c r="EC138" s="229">
        <v>6.6299999999999998E-2</v>
      </c>
      <c r="ED138" s="228">
        <v>0.45</v>
      </c>
      <c r="EE138" s="229">
        <v>3.8E-3</v>
      </c>
      <c r="EF138" s="230">
        <v>3194698</v>
      </c>
      <c r="EG138" s="230">
        <v>3379600</v>
      </c>
      <c r="EH138" s="229">
        <v>-5.4699999999999999E-2</v>
      </c>
      <c r="EI138" s="229">
        <v>0.31830000000000003</v>
      </c>
      <c r="EJ138" s="231">
        <v>56797.85</v>
      </c>
      <c r="EK138" s="231">
        <v>23468.55</v>
      </c>
      <c r="EL138" s="231">
        <v>34581.18</v>
      </c>
      <c r="EM138" s="231">
        <v>2115</v>
      </c>
      <c r="EN138" s="231">
        <v>114847.58</v>
      </c>
      <c r="EO138" s="231">
        <v>60491.73</v>
      </c>
      <c r="EP138" s="231">
        <v>54355.85</v>
      </c>
      <c r="EQ138" s="229">
        <v>0.89859999999999995</v>
      </c>
      <c r="ER138" s="231">
        <v>63996</v>
      </c>
      <c r="ES138" s="231">
        <v>28300</v>
      </c>
      <c r="ET138" s="231">
        <v>104434</v>
      </c>
      <c r="EU138" s="231">
        <v>154894704</v>
      </c>
      <c r="EV138" s="231">
        <v>196730</v>
      </c>
      <c r="EW138" s="231">
        <v>191141</v>
      </c>
      <c r="EX138" s="231">
        <v>5589</v>
      </c>
      <c r="EY138" s="229">
        <v>2.92E-2</v>
      </c>
      <c r="EZ138" s="229">
        <v>1.0660000000000001</v>
      </c>
      <c r="FA138" s="227" t="s">
        <v>568</v>
      </c>
      <c r="FB138" s="161">
        <f t="shared" si="2"/>
        <v>5954000</v>
      </c>
    </row>
    <row r="139" spans="1:158" ht="17.25" hidden="1" thickBot="1" x14ac:dyDescent="0.3">
      <c r="A139" s="226">
        <v>46029</v>
      </c>
      <c r="B139" s="227" t="s">
        <v>168</v>
      </c>
      <c r="C139" s="227" t="s">
        <v>265</v>
      </c>
      <c r="D139" s="228">
        <v>500</v>
      </c>
      <c r="E139" s="231">
        <v>1319.9</v>
      </c>
      <c r="F139" s="231">
        <v>1323.6</v>
      </c>
      <c r="G139" s="228">
        <v>-3.7</v>
      </c>
      <c r="H139" s="229">
        <v>-2.8E-3</v>
      </c>
      <c r="I139" s="231">
        <v>1314.8</v>
      </c>
      <c r="J139" s="231">
        <v>1319.9</v>
      </c>
      <c r="K139" s="228">
        <v>-5.0999999999999996</v>
      </c>
      <c r="L139" s="229">
        <v>-3.8999999999999998E-3</v>
      </c>
      <c r="M139" s="231">
        <v>1319.9</v>
      </c>
      <c r="N139" s="231">
        <v>1323.6</v>
      </c>
      <c r="O139" s="228">
        <v>-3.7</v>
      </c>
      <c r="P139" s="229">
        <v>-2.8E-3</v>
      </c>
      <c r="Q139" s="231">
        <v>1321.8</v>
      </c>
      <c r="R139" s="231">
        <v>1326</v>
      </c>
      <c r="S139" s="228">
        <v>-4.2</v>
      </c>
      <c r="T139" s="229">
        <v>-3.2000000000000002E-3</v>
      </c>
      <c r="U139" s="231">
        <v>1330.9</v>
      </c>
      <c r="V139" s="231">
        <v>1335.2</v>
      </c>
      <c r="W139" s="228">
        <v>-4.3</v>
      </c>
      <c r="X139" s="229">
        <v>-3.2000000000000002E-3</v>
      </c>
      <c r="Y139" s="228">
        <v>5.0999999999999996</v>
      </c>
      <c r="Z139" s="228">
        <v>3.7</v>
      </c>
      <c r="AA139" s="228">
        <v>1.4</v>
      </c>
      <c r="AB139" s="229">
        <v>3.8999999999999998E-3</v>
      </c>
      <c r="AC139" s="228">
        <v>5.0999999999999996</v>
      </c>
      <c r="AD139" s="228">
        <v>3.7</v>
      </c>
      <c r="AE139" s="228">
        <v>1.4</v>
      </c>
      <c r="AF139" s="229">
        <v>3.8999999999999998E-3</v>
      </c>
      <c r="AG139" s="228">
        <v>7</v>
      </c>
      <c r="AH139" s="228">
        <v>6.1</v>
      </c>
      <c r="AI139" s="228">
        <v>0.9</v>
      </c>
      <c r="AJ139" s="229">
        <v>5.3E-3</v>
      </c>
      <c r="AK139" s="228">
        <v>16.100000000000001</v>
      </c>
      <c r="AL139" s="228">
        <v>15.3</v>
      </c>
      <c r="AM139" s="228">
        <v>0.8</v>
      </c>
      <c r="AN139" s="229">
        <v>1.2200000000000001E-2</v>
      </c>
      <c r="AO139" s="231">
        <v>1325.68</v>
      </c>
      <c r="AP139" s="231">
        <v>1328.24</v>
      </c>
      <c r="AQ139" s="228">
        <v>0</v>
      </c>
      <c r="AR139" s="230">
        <v>1599500</v>
      </c>
      <c r="AS139" s="230">
        <v>2120000</v>
      </c>
      <c r="AT139" s="230">
        <v>-520500</v>
      </c>
      <c r="AU139" s="229">
        <v>-0.2455</v>
      </c>
      <c r="AV139" s="230">
        <v>1550000</v>
      </c>
      <c r="AW139" s="230">
        <v>2050000</v>
      </c>
      <c r="AX139" s="230">
        <v>-500000</v>
      </c>
      <c r="AY139" s="229">
        <v>-0.24390000000000001</v>
      </c>
      <c r="AZ139" s="230">
        <v>45000</v>
      </c>
      <c r="BA139" s="230">
        <v>59000</v>
      </c>
      <c r="BB139" s="230">
        <v>-14000</v>
      </c>
      <c r="BC139" s="229">
        <v>-0.23730000000000001</v>
      </c>
      <c r="BD139" s="230">
        <v>4500</v>
      </c>
      <c r="BE139" s="230">
        <v>11000</v>
      </c>
      <c r="BF139" s="230">
        <v>-6500</v>
      </c>
      <c r="BG139" s="229">
        <v>-0.59089999999999998</v>
      </c>
      <c r="BH139" s="230">
        <v>3667500</v>
      </c>
      <c r="BI139" s="230">
        <v>4819500</v>
      </c>
      <c r="BJ139" s="230">
        <v>-1152000</v>
      </c>
      <c r="BK139" s="229">
        <v>-0.23899999999999999</v>
      </c>
      <c r="BL139" s="230">
        <v>1899500</v>
      </c>
      <c r="BM139" s="230">
        <v>2191500</v>
      </c>
      <c r="BN139" s="230">
        <v>-292000</v>
      </c>
      <c r="BO139" s="229">
        <v>-0.13320000000000001</v>
      </c>
      <c r="BP139" s="230">
        <v>7166500</v>
      </c>
      <c r="BQ139" s="230">
        <v>9131000</v>
      </c>
      <c r="BR139" s="230">
        <v>-1964500</v>
      </c>
      <c r="BS139" s="229">
        <v>-0.21510000000000001</v>
      </c>
      <c r="BT139" s="230">
        <v>697072</v>
      </c>
      <c r="BU139" s="230">
        <v>909909</v>
      </c>
      <c r="BV139" s="230">
        <v>-212837</v>
      </c>
      <c r="BW139" s="229">
        <v>-0.2339</v>
      </c>
      <c r="BX139" s="230">
        <v>18294000</v>
      </c>
      <c r="BY139" s="230">
        <v>17971000</v>
      </c>
      <c r="BZ139" s="230">
        <v>323000</v>
      </c>
      <c r="CA139" s="229">
        <v>1.7999999999999999E-2</v>
      </c>
      <c r="CB139" s="230">
        <v>18006000</v>
      </c>
      <c r="CC139" s="230">
        <v>17688500</v>
      </c>
      <c r="CD139" s="230">
        <v>317500</v>
      </c>
      <c r="CE139" s="229">
        <v>1.7899999999999999E-2</v>
      </c>
      <c r="CF139" s="230">
        <v>184000</v>
      </c>
      <c r="CG139" s="230">
        <v>180000</v>
      </c>
      <c r="CH139" s="230">
        <v>4000</v>
      </c>
      <c r="CI139" s="229">
        <v>2.2200000000000001E-2</v>
      </c>
      <c r="CJ139" s="230">
        <v>104000</v>
      </c>
      <c r="CK139" s="230">
        <v>102500</v>
      </c>
      <c r="CL139" s="230">
        <v>1500</v>
      </c>
      <c r="CM139" s="229">
        <v>1.46E-2</v>
      </c>
      <c r="CN139" s="230">
        <v>3210500</v>
      </c>
      <c r="CO139" s="230">
        <v>3227500</v>
      </c>
      <c r="CP139" s="230">
        <v>-17000</v>
      </c>
      <c r="CQ139" s="229">
        <v>-5.3E-3</v>
      </c>
      <c r="CR139" s="230">
        <v>2231500</v>
      </c>
      <c r="CS139" s="230">
        <v>2214000</v>
      </c>
      <c r="CT139" s="230">
        <v>17500</v>
      </c>
      <c r="CU139" s="229">
        <v>7.9000000000000008E-3</v>
      </c>
      <c r="CV139" s="230">
        <v>23736000</v>
      </c>
      <c r="CW139" s="230">
        <v>23412500</v>
      </c>
      <c r="CX139" s="230">
        <v>323500</v>
      </c>
      <c r="CY139" s="229">
        <v>1.38E-2</v>
      </c>
      <c r="CZ139" s="228">
        <v>18.75</v>
      </c>
      <c r="DA139" s="228">
        <v>19.05</v>
      </c>
      <c r="DB139" s="228">
        <v>-0.3</v>
      </c>
      <c r="DC139" s="228">
        <v>-0.3</v>
      </c>
      <c r="DD139" s="228">
        <v>22.75</v>
      </c>
      <c r="DE139" s="228">
        <v>22.8</v>
      </c>
      <c r="DF139" s="228">
        <v>-4</v>
      </c>
      <c r="DG139" s="228">
        <v>-0.05</v>
      </c>
      <c r="DH139" s="228">
        <v>18.41</v>
      </c>
      <c r="DI139" s="228">
        <v>18.71</v>
      </c>
      <c r="DJ139" s="228">
        <v>-0.3</v>
      </c>
      <c r="DK139" s="228">
        <v>-0.3</v>
      </c>
      <c r="DL139" s="228">
        <v>19.399999999999999</v>
      </c>
      <c r="DM139" s="228">
        <v>19.78</v>
      </c>
      <c r="DN139" s="228">
        <v>-0.38</v>
      </c>
      <c r="DO139" s="228">
        <v>-0.38</v>
      </c>
      <c r="DP139" s="228">
        <v>0.7</v>
      </c>
      <c r="DQ139" s="228">
        <v>0.69</v>
      </c>
      <c r="DR139" s="228">
        <v>0.01</v>
      </c>
      <c r="DS139" s="229">
        <v>1.4500000000000001E-2</v>
      </c>
      <c r="DT139" s="231">
        <v>1340</v>
      </c>
      <c r="DU139" s="231">
        <v>1300</v>
      </c>
      <c r="DV139" s="228">
        <v>0.52</v>
      </c>
      <c r="DW139" s="228">
        <v>0.45</v>
      </c>
      <c r="DX139" s="228">
        <v>7.0000000000000007E-2</v>
      </c>
      <c r="DY139" s="229">
        <v>0.15559999999999999</v>
      </c>
      <c r="DZ139" s="229">
        <v>1.5699999999999999E-2</v>
      </c>
      <c r="EA139" s="230">
        <v>282500</v>
      </c>
      <c r="EB139" s="229">
        <v>1.4E-3</v>
      </c>
      <c r="EC139" s="229">
        <v>1.5699999999999999E-2</v>
      </c>
      <c r="ED139" s="228">
        <v>2.56</v>
      </c>
      <c r="EE139" s="229">
        <v>1.9E-3</v>
      </c>
      <c r="EF139" s="230">
        <v>338954</v>
      </c>
      <c r="EG139" s="230">
        <v>461884</v>
      </c>
      <c r="EH139" s="229">
        <v>-0.2661</v>
      </c>
      <c r="EI139" s="229">
        <v>0.48630000000000001</v>
      </c>
      <c r="EJ139" s="231">
        <v>49921.2</v>
      </c>
      <c r="EK139" s="231">
        <v>24737.8</v>
      </c>
      <c r="EL139" s="231">
        <v>21205.75</v>
      </c>
      <c r="EM139" s="231">
        <v>3976</v>
      </c>
      <c r="EN139" s="231">
        <v>95864.75</v>
      </c>
      <c r="EO139" s="231">
        <v>121793.58</v>
      </c>
      <c r="EP139" s="231">
        <v>-25928.83</v>
      </c>
      <c r="EQ139" s="229">
        <v>-0.21290000000000001</v>
      </c>
      <c r="ER139" s="231">
        <v>43024</v>
      </c>
      <c r="ES139" s="231">
        <v>28242</v>
      </c>
      <c r="ET139" s="231">
        <v>241477</v>
      </c>
      <c r="EU139" s="231">
        <v>71801274</v>
      </c>
      <c r="EV139" s="231">
        <v>312744</v>
      </c>
      <c r="EW139" s="231">
        <v>309106</v>
      </c>
      <c r="EX139" s="231">
        <v>3638</v>
      </c>
      <c r="EY139" s="229">
        <v>1.18E-2</v>
      </c>
      <c r="EZ139" s="229">
        <v>0.3306</v>
      </c>
      <c r="FA139" s="227" t="s">
        <v>567</v>
      </c>
      <c r="FB139" s="161">
        <f>BX139-CB139</f>
        <v>288000</v>
      </c>
    </row>
    <row r="140" spans="1:158" ht="17.25" hidden="1" thickBot="1" x14ac:dyDescent="0.3">
      <c r="A140" s="226">
        <v>46029</v>
      </c>
      <c r="B140" s="227" t="s">
        <v>161</v>
      </c>
      <c r="C140" s="227" t="s">
        <v>585</v>
      </c>
      <c r="D140" s="228">
        <v>6400</v>
      </c>
      <c r="E140" s="228">
        <v>83.77</v>
      </c>
      <c r="F140" s="228">
        <v>83.7</v>
      </c>
      <c r="G140" s="228">
        <v>7.0000000000000007E-2</v>
      </c>
      <c r="H140" s="229">
        <v>8.0000000000000004E-4</v>
      </c>
      <c r="I140" s="228">
        <v>83.66</v>
      </c>
      <c r="J140" s="228">
        <v>83.53</v>
      </c>
      <c r="K140" s="228">
        <v>0.13</v>
      </c>
      <c r="L140" s="229">
        <v>1.6000000000000001E-3</v>
      </c>
      <c r="M140" s="228">
        <v>83.77</v>
      </c>
      <c r="N140" s="228">
        <v>83.7</v>
      </c>
      <c r="O140" s="228">
        <v>7.0000000000000007E-2</v>
      </c>
      <c r="P140" s="229">
        <v>8.0000000000000004E-4</v>
      </c>
      <c r="Q140" s="228">
        <v>83.08</v>
      </c>
      <c r="R140" s="228">
        <v>83.02</v>
      </c>
      <c r="S140" s="228">
        <v>0.06</v>
      </c>
      <c r="T140" s="229">
        <v>6.9999999999999999E-4</v>
      </c>
      <c r="U140" s="228">
        <v>83.51</v>
      </c>
      <c r="V140" s="228">
        <v>83.33</v>
      </c>
      <c r="W140" s="228">
        <v>0.18</v>
      </c>
      <c r="X140" s="229">
        <v>2.2000000000000001E-3</v>
      </c>
      <c r="Y140" s="228">
        <v>0.11</v>
      </c>
      <c r="Z140" s="228">
        <v>0.17</v>
      </c>
      <c r="AA140" s="228">
        <v>-0.06</v>
      </c>
      <c r="AB140" s="229">
        <v>1.2999999999999999E-3</v>
      </c>
      <c r="AC140" s="228">
        <v>0.11</v>
      </c>
      <c r="AD140" s="228">
        <v>0.17</v>
      </c>
      <c r="AE140" s="228">
        <v>-0.06</v>
      </c>
      <c r="AF140" s="229">
        <v>1.2999999999999999E-3</v>
      </c>
      <c r="AG140" s="228">
        <v>-0.57999999999999996</v>
      </c>
      <c r="AH140" s="228">
        <v>-0.51</v>
      </c>
      <c r="AI140" s="228">
        <v>-7.0000000000000007E-2</v>
      </c>
      <c r="AJ140" s="229">
        <v>-6.8999999999999999E-3</v>
      </c>
      <c r="AK140" s="228">
        <v>-0.15</v>
      </c>
      <c r="AL140" s="228">
        <v>-0.2</v>
      </c>
      <c r="AM140" s="228">
        <v>0.05</v>
      </c>
      <c r="AN140" s="229">
        <v>-1.8E-3</v>
      </c>
      <c r="AO140" s="228">
        <v>83.5</v>
      </c>
      <c r="AP140" s="228">
        <v>82.77</v>
      </c>
      <c r="AQ140" s="228">
        <v>0</v>
      </c>
      <c r="AR140" s="230">
        <v>14048000</v>
      </c>
      <c r="AS140" s="230">
        <v>9011200</v>
      </c>
      <c r="AT140" s="230">
        <v>5036800</v>
      </c>
      <c r="AU140" s="229">
        <v>0.55889999999999995</v>
      </c>
      <c r="AV140" s="230">
        <v>12985600</v>
      </c>
      <c r="AW140" s="230">
        <v>8147200</v>
      </c>
      <c r="AX140" s="230">
        <v>4838400</v>
      </c>
      <c r="AY140" s="229">
        <v>0.59389999999999998</v>
      </c>
      <c r="AZ140" s="230">
        <v>1024000</v>
      </c>
      <c r="BA140" s="230">
        <v>819200</v>
      </c>
      <c r="BB140" s="230">
        <v>204800</v>
      </c>
      <c r="BC140" s="229">
        <v>0.25</v>
      </c>
      <c r="BD140" s="230">
        <v>38400</v>
      </c>
      <c r="BE140" s="230">
        <v>44800</v>
      </c>
      <c r="BF140" s="230">
        <v>-6400</v>
      </c>
      <c r="BG140" s="229">
        <v>-0.1429</v>
      </c>
      <c r="BH140" s="230">
        <v>25062400</v>
      </c>
      <c r="BI140" s="230">
        <v>20352000</v>
      </c>
      <c r="BJ140" s="230">
        <v>4710400</v>
      </c>
      <c r="BK140" s="229">
        <v>0.23139999999999999</v>
      </c>
      <c r="BL140" s="230">
        <v>9964800</v>
      </c>
      <c r="BM140" s="230">
        <v>8396800</v>
      </c>
      <c r="BN140" s="230">
        <v>1568000</v>
      </c>
      <c r="BO140" s="229">
        <v>0.1867</v>
      </c>
      <c r="BP140" s="230">
        <v>49075200</v>
      </c>
      <c r="BQ140" s="230">
        <v>37760000</v>
      </c>
      <c r="BR140" s="230">
        <v>11315200</v>
      </c>
      <c r="BS140" s="229">
        <v>0.29970000000000002</v>
      </c>
      <c r="BT140" s="230">
        <v>12826387</v>
      </c>
      <c r="BU140" s="230">
        <v>12151427</v>
      </c>
      <c r="BV140" s="230">
        <v>674960</v>
      </c>
      <c r="BW140" s="229">
        <v>5.5500000000000001E-2</v>
      </c>
      <c r="BX140" s="230">
        <v>65292800</v>
      </c>
      <c r="BY140" s="230">
        <v>68992000</v>
      </c>
      <c r="BZ140" s="230">
        <v>-3699200</v>
      </c>
      <c r="CA140" s="229">
        <v>-5.3600000000000002E-2</v>
      </c>
      <c r="CB140" s="230">
        <v>60268800</v>
      </c>
      <c r="CC140" s="230">
        <v>64083200</v>
      </c>
      <c r="CD140" s="230">
        <v>-3814400</v>
      </c>
      <c r="CE140" s="229">
        <v>-5.9499999999999997E-2</v>
      </c>
      <c r="CF140" s="230">
        <v>4761600</v>
      </c>
      <c r="CG140" s="230">
        <v>4646400</v>
      </c>
      <c r="CH140" s="230">
        <v>115200</v>
      </c>
      <c r="CI140" s="229">
        <v>2.4799999999999999E-2</v>
      </c>
      <c r="CJ140" s="230">
        <v>262400</v>
      </c>
      <c r="CK140" s="230">
        <v>262400</v>
      </c>
      <c r="CL140" s="228">
        <v>0</v>
      </c>
      <c r="CM140" s="229">
        <v>0</v>
      </c>
      <c r="CN140" s="230">
        <v>34720000</v>
      </c>
      <c r="CO140" s="230">
        <v>33401600</v>
      </c>
      <c r="CP140" s="230">
        <v>1318400</v>
      </c>
      <c r="CQ140" s="229">
        <v>3.95E-2</v>
      </c>
      <c r="CR140" s="230">
        <v>18444800</v>
      </c>
      <c r="CS140" s="230">
        <v>18374400</v>
      </c>
      <c r="CT140" s="230">
        <v>70400</v>
      </c>
      <c r="CU140" s="229">
        <v>3.8E-3</v>
      </c>
      <c r="CV140" s="230">
        <v>118457600</v>
      </c>
      <c r="CW140" s="230">
        <v>120768000</v>
      </c>
      <c r="CX140" s="230">
        <v>-2310400</v>
      </c>
      <c r="CY140" s="229">
        <v>-1.9099999999999999E-2</v>
      </c>
      <c r="CZ140" s="228">
        <v>26.83</v>
      </c>
      <c r="DA140" s="228">
        <v>26.92</v>
      </c>
      <c r="DB140" s="228">
        <v>-0.09</v>
      </c>
      <c r="DC140" s="228">
        <v>-0.09</v>
      </c>
      <c r="DD140" s="228">
        <v>36.450000000000003</v>
      </c>
      <c r="DE140" s="228">
        <v>36.54</v>
      </c>
      <c r="DF140" s="228">
        <v>-9.6199999999999992</v>
      </c>
      <c r="DG140" s="228">
        <v>-0.09</v>
      </c>
      <c r="DH140" s="228">
        <v>26.97</v>
      </c>
      <c r="DI140" s="228">
        <v>27.22</v>
      </c>
      <c r="DJ140" s="228">
        <v>-0.25</v>
      </c>
      <c r="DK140" s="228">
        <v>-0.25</v>
      </c>
      <c r="DL140" s="228">
        <v>26.47</v>
      </c>
      <c r="DM140" s="228">
        <v>26.19</v>
      </c>
      <c r="DN140" s="228">
        <v>0.28000000000000003</v>
      </c>
      <c r="DO140" s="228">
        <v>0.28000000000000003</v>
      </c>
      <c r="DP140" s="228">
        <v>0.53</v>
      </c>
      <c r="DQ140" s="228">
        <v>0.55000000000000004</v>
      </c>
      <c r="DR140" s="228">
        <v>-0.02</v>
      </c>
      <c r="DS140" s="229">
        <v>-3.6400000000000002E-2</v>
      </c>
      <c r="DT140" s="228">
        <v>90</v>
      </c>
      <c r="DU140" s="228">
        <v>80</v>
      </c>
      <c r="DV140" s="228">
        <v>0.4</v>
      </c>
      <c r="DW140" s="228">
        <v>0.41</v>
      </c>
      <c r="DX140" s="228">
        <v>-0.01</v>
      </c>
      <c r="DY140" s="229">
        <v>-2.4400000000000002E-2</v>
      </c>
      <c r="DZ140" s="229">
        <v>7.6899999999999996E-2</v>
      </c>
      <c r="EA140" s="230">
        <v>4908800</v>
      </c>
      <c r="EB140" s="229">
        <v>-8.2000000000000007E-3</v>
      </c>
      <c r="EC140" s="229">
        <v>7.6899999999999996E-2</v>
      </c>
      <c r="ED140" s="228">
        <v>-0.73</v>
      </c>
      <c r="EE140" s="229">
        <v>-8.6999999999999994E-3</v>
      </c>
      <c r="EF140" s="230">
        <v>6274431</v>
      </c>
      <c r="EG140" s="230">
        <v>4992607</v>
      </c>
      <c r="EH140" s="229">
        <v>0.25669999999999998</v>
      </c>
      <c r="EI140" s="229">
        <v>0.48920000000000002</v>
      </c>
      <c r="EJ140" s="231">
        <v>21959.119999999999</v>
      </c>
      <c r="EK140" s="231">
        <v>8148.01</v>
      </c>
      <c r="EL140" s="231">
        <v>11722.81</v>
      </c>
      <c r="EM140" s="231">
        <v>2191</v>
      </c>
      <c r="EN140" s="231">
        <v>41829.94</v>
      </c>
      <c r="EO140" s="231">
        <v>32423.56</v>
      </c>
      <c r="EP140" s="231">
        <v>9406.3799999999992</v>
      </c>
      <c r="EQ140" s="229">
        <v>0.29010000000000002</v>
      </c>
      <c r="ER140" s="231">
        <v>29888</v>
      </c>
      <c r="ES140" s="231">
        <v>14593</v>
      </c>
      <c r="ET140" s="231">
        <v>54662</v>
      </c>
      <c r="EU140" s="231">
        <v>491233252</v>
      </c>
      <c r="EV140" s="231">
        <v>99144</v>
      </c>
      <c r="EW140" s="231">
        <v>100946</v>
      </c>
      <c r="EX140" s="231">
        <v>-1802</v>
      </c>
      <c r="EY140" s="229">
        <v>-1.7899999999999999E-2</v>
      </c>
      <c r="EZ140" s="229">
        <v>0.24110000000000001</v>
      </c>
      <c r="FA140" s="227" t="s">
        <v>556</v>
      </c>
      <c r="FB140" s="161">
        <f>BX140-CB140</f>
        <v>5024000</v>
      </c>
    </row>
    <row r="141" spans="1:158" ht="17.25" hidden="1" thickBot="1" x14ac:dyDescent="0.3">
      <c r="A141" s="226">
        <v>46029</v>
      </c>
      <c r="B141" s="227" t="s">
        <v>181</v>
      </c>
      <c r="C141" s="227" t="s">
        <v>266</v>
      </c>
      <c r="D141" s="228">
        <v>65</v>
      </c>
      <c r="E141" s="231">
        <v>26235.3</v>
      </c>
      <c r="F141" s="231">
        <v>26285.1</v>
      </c>
      <c r="G141" s="228">
        <v>-49.8</v>
      </c>
      <c r="H141" s="229">
        <v>-1.9E-3</v>
      </c>
      <c r="I141" s="231">
        <v>26140.75</v>
      </c>
      <c r="J141" s="231">
        <v>26178.7</v>
      </c>
      <c r="K141" s="228">
        <v>-37.950000000000003</v>
      </c>
      <c r="L141" s="229">
        <v>-1.4E-3</v>
      </c>
      <c r="M141" s="231">
        <v>26235.3</v>
      </c>
      <c r="N141" s="231">
        <v>26285.1</v>
      </c>
      <c r="O141" s="228">
        <v>-49.8</v>
      </c>
      <c r="P141" s="229">
        <v>-1.9E-3</v>
      </c>
      <c r="Q141" s="231">
        <v>26381.7</v>
      </c>
      <c r="R141" s="231">
        <v>26427.7</v>
      </c>
      <c r="S141" s="228">
        <v>-46</v>
      </c>
      <c r="T141" s="229">
        <v>-1.6999999999999999E-3</v>
      </c>
      <c r="U141" s="231">
        <v>26567.7</v>
      </c>
      <c r="V141" s="231">
        <v>26610.5</v>
      </c>
      <c r="W141" s="228">
        <v>-42.8</v>
      </c>
      <c r="X141" s="229">
        <v>-1.6000000000000001E-3</v>
      </c>
      <c r="Y141" s="228">
        <v>94.55</v>
      </c>
      <c r="Z141" s="228">
        <v>106.4</v>
      </c>
      <c r="AA141" s="228">
        <v>-11.85</v>
      </c>
      <c r="AB141" s="229">
        <v>3.5999999999999999E-3</v>
      </c>
      <c r="AC141" s="228">
        <v>94.55</v>
      </c>
      <c r="AD141" s="228">
        <v>106.4</v>
      </c>
      <c r="AE141" s="228">
        <v>-11.85</v>
      </c>
      <c r="AF141" s="229">
        <v>3.5999999999999999E-3</v>
      </c>
      <c r="AG141" s="228">
        <v>240.95</v>
      </c>
      <c r="AH141" s="228">
        <v>249</v>
      </c>
      <c r="AI141" s="228">
        <v>-8.0500000000000007</v>
      </c>
      <c r="AJ141" s="229">
        <v>9.1999999999999998E-3</v>
      </c>
      <c r="AK141" s="228">
        <v>426.95</v>
      </c>
      <c r="AL141" s="228">
        <v>431.8</v>
      </c>
      <c r="AM141" s="228">
        <v>-4.8499999999999996</v>
      </c>
      <c r="AN141" s="229">
        <v>1.6299999999999999E-2</v>
      </c>
      <c r="AO141" s="231">
        <v>26233.91</v>
      </c>
      <c r="AP141" s="231">
        <v>26373.200000000001</v>
      </c>
      <c r="AQ141" s="228">
        <v>0</v>
      </c>
      <c r="AR141" s="230">
        <v>3974620</v>
      </c>
      <c r="AS141" s="230">
        <v>4665570</v>
      </c>
      <c r="AT141" s="230">
        <v>-690950</v>
      </c>
      <c r="AU141" s="229">
        <v>-0.14810000000000001</v>
      </c>
      <c r="AV141" s="230">
        <v>3569800</v>
      </c>
      <c r="AW141" s="230">
        <v>4330495</v>
      </c>
      <c r="AX141" s="230">
        <v>-760695</v>
      </c>
      <c r="AY141" s="229">
        <v>-0.1757</v>
      </c>
      <c r="AZ141" s="230">
        <v>275925</v>
      </c>
      <c r="BA141" s="230">
        <v>238940</v>
      </c>
      <c r="BB141" s="230">
        <v>36985</v>
      </c>
      <c r="BC141" s="229">
        <v>0.15479999999999999</v>
      </c>
      <c r="BD141" s="230">
        <v>128895</v>
      </c>
      <c r="BE141" s="230">
        <v>96135</v>
      </c>
      <c r="BF141" s="230">
        <v>32760</v>
      </c>
      <c r="BG141" s="229">
        <v>0.34079999999999999</v>
      </c>
      <c r="BH141" s="230">
        <v>2208350885</v>
      </c>
      <c r="BI141" s="230">
        <v>10590386040</v>
      </c>
      <c r="BJ141" s="230">
        <v>-8382035155</v>
      </c>
      <c r="BK141" s="229">
        <v>-0.79149999999999998</v>
      </c>
      <c r="BL141" s="230">
        <v>2159847950</v>
      </c>
      <c r="BM141" s="230">
        <v>11256894090</v>
      </c>
      <c r="BN141" s="230">
        <v>-9097046140</v>
      </c>
      <c r="BO141" s="229">
        <v>-0.80810000000000004</v>
      </c>
      <c r="BP141" s="230">
        <v>4372173455</v>
      </c>
      <c r="BQ141" s="230">
        <v>21851945700</v>
      </c>
      <c r="BR141" s="230">
        <v>-17479772245</v>
      </c>
      <c r="BS141" s="229">
        <v>-0.79990000000000006</v>
      </c>
      <c r="BT141" s="228">
        <v>0</v>
      </c>
      <c r="BU141" s="228">
        <v>0</v>
      </c>
      <c r="BV141" s="228">
        <v>0</v>
      </c>
      <c r="BW141" s="229">
        <v>0</v>
      </c>
      <c r="BX141" s="230">
        <v>15707445</v>
      </c>
      <c r="BY141" s="230">
        <v>15630420</v>
      </c>
      <c r="BZ141" s="230">
        <v>77025</v>
      </c>
      <c r="CA141" s="229">
        <v>4.8999999999999998E-3</v>
      </c>
      <c r="CB141" s="230">
        <v>14074125</v>
      </c>
      <c r="CC141" s="230">
        <v>14064115</v>
      </c>
      <c r="CD141" s="230">
        <v>10010</v>
      </c>
      <c r="CE141" s="229">
        <v>6.9999999999999999E-4</v>
      </c>
      <c r="CF141" s="230">
        <v>1330680</v>
      </c>
      <c r="CG141" s="230">
        <v>1289795</v>
      </c>
      <c r="CH141" s="230">
        <v>40885</v>
      </c>
      <c r="CI141" s="229">
        <v>3.1699999999999999E-2</v>
      </c>
      <c r="CJ141" s="230">
        <v>302640</v>
      </c>
      <c r="CK141" s="230">
        <v>276510</v>
      </c>
      <c r="CL141" s="230">
        <v>26130</v>
      </c>
      <c r="CM141" s="229">
        <v>9.4500000000000001E-2</v>
      </c>
      <c r="CN141" s="230">
        <v>212515535</v>
      </c>
      <c r="CO141" s="230">
        <v>162455840</v>
      </c>
      <c r="CP141" s="230">
        <v>50059695</v>
      </c>
      <c r="CQ141" s="229">
        <v>0.30809999999999998</v>
      </c>
      <c r="CR141" s="230">
        <v>188515040</v>
      </c>
      <c r="CS141" s="230">
        <v>150132580</v>
      </c>
      <c r="CT141" s="230">
        <v>38382460</v>
      </c>
      <c r="CU141" s="229">
        <v>0.25569999999999998</v>
      </c>
      <c r="CV141" s="230">
        <v>416738020</v>
      </c>
      <c r="CW141" s="230">
        <v>635015005</v>
      </c>
      <c r="CX141" s="230">
        <v>-218276985</v>
      </c>
      <c r="CY141" s="229">
        <v>-0.34370000000000001</v>
      </c>
      <c r="CZ141" s="228">
        <v>8.0399999999999991</v>
      </c>
      <c r="DA141" s="228">
        <v>8.73</v>
      </c>
      <c r="DB141" s="228">
        <v>-0.69</v>
      </c>
      <c r="DC141" s="228">
        <v>-0.69</v>
      </c>
      <c r="DD141" s="228">
        <v>13.81</v>
      </c>
      <c r="DE141" s="228">
        <v>13.84</v>
      </c>
      <c r="DF141" s="228">
        <v>-5.77</v>
      </c>
      <c r="DG141" s="228">
        <v>-0.03</v>
      </c>
      <c r="DH141" s="228">
        <v>7.91</v>
      </c>
      <c r="DI141" s="228">
        <v>8.5500000000000007</v>
      </c>
      <c r="DJ141" s="228">
        <v>-0.64</v>
      </c>
      <c r="DK141" s="228">
        <v>-0.64</v>
      </c>
      <c r="DL141" s="228">
        <v>8.17</v>
      </c>
      <c r="DM141" s="228">
        <v>8.94</v>
      </c>
      <c r="DN141" s="228">
        <v>-0.77</v>
      </c>
      <c r="DO141" s="228">
        <v>-0.77</v>
      </c>
      <c r="DP141" s="228">
        <v>0.89</v>
      </c>
      <c r="DQ141" s="228">
        <v>0.92</v>
      </c>
      <c r="DR141" s="228">
        <v>-0.03</v>
      </c>
      <c r="DS141" s="229">
        <v>-3.2599999999999997E-2</v>
      </c>
      <c r="DT141" s="231">
        <v>26500</v>
      </c>
      <c r="DU141" s="231">
        <v>25500</v>
      </c>
      <c r="DV141" s="228">
        <v>0.98</v>
      </c>
      <c r="DW141" s="228">
        <v>1.06</v>
      </c>
      <c r="DX141" s="228">
        <v>-0.08</v>
      </c>
      <c r="DY141" s="229">
        <v>-7.5499999999999998E-2</v>
      </c>
      <c r="DZ141" s="229">
        <v>0.104</v>
      </c>
      <c r="EA141" s="230">
        <v>1566305</v>
      </c>
      <c r="EB141" s="229">
        <v>5.5999999999999999E-3</v>
      </c>
      <c r="EC141" s="229">
        <v>0.104</v>
      </c>
      <c r="ED141" s="228">
        <v>139.29</v>
      </c>
      <c r="EE141" s="229">
        <v>5.3E-3</v>
      </c>
      <c r="EF141" s="228">
        <v>0</v>
      </c>
      <c r="EG141" s="228">
        <v>0</v>
      </c>
      <c r="EH141" s="229">
        <v>0</v>
      </c>
      <c r="EI141" s="229">
        <v>0</v>
      </c>
      <c r="EJ141" s="231">
        <v>584532347.26999998</v>
      </c>
      <c r="EK141" s="231">
        <v>561648472.30999994</v>
      </c>
      <c r="EL141" s="231">
        <v>1043498.07</v>
      </c>
      <c r="EM141" s="231">
        <v>68678</v>
      </c>
      <c r="EN141" s="231">
        <v>1147224317.6500001</v>
      </c>
      <c r="EO141" s="231">
        <v>5728674976.7299995</v>
      </c>
      <c r="EP141" s="231">
        <v>-4581450659.0799999</v>
      </c>
      <c r="EQ141" s="229">
        <v>-0.79969999999999997</v>
      </c>
      <c r="ER141" s="231">
        <v>56650521</v>
      </c>
      <c r="ES141" s="231">
        <v>48293017</v>
      </c>
      <c r="ET141" s="231">
        <v>4123849</v>
      </c>
      <c r="EU141" s="228">
        <v>0</v>
      </c>
      <c r="EV141" s="231">
        <v>109067387</v>
      </c>
      <c r="EW141" s="231">
        <v>85933122</v>
      </c>
      <c r="EX141" s="231">
        <v>23134265</v>
      </c>
      <c r="EY141" s="229">
        <v>0.26919999999999999</v>
      </c>
      <c r="EZ141" s="229">
        <v>0</v>
      </c>
      <c r="FA141" s="227" t="s">
        <v>567</v>
      </c>
      <c r="FB141" s="161">
        <f>BX215-CB215</f>
        <v>289800</v>
      </c>
    </row>
    <row r="142" spans="1:158" ht="17.25" hidden="1" thickBot="1" x14ac:dyDescent="0.3">
      <c r="A142" s="226">
        <v>46029</v>
      </c>
      <c r="B142" s="227" t="s">
        <v>181</v>
      </c>
      <c r="C142" s="227" t="s">
        <v>566</v>
      </c>
      <c r="D142" s="228">
        <v>25</v>
      </c>
      <c r="E142" s="231">
        <v>70906</v>
      </c>
      <c r="F142" s="231">
        <v>70841.399999999994</v>
      </c>
      <c r="G142" s="228">
        <v>64.599999999999994</v>
      </c>
      <c r="H142" s="229">
        <v>8.9999999999999998E-4</v>
      </c>
      <c r="I142" s="231">
        <v>70690.600000000006</v>
      </c>
      <c r="J142" s="231">
        <v>70602.100000000006</v>
      </c>
      <c r="K142" s="228">
        <v>88.5</v>
      </c>
      <c r="L142" s="229">
        <v>1.2999999999999999E-3</v>
      </c>
      <c r="M142" s="231">
        <v>70906</v>
      </c>
      <c r="N142" s="231">
        <v>70841.399999999994</v>
      </c>
      <c r="O142" s="228">
        <v>64.599999999999994</v>
      </c>
      <c r="P142" s="229">
        <v>8.9999999999999998E-4</v>
      </c>
      <c r="Q142" s="231">
        <v>71209</v>
      </c>
      <c r="R142" s="231">
        <v>71216.800000000003</v>
      </c>
      <c r="S142" s="228">
        <v>-7.8</v>
      </c>
      <c r="T142" s="229">
        <v>-1E-4</v>
      </c>
      <c r="U142" s="228">
        <v>0</v>
      </c>
      <c r="V142" s="228">
        <v>0</v>
      </c>
      <c r="W142" s="228">
        <v>0</v>
      </c>
      <c r="X142" s="229">
        <v>0</v>
      </c>
      <c r="Y142" s="228">
        <v>215.4</v>
      </c>
      <c r="Z142" s="228">
        <v>239.3</v>
      </c>
      <c r="AA142" s="228">
        <v>-23.9</v>
      </c>
      <c r="AB142" s="229">
        <v>3.0000000000000001E-3</v>
      </c>
      <c r="AC142" s="228">
        <v>215.4</v>
      </c>
      <c r="AD142" s="228">
        <v>239.3</v>
      </c>
      <c r="AE142" s="228">
        <v>-23.9</v>
      </c>
      <c r="AF142" s="229">
        <v>3.0000000000000001E-3</v>
      </c>
      <c r="AG142" s="228">
        <v>518.4</v>
      </c>
      <c r="AH142" s="228">
        <v>614.70000000000005</v>
      </c>
      <c r="AI142" s="228">
        <v>-96.3</v>
      </c>
      <c r="AJ142" s="229">
        <v>7.3000000000000001E-3</v>
      </c>
      <c r="AK142" s="228">
        <v>0</v>
      </c>
      <c r="AL142" s="228">
        <v>0</v>
      </c>
      <c r="AM142" s="228">
        <v>0</v>
      </c>
      <c r="AN142" s="229">
        <v>0</v>
      </c>
      <c r="AO142" s="231">
        <v>70843.98</v>
      </c>
      <c r="AP142" s="231">
        <v>71218.89</v>
      </c>
      <c r="AQ142" s="228">
        <v>0</v>
      </c>
      <c r="AR142" s="230">
        <v>5175</v>
      </c>
      <c r="AS142" s="230">
        <v>6050</v>
      </c>
      <c r="AT142" s="228">
        <v>-875</v>
      </c>
      <c r="AU142" s="229">
        <v>-0.14460000000000001</v>
      </c>
      <c r="AV142" s="230">
        <v>4275</v>
      </c>
      <c r="AW142" s="230">
        <v>5900</v>
      </c>
      <c r="AX142" s="230">
        <v>-1625</v>
      </c>
      <c r="AY142" s="229">
        <v>-0.27539999999999998</v>
      </c>
      <c r="AZ142" s="228">
        <v>900</v>
      </c>
      <c r="BA142" s="228">
        <v>150</v>
      </c>
      <c r="BB142" s="228">
        <v>750</v>
      </c>
      <c r="BC142" s="229">
        <v>5</v>
      </c>
      <c r="BD142" s="228">
        <v>0</v>
      </c>
      <c r="BE142" s="228">
        <v>0</v>
      </c>
      <c r="BF142" s="228">
        <v>0</v>
      </c>
      <c r="BG142" s="229">
        <v>0</v>
      </c>
      <c r="BH142" s="230">
        <v>4925</v>
      </c>
      <c r="BI142" s="230">
        <v>7575</v>
      </c>
      <c r="BJ142" s="230">
        <v>-2650</v>
      </c>
      <c r="BK142" s="229">
        <v>-0.3498</v>
      </c>
      <c r="BL142" s="230">
        <v>5725</v>
      </c>
      <c r="BM142" s="230">
        <v>3400</v>
      </c>
      <c r="BN142" s="230">
        <v>2325</v>
      </c>
      <c r="BO142" s="229">
        <v>0.68379999999999996</v>
      </c>
      <c r="BP142" s="230">
        <v>15825</v>
      </c>
      <c r="BQ142" s="230">
        <v>17025</v>
      </c>
      <c r="BR142" s="230">
        <v>-1200</v>
      </c>
      <c r="BS142" s="229">
        <v>-7.0499999999999993E-2</v>
      </c>
      <c r="BT142" s="228">
        <v>0</v>
      </c>
      <c r="BU142" s="228">
        <v>0</v>
      </c>
      <c r="BV142" s="228">
        <v>0</v>
      </c>
      <c r="BW142" s="229">
        <v>0</v>
      </c>
      <c r="BX142" s="230">
        <v>21625</v>
      </c>
      <c r="BY142" s="230">
        <v>21600</v>
      </c>
      <c r="BZ142" s="228">
        <v>25</v>
      </c>
      <c r="CA142" s="229">
        <v>1.1999999999999999E-3</v>
      </c>
      <c r="CB142" s="230">
        <v>19825</v>
      </c>
      <c r="CC142" s="230">
        <v>20350</v>
      </c>
      <c r="CD142" s="228">
        <v>-525</v>
      </c>
      <c r="CE142" s="229">
        <v>-2.58E-2</v>
      </c>
      <c r="CF142" s="230">
        <v>1800</v>
      </c>
      <c r="CG142" s="230">
        <v>1250</v>
      </c>
      <c r="CH142" s="228">
        <v>550</v>
      </c>
      <c r="CI142" s="229">
        <v>0.44</v>
      </c>
      <c r="CJ142" s="228">
        <v>0</v>
      </c>
      <c r="CK142" s="228">
        <v>0</v>
      </c>
      <c r="CL142" s="228">
        <v>0</v>
      </c>
      <c r="CM142" s="229">
        <v>0</v>
      </c>
      <c r="CN142" s="230">
        <v>4200</v>
      </c>
      <c r="CO142" s="230">
        <v>3700</v>
      </c>
      <c r="CP142" s="228">
        <v>500</v>
      </c>
      <c r="CQ142" s="229">
        <v>0.1351</v>
      </c>
      <c r="CR142" s="230">
        <v>4600</v>
      </c>
      <c r="CS142" s="230">
        <v>3300</v>
      </c>
      <c r="CT142" s="230">
        <v>1300</v>
      </c>
      <c r="CU142" s="229">
        <v>0.39389999999999997</v>
      </c>
      <c r="CV142" s="230">
        <v>30425</v>
      </c>
      <c r="CW142" s="230">
        <v>28600</v>
      </c>
      <c r="CX142" s="230">
        <v>1825</v>
      </c>
      <c r="CY142" s="229">
        <v>6.3799999999999996E-2</v>
      </c>
      <c r="CZ142" s="228">
        <v>12.25</v>
      </c>
      <c r="DA142" s="228">
        <v>12.41</v>
      </c>
      <c r="DB142" s="228">
        <v>-0.16</v>
      </c>
      <c r="DC142" s="228">
        <v>-0.16</v>
      </c>
      <c r="DD142" s="228">
        <v>19.440000000000001</v>
      </c>
      <c r="DE142" s="228">
        <v>19.489999999999998</v>
      </c>
      <c r="DF142" s="228">
        <v>-7.19</v>
      </c>
      <c r="DG142" s="228">
        <v>-0.05</v>
      </c>
      <c r="DH142" s="228">
        <v>11.48</v>
      </c>
      <c r="DI142" s="228">
        <v>12.12</v>
      </c>
      <c r="DJ142" s="228">
        <v>-0.64</v>
      </c>
      <c r="DK142" s="228">
        <v>-0.64</v>
      </c>
      <c r="DL142" s="228">
        <v>12.9</v>
      </c>
      <c r="DM142" s="228">
        <v>13.06</v>
      </c>
      <c r="DN142" s="228">
        <v>-0.16</v>
      </c>
      <c r="DO142" s="228">
        <v>-0.16</v>
      </c>
      <c r="DP142" s="228">
        <v>1.1000000000000001</v>
      </c>
      <c r="DQ142" s="228">
        <v>0.89</v>
      </c>
      <c r="DR142" s="228">
        <v>0.21</v>
      </c>
      <c r="DS142" s="229">
        <v>0.23599999999999999</v>
      </c>
      <c r="DT142" s="231">
        <v>70000</v>
      </c>
      <c r="DU142" s="231">
        <v>69000</v>
      </c>
      <c r="DV142" s="228">
        <v>1.1599999999999999</v>
      </c>
      <c r="DW142" s="228">
        <v>0.45</v>
      </c>
      <c r="DX142" s="228">
        <v>0.71</v>
      </c>
      <c r="DY142" s="229">
        <v>1.5778000000000001</v>
      </c>
      <c r="DZ142" s="229">
        <v>8.3199999999999996E-2</v>
      </c>
      <c r="EA142" s="230">
        <v>1250</v>
      </c>
      <c r="EB142" s="229">
        <v>4.3E-3</v>
      </c>
      <c r="EC142" s="229">
        <v>8.3199999999999996E-2</v>
      </c>
      <c r="ED142" s="228">
        <v>374.91</v>
      </c>
      <c r="EE142" s="229">
        <v>5.3E-3</v>
      </c>
      <c r="EF142" s="228">
        <v>0</v>
      </c>
      <c r="EG142" s="228">
        <v>0</v>
      </c>
      <c r="EH142" s="229">
        <v>0</v>
      </c>
      <c r="EI142" s="229">
        <v>0</v>
      </c>
      <c r="EJ142" s="231">
        <v>3527.1</v>
      </c>
      <c r="EK142" s="231">
        <v>4042.79</v>
      </c>
      <c r="EL142" s="231">
        <v>3669.55</v>
      </c>
      <c r="EM142" s="228">
        <v>0</v>
      </c>
      <c r="EN142" s="231">
        <v>11239.44</v>
      </c>
      <c r="EO142" s="231">
        <v>12084.09</v>
      </c>
      <c r="EP142" s="228">
        <v>-844.65</v>
      </c>
      <c r="EQ142" s="229">
        <v>-6.9900000000000004E-2</v>
      </c>
      <c r="ER142" s="231">
        <v>2946</v>
      </c>
      <c r="ES142" s="231">
        <v>3196</v>
      </c>
      <c r="ET142" s="231">
        <v>15339</v>
      </c>
      <c r="EU142" s="228">
        <v>0</v>
      </c>
      <c r="EV142" s="231">
        <v>21481</v>
      </c>
      <c r="EW142" s="231">
        <v>20192</v>
      </c>
      <c r="EX142" s="231">
        <v>1289</v>
      </c>
      <c r="EY142" s="229">
        <v>6.3799999999999996E-2</v>
      </c>
      <c r="EZ142" s="229">
        <v>0</v>
      </c>
      <c r="FA142" s="227" t="s">
        <v>555</v>
      </c>
      <c r="FB142" s="161">
        <f t="shared" ref="FB142:FB161" si="3">BX216-CB216</f>
        <v>0</v>
      </c>
    </row>
    <row r="143" spans="1:158" ht="17.25" hidden="1" thickBot="1" x14ac:dyDescent="0.3">
      <c r="A143" s="226">
        <v>46029</v>
      </c>
      <c r="B143" s="227" t="s">
        <v>227</v>
      </c>
      <c r="C143" s="227" t="s">
        <v>267</v>
      </c>
      <c r="D143" s="228">
        <v>6750</v>
      </c>
      <c r="E143" s="228">
        <v>86.51</v>
      </c>
      <c r="F143" s="228">
        <v>84.25</v>
      </c>
      <c r="G143" s="228">
        <v>2.2599999999999998</v>
      </c>
      <c r="H143" s="229">
        <v>2.6800000000000001E-2</v>
      </c>
      <c r="I143" s="228">
        <v>86.16</v>
      </c>
      <c r="J143" s="228">
        <v>83.87</v>
      </c>
      <c r="K143" s="228">
        <v>2.29</v>
      </c>
      <c r="L143" s="229">
        <v>2.7300000000000001E-2</v>
      </c>
      <c r="M143" s="228">
        <v>86.51</v>
      </c>
      <c r="N143" s="228">
        <v>84.25</v>
      </c>
      <c r="O143" s="228">
        <v>2.2599999999999998</v>
      </c>
      <c r="P143" s="229">
        <v>2.6800000000000001E-2</v>
      </c>
      <c r="Q143" s="228">
        <v>86.95</v>
      </c>
      <c r="R143" s="228">
        <v>84.73</v>
      </c>
      <c r="S143" s="228">
        <v>2.2200000000000002</v>
      </c>
      <c r="T143" s="229">
        <v>2.6200000000000001E-2</v>
      </c>
      <c r="U143" s="228">
        <v>87.47</v>
      </c>
      <c r="V143" s="228">
        <v>85.23</v>
      </c>
      <c r="W143" s="228">
        <v>2.2400000000000002</v>
      </c>
      <c r="X143" s="229">
        <v>2.63E-2</v>
      </c>
      <c r="Y143" s="228">
        <v>0.35</v>
      </c>
      <c r="Z143" s="228">
        <v>0.38</v>
      </c>
      <c r="AA143" s="228">
        <v>-0.03</v>
      </c>
      <c r="AB143" s="229">
        <v>4.1000000000000003E-3</v>
      </c>
      <c r="AC143" s="228">
        <v>0.35</v>
      </c>
      <c r="AD143" s="228">
        <v>0.38</v>
      </c>
      <c r="AE143" s="228">
        <v>-0.03</v>
      </c>
      <c r="AF143" s="229">
        <v>4.1000000000000003E-3</v>
      </c>
      <c r="AG143" s="228">
        <v>0.79</v>
      </c>
      <c r="AH143" s="228">
        <v>0.86</v>
      </c>
      <c r="AI143" s="228">
        <v>-7.0000000000000007E-2</v>
      </c>
      <c r="AJ143" s="229">
        <v>9.1999999999999998E-3</v>
      </c>
      <c r="AK143" s="228">
        <v>1.31</v>
      </c>
      <c r="AL143" s="228">
        <v>1.36</v>
      </c>
      <c r="AM143" s="228">
        <v>-0.05</v>
      </c>
      <c r="AN143" s="229">
        <v>1.52E-2</v>
      </c>
      <c r="AO143" s="228">
        <v>85.97</v>
      </c>
      <c r="AP143" s="228">
        <v>86.39</v>
      </c>
      <c r="AQ143" s="228">
        <v>0</v>
      </c>
      <c r="AR143" s="230">
        <v>77996250</v>
      </c>
      <c r="AS143" s="230">
        <v>30503250</v>
      </c>
      <c r="AT143" s="230">
        <v>47493000</v>
      </c>
      <c r="AU143" s="229">
        <v>1.5569999999999999</v>
      </c>
      <c r="AV143" s="230">
        <v>69768000</v>
      </c>
      <c r="AW143" s="230">
        <v>27789750</v>
      </c>
      <c r="AX143" s="230">
        <v>41978250</v>
      </c>
      <c r="AY143" s="229">
        <v>1.5105999999999999</v>
      </c>
      <c r="AZ143" s="230">
        <v>7296750</v>
      </c>
      <c r="BA143" s="230">
        <v>2585250</v>
      </c>
      <c r="BB143" s="230">
        <v>4711500</v>
      </c>
      <c r="BC143" s="229">
        <v>1.8225</v>
      </c>
      <c r="BD143" s="230">
        <v>931500</v>
      </c>
      <c r="BE143" s="230">
        <v>128250</v>
      </c>
      <c r="BF143" s="230">
        <v>803250</v>
      </c>
      <c r="BG143" s="229">
        <v>6.2632000000000003</v>
      </c>
      <c r="BH143" s="230">
        <v>253118250</v>
      </c>
      <c r="BI143" s="230">
        <v>78894000</v>
      </c>
      <c r="BJ143" s="230">
        <v>174224250</v>
      </c>
      <c r="BK143" s="229">
        <v>2.2082999999999999</v>
      </c>
      <c r="BL143" s="230">
        <v>73899000</v>
      </c>
      <c r="BM143" s="230">
        <v>27202500</v>
      </c>
      <c r="BN143" s="230">
        <v>46696500</v>
      </c>
      <c r="BO143" s="229">
        <v>1.7165999999999999</v>
      </c>
      <c r="BP143" s="230">
        <v>405013500</v>
      </c>
      <c r="BQ143" s="230">
        <v>136599750</v>
      </c>
      <c r="BR143" s="230">
        <v>268413750</v>
      </c>
      <c r="BS143" s="229">
        <v>1.9650000000000001</v>
      </c>
      <c r="BT143" s="230">
        <v>43404155</v>
      </c>
      <c r="BU143" s="230">
        <v>20958354</v>
      </c>
      <c r="BV143" s="230">
        <v>22445801</v>
      </c>
      <c r="BW143" s="229">
        <v>1.071</v>
      </c>
      <c r="BX143" s="230">
        <v>337594500</v>
      </c>
      <c r="BY143" s="230">
        <v>338060250</v>
      </c>
      <c r="BZ143" s="230">
        <v>-465750</v>
      </c>
      <c r="CA143" s="229">
        <v>-1.4E-3</v>
      </c>
      <c r="CB143" s="230">
        <v>324999000</v>
      </c>
      <c r="CC143" s="230">
        <v>326531250</v>
      </c>
      <c r="CD143" s="230">
        <v>-1532250</v>
      </c>
      <c r="CE143" s="229">
        <v>-4.7000000000000002E-3</v>
      </c>
      <c r="CF143" s="230">
        <v>11292750</v>
      </c>
      <c r="CG143" s="230">
        <v>10388250</v>
      </c>
      <c r="CH143" s="230">
        <v>904500</v>
      </c>
      <c r="CI143" s="229">
        <v>8.7099999999999997E-2</v>
      </c>
      <c r="CJ143" s="230">
        <v>1302750</v>
      </c>
      <c r="CK143" s="230">
        <v>1140750</v>
      </c>
      <c r="CL143" s="230">
        <v>162000</v>
      </c>
      <c r="CM143" s="229">
        <v>0.14199999999999999</v>
      </c>
      <c r="CN143" s="230">
        <v>127534500</v>
      </c>
      <c r="CO143" s="230">
        <v>127723500</v>
      </c>
      <c r="CP143" s="230">
        <v>-189000</v>
      </c>
      <c r="CQ143" s="229">
        <v>-1.5E-3</v>
      </c>
      <c r="CR143" s="230">
        <v>62167500</v>
      </c>
      <c r="CS143" s="230">
        <v>57888000</v>
      </c>
      <c r="CT143" s="230">
        <v>4279500</v>
      </c>
      <c r="CU143" s="229">
        <v>7.3899999999999993E-2</v>
      </c>
      <c r="CV143" s="230">
        <v>527296500</v>
      </c>
      <c r="CW143" s="230">
        <v>523671750</v>
      </c>
      <c r="CX143" s="230">
        <v>3624750</v>
      </c>
      <c r="CY143" s="229">
        <v>6.8999999999999999E-3</v>
      </c>
      <c r="CZ143" s="228">
        <v>28.71</v>
      </c>
      <c r="DA143" s="228">
        <v>28.47</v>
      </c>
      <c r="DB143" s="228">
        <v>0.24</v>
      </c>
      <c r="DC143" s="228">
        <v>0.24</v>
      </c>
      <c r="DD143" s="228">
        <v>37.130000000000003</v>
      </c>
      <c r="DE143" s="228">
        <v>37.049999999999997</v>
      </c>
      <c r="DF143" s="228">
        <v>-8.42</v>
      </c>
      <c r="DG143" s="228">
        <v>0.08</v>
      </c>
      <c r="DH143" s="228">
        <v>28.62</v>
      </c>
      <c r="DI143" s="228">
        <v>28.34</v>
      </c>
      <c r="DJ143" s="228">
        <v>0.28000000000000003</v>
      </c>
      <c r="DK143" s="228">
        <v>0.28000000000000003</v>
      </c>
      <c r="DL143" s="228">
        <v>29.02</v>
      </c>
      <c r="DM143" s="228">
        <v>28.86</v>
      </c>
      <c r="DN143" s="228">
        <v>0.16</v>
      </c>
      <c r="DO143" s="228">
        <v>0.16</v>
      </c>
      <c r="DP143" s="228">
        <v>0.49</v>
      </c>
      <c r="DQ143" s="228">
        <v>0.45</v>
      </c>
      <c r="DR143" s="228">
        <v>0.04</v>
      </c>
      <c r="DS143" s="229">
        <v>8.8900000000000007E-2</v>
      </c>
      <c r="DT143" s="228">
        <v>90</v>
      </c>
      <c r="DU143" s="228">
        <v>80</v>
      </c>
      <c r="DV143" s="228">
        <v>0.28999999999999998</v>
      </c>
      <c r="DW143" s="228">
        <v>0.34</v>
      </c>
      <c r="DX143" s="228">
        <v>-0.05</v>
      </c>
      <c r="DY143" s="229">
        <v>-0.14710000000000001</v>
      </c>
      <c r="DZ143" s="229">
        <v>3.73E-2</v>
      </c>
      <c r="EA143" s="230">
        <v>11529000</v>
      </c>
      <c r="EB143" s="229">
        <v>5.1000000000000004E-3</v>
      </c>
      <c r="EC143" s="229">
        <v>3.73E-2</v>
      </c>
      <c r="ED143" s="228">
        <v>0.42</v>
      </c>
      <c r="EE143" s="229">
        <v>4.8999999999999998E-3</v>
      </c>
      <c r="EF143" s="230">
        <v>16368924</v>
      </c>
      <c r="EG143" s="230">
        <v>9699584</v>
      </c>
      <c r="EH143" s="229">
        <v>0.68759999999999999</v>
      </c>
      <c r="EI143" s="229">
        <v>0.37709999999999999</v>
      </c>
      <c r="EJ143" s="231">
        <v>226010.87</v>
      </c>
      <c r="EK143" s="231">
        <v>62584.78</v>
      </c>
      <c r="EL143" s="231">
        <v>67094.55</v>
      </c>
      <c r="EM143" s="231">
        <v>5948</v>
      </c>
      <c r="EN143" s="231">
        <v>355690.2</v>
      </c>
      <c r="EO143" s="231">
        <v>117344.93</v>
      </c>
      <c r="EP143" s="231">
        <v>238345.27</v>
      </c>
      <c r="EQ143" s="229">
        <v>2.0312000000000001</v>
      </c>
      <c r="ER143" s="231">
        <v>110387</v>
      </c>
      <c r="ES143" s="231">
        <v>49689</v>
      </c>
      <c r="ET143" s="231">
        <v>292115</v>
      </c>
      <c r="EU143" s="231">
        <v>517037525</v>
      </c>
      <c r="EV143" s="231">
        <v>452191</v>
      </c>
      <c r="EW143" s="231">
        <v>440527</v>
      </c>
      <c r="EX143" s="231">
        <v>11664</v>
      </c>
      <c r="EY143" s="229">
        <v>2.6499999999999999E-2</v>
      </c>
      <c r="EZ143" s="229">
        <v>1.0198</v>
      </c>
      <c r="FA143" s="227" t="s">
        <v>556</v>
      </c>
      <c r="FB143" s="161">
        <f t="shared" si="3"/>
        <v>0</v>
      </c>
    </row>
    <row r="144" spans="1:158" ht="17.25" hidden="1" thickBot="1" x14ac:dyDescent="0.3">
      <c r="A144" s="226">
        <v>46029</v>
      </c>
      <c r="B144" s="227" t="s">
        <v>161</v>
      </c>
      <c r="C144" s="227" t="s">
        <v>268</v>
      </c>
      <c r="D144" s="228">
        <v>1500</v>
      </c>
      <c r="E144" s="228">
        <v>349.65</v>
      </c>
      <c r="F144" s="228">
        <v>351.45</v>
      </c>
      <c r="G144" s="228">
        <v>-1.8</v>
      </c>
      <c r="H144" s="229">
        <v>-5.1000000000000004E-3</v>
      </c>
      <c r="I144" s="228">
        <v>348.85</v>
      </c>
      <c r="J144" s="228">
        <v>350.8</v>
      </c>
      <c r="K144" s="228">
        <v>-1.95</v>
      </c>
      <c r="L144" s="229">
        <v>-5.5999999999999999E-3</v>
      </c>
      <c r="M144" s="228">
        <v>349.65</v>
      </c>
      <c r="N144" s="228">
        <v>351.45</v>
      </c>
      <c r="O144" s="228">
        <v>-1.8</v>
      </c>
      <c r="P144" s="229">
        <v>-5.1000000000000004E-3</v>
      </c>
      <c r="Q144" s="228">
        <v>349.5</v>
      </c>
      <c r="R144" s="228">
        <v>351.5</v>
      </c>
      <c r="S144" s="228">
        <v>-2</v>
      </c>
      <c r="T144" s="229">
        <v>-5.7000000000000002E-3</v>
      </c>
      <c r="U144" s="228">
        <v>352.1</v>
      </c>
      <c r="V144" s="228">
        <v>353.9</v>
      </c>
      <c r="W144" s="228">
        <v>-1.8</v>
      </c>
      <c r="X144" s="229">
        <v>-5.1000000000000004E-3</v>
      </c>
      <c r="Y144" s="228">
        <v>0.8</v>
      </c>
      <c r="Z144" s="228">
        <v>0.65</v>
      </c>
      <c r="AA144" s="228">
        <v>0.15</v>
      </c>
      <c r="AB144" s="229">
        <v>2.3E-3</v>
      </c>
      <c r="AC144" s="228">
        <v>0.8</v>
      </c>
      <c r="AD144" s="228">
        <v>0.65</v>
      </c>
      <c r="AE144" s="228">
        <v>0.15</v>
      </c>
      <c r="AF144" s="229">
        <v>2.3E-3</v>
      </c>
      <c r="AG144" s="228">
        <v>0.65</v>
      </c>
      <c r="AH144" s="228">
        <v>0.7</v>
      </c>
      <c r="AI144" s="228">
        <v>-0.05</v>
      </c>
      <c r="AJ144" s="229">
        <v>1.9E-3</v>
      </c>
      <c r="AK144" s="228">
        <v>3.25</v>
      </c>
      <c r="AL144" s="228">
        <v>3.1</v>
      </c>
      <c r="AM144" s="228">
        <v>0.15</v>
      </c>
      <c r="AN144" s="229">
        <v>9.2999999999999992E-3</v>
      </c>
      <c r="AO144" s="228">
        <v>349.01</v>
      </c>
      <c r="AP144" s="228">
        <v>348.97</v>
      </c>
      <c r="AQ144" s="228">
        <v>0</v>
      </c>
      <c r="AR144" s="230">
        <v>6031500</v>
      </c>
      <c r="AS144" s="230">
        <v>9441000</v>
      </c>
      <c r="AT144" s="230">
        <v>-3409500</v>
      </c>
      <c r="AU144" s="229">
        <v>-0.36109999999999998</v>
      </c>
      <c r="AV144" s="230">
        <v>5460000</v>
      </c>
      <c r="AW144" s="230">
        <v>8860500</v>
      </c>
      <c r="AX144" s="230">
        <v>-3400500</v>
      </c>
      <c r="AY144" s="229">
        <v>-0.38379999999999997</v>
      </c>
      <c r="AZ144" s="230">
        <v>526500</v>
      </c>
      <c r="BA144" s="230">
        <v>540000</v>
      </c>
      <c r="BB144" s="230">
        <v>-13500</v>
      </c>
      <c r="BC144" s="229">
        <v>-2.5000000000000001E-2</v>
      </c>
      <c r="BD144" s="230">
        <v>45000</v>
      </c>
      <c r="BE144" s="230">
        <v>40500</v>
      </c>
      <c r="BF144" s="230">
        <v>4500</v>
      </c>
      <c r="BG144" s="229">
        <v>0.1111</v>
      </c>
      <c r="BH144" s="230">
        <v>25995000</v>
      </c>
      <c r="BI144" s="230">
        <v>38542500</v>
      </c>
      <c r="BJ144" s="230">
        <v>-12547500</v>
      </c>
      <c r="BK144" s="229">
        <v>-0.32550000000000001</v>
      </c>
      <c r="BL144" s="230">
        <v>12043500</v>
      </c>
      <c r="BM144" s="230">
        <v>19041000</v>
      </c>
      <c r="BN144" s="230">
        <v>-6997500</v>
      </c>
      <c r="BO144" s="229">
        <v>-0.36749999999999999</v>
      </c>
      <c r="BP144" s="230">
        <v>44070000</v>
      </c>
      <c r="BQ144" s="230">
        <v>67024500</v>
      </c>
      <c r="BR144" s="230">
        <v>-22954500</v>
      </c>
      <c r="BS144" s="229">
        <v>-0.34250000000000003</v>
      </c>
      <c r="BT144" s="230">
        <v>7404934</v>
      </c>
      <c r="BU144" s="230">
        <v>10044260</v>
      </c>
      <c r="BV144" s="230">
        <v>-2639326</v>
      </c>
      <c r="BW144" s="229">
        <v>-0.26279999999999998</v>
      </c>
      <c r="BX144" s="230">
        <v>83032500</v>
      </c>
      <c r="BY144" s="230">
        <v>82818000</v>
      </c>
      <c r="BZ144" s="230">
        <v>214500</v>
      </c>
      <c r="CA144" s="229">
        <v>2.5999999999999999E-3</v>
      </c>
      <c r="CB144" s="230">
        <v>75700500</v>
      </c>
      <c r="CC144" s="230">
        <v>75616500</v>
      </c>
      <c r="CD144" s="230">
        <v>84000</v>
      </c>
      <c r="CE144" s="229">
        <v>1.1000000000000001E-3</v>
      </c>
      <c r="CF144" s="230">
        <v>6891000</v>
      </c>
      <c r="CG144" s="230">
        <v>6771000</v>
      </c>
      <c r="CH144" s="230">
        <v>120000</v>
      </c>
      <c r="CI144" s="229">
        <v>1.77E-2</v>
      </c>
      <c r="CJ144" s="230">
        <v>441000</v>
      </c>
      <c r="CK144" s="230">
        <v>430500</v>
      </c>
      <c r="CL144" s="230">
        <v>10500</v>
      </c>
      <c r="CM144" s="229">
        <v>2.4400000000000002E-2</v>
      </c>
      <c r="CN144" s="230">
        <v>42417000</v>
      </c>
      <c r="CO144" s="230">
        <v>41665500</v>
      </c>
      <c r="CP144" s="230">
        <v>751500</v>
      </c>
      <c r="CQ144" s="229">
        <v>1.7999999999999999E-2</v>
      </c>
      <c r="CR144" s="230">
        <v>26217000</v>
      </c>
      <c r="CS144" s="230">
        <v>26689500</v>
      </c>
      <c r="CT144" s="230">
        <v>-472500</v>
      </c>
      <c r="CU144" s="229">
        <v>-1.77E-2</v>
      </c>
      <c r="CV144" s="230">
        <v>151666500</v>
      </c>
      <c r="CW144" s="230">
        <v>151173000</v>
      </c>
      <c r="CX144" s="230">
        <v>493500</v>
      </c>
      <c r="CY144" s="229">
        <v>3.3E-3</v>
      </c>
      <c r="CZ144" s="228">
        <v>17.46</v>
      </c>
      <c r="DA144" s="228">
        <v>17.579999999999998</v>
      </c>
      <c r="DB144" s="228">
        <v>-0.12</v>
      </c>
      <c r="DC144" s="228">
        <v>-0.12</v>
      </c>
      <c r="DD144" s="228">
        <v>26.79</v>
      </c>
      <c r="DE144" s="228">
        <v>26.85</v>
      </c>
      <c r="DF144" s="228">
        <v>-9.33</v>
      </c>
      <c r="DG144" s="228">
        <v>-0.06</v>
      </c>
      <c r="DH144" s="228">
        <v>17.260000000000002</v>
      </c>
      <c r="DI144" s="228">
        <v>17.27</v>
      </c>
      <c r="DJ144" s="228">
        <v>-0.01</v>
      </c>
      <c r="DK144" s="228">
        <v>-0.01</v>
      </c>
      <c r="DL144" s="228">
        <v>17.899999999999999</v>
      </c>
      <c r="DM144" s="228">
        <v>18.2</v>
      </c>
      <c r="DN144" s="228">
        <v>-0.3</v>
      </c>
      <c r="DO144" s="228">
        <v>-0.3</v>
      </c>
      <c r="DP144" s="228">
        <v>0.62</v>
      </c>
      <c r="DQ144" s="228">
        <v>0.64</v>
      </c>
      <c r="DR144" s="228">
        <v>-0.02</v>
      </c>
      <c r="DS144" s="229">
        <v>-3.1300000000000001E-2</v>
      </c>
      <c r="DT144" s="228">
        <v>360</v>
      </c>
      <c r="DU144" s="228">
        <v>330</v>
      </c>
      <c r="DV144" s="228">
        <v>0.46</v>
      </c>
      <c r="DW144" s="228">
        <v>0.49</v>
      </c>
      <c r="DX144" s="228">
        <v>-0.03</v>
      </c>
      <c r="DY144" s="229">
        <v>-6.1199999999999997E-2</v>
      </c>
      <c r="DZ144" s="229">
        <v>8.8300000000000003E-2</v>
      </c>
      <c r="EA144" s="230">
        <v>7201500</v>
      </c>
      <c r="EB144" s="229">
        <v>-4.0000000000000002E-4</v>
      </c>
      <c r="EC144" s="229">
        <v>8.8300000000000003E-2</v>
      </c>
      <c r="ED144" s="228">
        <v>-0.04</v>
      </c>
      <c r="EE144" s="229">
        <v>-1E-4</v>
      </c>
      <c r="EF144" s="230">
        <v>4754583</v>
      </c>
      <c r="EG144" s="230">
        <v>7180699</v>
      </c>
      <c r="EH144" s="229">
        <v>-0.33789999999999998</v>
      </c>
      <c r="EI144" s="229">
        <v>0.6421</v>
      </c>
      <c r="EJ144" s="231">
        <v>93718.94</v>
      </c>
      <c r="EK144" s="231">
        <v>41643.040000000001</v>
      </c>
      <c r="EL144" s="231">
        <v>21051.29</v>
      </c>
      <c r="EM144" s="231">
        <v>9197</v>
      </c>
      <c r="EN144" s="231">
        <v>156413.26999999999</v>
      </c>
      <c r="EO144" s="231">
        <v>238784.24</v>
      </c>
      <c r="EP144" s="231">
        <v>-82370.97</v>
      </c>
      <c r="EQ144" s="229">
        <v>-0.34499999999999997</v>
      </c>
      <c r="ER144" s="231">
        <v>150345</v>
      </c>
      <c r="ES144" s="231">
        <v>87878</v>
      </c>
      <c r="ET144" s="231">
        <v>290324</v>
      </c>
      <c r="EU144" s="231">
        <v>474131988</v>
      </c>
      <c r="EV144" s="231">
        <v>528546</v>
      </c>
      <c r="EW144" s="231">
        <v>528102</v>
      </c>
      <c r="EX144" s="228">
        <v>444</v>
      </c>
      <c r="EY144" s="229">
        <v>8.0000000000000004E-4</v>
      </c>
      <c r="EZ144" s="229">
        <v>0.31990000000000002</v>
      </c>
      <c r="FA144" s="227" t="s">
        <v>567</v>
      </c>
      <c r="FB144" s="161">
        <f t="shared" si="3"/>
        <v>0</v>
      </c>
    </row>
    <row r="145" spans="1:158" ht="17.25" hidden="1" thickBot="1" x14ac:dyDescent="0.3">
      <c r="A145" s="226">
        <v>46029</v>
      </c>
      <c r="B145" s="227" t="s">
        <v>175</v>
      </c>
      <c r="C145" s="227" t="s">
        <v>685</v>
      </c>
      <c r="D145" s="228">
        <v>500</v>
      </c>
      <c r="E145" s="231">
        <v>1487</v>
      </c>
      <c r="F145" s="231">
        <v>1486.8</v>
      </c>
      <c r="G145" s="228">
        <v>0.2</v>
      </c>
      <c r="H145" s="229">
        <v>1E-4</v>
      </c>
      <c r="I145" s="231">
        <v>1478.9</v>
      </c>
      <c r="J145" s="231">
        <v>1478.5</v>
      </c>
      <c r="K145" s="228">
        <v>0.4</v>
      </c>
      <c r="L145" s="229">
        <v>2.9999999999999997E-4</v>
      </c>
      <c r="M145" s="231">
        <v>1487</v>
      </c>
      <c r="N145" s="231">
        <v>1486.8</v>
      </c>
      <c r="O145" s="228">
        <v>0.2</v>
      </c>
      <c r="P145" s="229">
        <v>1E-4</v>
      </c>
      <c r="Q145" s="231">
        <v>1494.3</v>
      </c>
      <c r="R145" s="231">
        <v>1492.7</v>
      </c>
      <c r="S145" s="228">
        <v>1.6</v>
      </c>
      <c r="T145" s="229">
        <v>1.1000000000000001E-3</v>
      </c>
      <c r="U145" s="231">
        <v>1491.6</v>
      </c>
      <c r="V145" s="231">
        <v>1491.6</v>
      </c>
      <c r="W145" s="228">
        <v>0</v>
      </c>
      <c r="X145" s="229">
        <v>0</v>
      </c>
      <c r="Y145" s="228">
        <v>8.1</v>
      </c>
      <c r="Z145" s="228">
        <v>8.3000000000000007</v>
      </c>
      <c r="AA145" s="228">
        <v>-0.2</v>
      </c>
      <c r="AB145" s="229">
        <v>5.4999999999999997E-3</v>
      </c>
      <c r="AC145" s="228">
        <v>8.1</v>
      </c>
      <c r="AD145" s="228">
        <v>8.3000000000000007</v>
      </c>
      <c r="AE145" s="228">
        <v>-0.2</v>
      </c>
      <c r="AF145" s="229">
        <v>5.4999999999999997E-3</v>
      </c>
      <c r="AG145" s="228">
        <v>15.4</v>
      </c>
      <c r="AH145" s="228">
        <v>14.2</v>
      </c>
      <c r="AI145" s="228">
        <v>1.2</v>
      </c>
      <c r="AJ145" s="229">
        <v>1.04E-2</v>
      </c>
      <c r="AK145" s="228">
        <v>12.7</v>
      </c>
      <c r="AL145" s="228">
        <v>13.1</v>
      </c>
      <c r="AM145" s="228">
        <v>-0.4</v>
      </c>
      <c r="AN145" s="229">
        <v>8.6E-3</v>
      </c>
      <c r="AO145" s="231">
        <v>1484.41</v>
      </c>
      <c r="AP145" s="231">
        <v>1489.05</v>
      </c>
      <c r="AQ145" s="228">
        <v>0</v>
      </c>
      <c r="AR145" s="230">
        <v>311500</v>
      </c>
      <c r="AS145" s="230">
        <v>338000</v>
      </c>
      <c r="AT145" s="230">
        <v>-26500</v>
      </c>
      <c r="AU145" s="229">
        <v>-7.8399999999999997E-2</v>
      </c>
      <c r="AV145" s="230">
        <v>301000</v>
      </c>
      <c r="AW145" s="230">
        <v>327500</v>
      </c>
      <c r="AX145" s="230">
        <v>-26500</v>
      </c>
      <c r="AY145" s="229">
        <v>-8.09E-2</v>
      </c>
      <c r="AZ145" s="230">
        <v>10500</v>
      </c>
      <c r="BA145" s="230">
        <v>10000</v>
      </c>
      <c r="BB145" s="228">
        <v>500</v>
      </c>
      <c r="BC145" s="229">
        <v>0.05</v>
      </c>
      <c r="BD145" s="228">
        <v>0</v>
      </c>
      <c r="BE145" s="228">
        <v>500</v>
      </c>
      <c r="BF145" s="228">
        <v>-500</v>
      </c>
      <c r="BG145" s="229">
        <v>-1</v>
      </c>
      <c r="BH145" s="230">
        <v>615000</v>
      </c>
      <c r="BI145" s="230">
        <v>582500</v>
      </c>
      <c r="BJ145" s="230">
        <v>32500</v>
      </c>
      <c r="BK145" s="229">
        <v>5.5800000000000002E-2</v>
      </c>
      <c r="BL145" s="230">
        <v>111500</v>
      </c>
      <c r="BM145" s="230">
        <v>185000</v>
      </c>
      <c r="BN145" s="230">
        <v>-73500</v>
      </c>
      <c r="BO145" s="229">
        <v>-0.39729999999999999</v>
      </c>
      <c r="BP145" s="230">
        <v>1038000</v>
      </c>
      <c r="BQ145" s="230">
        <v>1105500</v>
      </c>
      <c r="BR145" s="230">
        <v>-67500</v>
      </c>
      <c r="BS145" s="229">
        <v>-6.1100000000000002E-2</v>
      </c>
      <c r="BT145" s="230">
        <v>233871</v>
      </c>
      <c r="BU145" s="230">
        <v>219424</v>
      </c>
      <c r="BV145" s="230">
        <v>14447</v>
      </c>
      <c r="BW145" s="229">
        <v>6.5799999999999997E-2</v>
      </c>
      <c r="BX145" s="230">
        <v>2285000</v>
      </c>
      <c r="BY145" s="230">
        <v>2318500</v>
      </c>
      <c r="BZ145" s="230">
        <v>-33500</v>
      </c>
      <c r="CA145" s="229">
        <v>-1.44E-2</v>
      </c>
      <c r="CB145" s="230">
        <v>2248500</v>
      </c>
      <c r="CC145" s="230">
        <v>2279500</v>
      </c>
      <c r="CD145" s="230">
        <v>-31000</v>
      </c>
      <c r="CE145" s="229">
        <v>-1.3599999999999999E-2</v>
      </c>
      <c r="CF145" s="230">
        <v>35500</v>
      </c>
      <c r="CG145" s="230">
        <v>38000</v>
      </c>
      <c r="CH145" s="230">
        <v>-2500</v>
      </c>
      <c r="CI145" s="229">
        <v>-6.5799999999999997E-2</v>
      </c>
      <c r="CJ145" s="230">
        <v>1000</v>
      </c>
      <c r="CK145" s="230">
        <v>1000</v>
      </c>
      <c r="CL145" s="228">
        <v>0</v>
      </c>
      <c r="CM145" s="229">
        <v>0</v>
      </c>
      <c r="CN145" s="230">
        <v>1343500</v>
      </c>
      <c r="CO145" s="230">
        <v>1325500</v>
      </c>
      <c r="CP145" s="230">
        <v>18000</v>
      </c>
      <c r="CQ145" s="229">
        <v>1.3599999999999999E-2</v>
      </c>
      <c r="CR145" s="230">
        <v>684000</v>
      </c>
      <c r="CS145" s="230">
        <v>695500</v>
      </c>
      <c r="CT145" s="230">
        <v>-11500</v>
      </c>
      <c r="CU145" s="229">
        <v>-1.6500000000000001E-2</v>
      </c>
      <c r="CV145" s="230">
        <v>4312500</v>
      </c>
      <c r="CW145" s="230">
        <v>4339500</v>
      </c>
      <c r="CX145" s="230">
        <v>-27000</v>
      </c>
      <c r="CY145" s="229">
        <v>-6.1999999999999998E-3</v>
      </c>
      <c r="CZ145" s="228">
        <v>30.39</v>
      </c>
      <c r="DA145" s="228">
        <v>30.53</v>
      </c>
      <c r="DB145" s="228">
        <v>-0.14000000000000001</v>
      </c>
      <c r="DC145" s="228">
        <v>-0.14000000000000001</v>
      </c>
      <c r="DD145" s="228">
        <v>48.1</v>
      </c>
      <c r="DE145" s="228">
        <v>48.22</v>
      </c>
      <c r="DF145" s="228">
        <v>-17.71</v>
      </c>
      <c r="DG145" s="228">
        <v>-0.12</v>
      </c>
      <c r="DH145" s="228">
        <v>30.3</v>
      </c>
      <c r="DI145" s="228">
        <v>30.16</v>
      </c>
      <c r="DJ145" s="228">
        <v>0.14000000000000001</v>
      </c>
      <c r="DK145" s="228">
        <v>0.14000000000000001</v>
      </c>
      <c r="DL145" s="228">
        <v>30.87</v>
      </c>
      <c r="DM145" s="228">
        <v>31.67</v>
      </c>
      <c r="DN145" s="228">
        <v>-0.8</v>
      </c>
      <c r="DO145" s="228">
        <v>-0.8</v>
      </c>
      <c r="DP145" s="228">
        <v>0.51</v>
      </c>
      <c r="DQ145" s="228">
        <v>0.52</v>
      </c>
      <c r="DR145" s="228">
        <v>-0.01</v>
      </c>
      <c r="DS145" s="229">
        <v>-1.9199999999999998E-2</v>
      </c>
      <c r="DT145" s="231">
        <v>1500</v>
      </c>
      <c r="DU145" s="231">
        <v>1400</v>
      </c>
      <c r="DV145" s="228">
        <v>0.18</v>
      </c>
      <c r="DW145" s="228">
        <v>0.32</v>
      </c>
      <c r="DX145" s="228">
        <v>-0.14000000000000001</v>
      </c>
      <c r="DY145" s="229">
        <v>-0.4375</v>
      </c>
      <c r="DZ145" s="229">
        <v>1.6E-2</v>
      </c>
      <c r="EA145" s="230">
        <v>39000</v>
      </c>
      <c r="EB145" s="229">
        <v>4.8999999999999998E-3</v>
      </c>
      <c r="EC145" s="229">
        <v>1.6E-2</v>
      </c>
      <c r="ED145" s="228">
        <v>4.6399999999999997</v>
      </c>
      <c r="EE145" s="229">
        <v>3.0999999999999999E-3</v>
      </c>
      <c r="EF145" s="230">
        <v>107140</v>
      </c>
      <c r="EG145" s="230">
        <v>96773</v>
      </c>
      <c r="EH145" s="229">
        <v>0.1071</v>
      </c>
      <c r="EI145" s="229">
        <v>0.45810000000000001</v>
      </c>
      <c r="EJ145" s="231">
        <v>9646.8700000000008</v>
      </c>
      <c r="EK145" s="231">
        <v>1646.25</v>
      </c>
      <c r="EL145" s="231">
        <v>4624.42</v>
      </c>
      <c r="EM145" s="228">
        <v>875</v>
      </c>
      <c r="EN145" s="231">
        <v>15917.54</v>
      </c>
      <c r="EO145" s="231">
        <v>16840.22</v>
      </c>
      <c r="EP145" s="228">
        <v>-922.68</v>
      </c>
      <c r="EQ145" s="229">
        <v>-5.4800000000000001E-2</v>
      </c>
      <c r="ER145" s="231">
        <v>20704</v>
      </c>
      <c r="ES145" s="231">
        <v>9696</v>
      </c>
      <c r="ET145" s="231">
        <v>33981</v>
      </c>
      <c r="EU145" s="231">
        <v>12267678</v>
      </c>
      <c r="EV145" s="231">
        <v>64380</v>
      </c>
      <c r="EW145" s="231">
        <v>64774</v>
      </c>
      <c r="EX145" s="228">
        <v>-394</v>
      </c>
      <c r="EY145" s="229">
        <v>-6.1000000000000004E-3</v>
      </c>
      <c r="EZ145" s="229">
        <v>0.35149999999999998</v>
      </c>
      <c r="FA145" s="227" t="s">
        <v>556</v>
      </c>
      <c r="FB145" s="161">
        <f t="shared" si="3"/>
        <v>0</v>
      </c>
    </row>
    <row r="146" spans="1:158" ht="17.25" hidden="1" thickBot="1" x14ac:dyDescent="0.3">
      <c r="A146" s="226">
        <v>46029</v>
      </c>
      <c r="B146" s="227" t="s">
        <v>615</v>
      </c>
      <c r="C146" s="227" t="s">
        <v>613</v>
      </c>
      <c r="D146" s="228">
        <v>3125</v>
      </c>
      <c r="E146" s="228">
        <v>267.55</v>
      </c>
      <c r="F146" s="228">
        <v>269.89999999999998</v>
      </c>
      <c r="G146" s="228">
        <v>-2.35</v>
      </c>
      <c r="H146" s="229">
        <v>-8.6999999999999994E-3</v>
      </c>
      <c r="I146" s="228">
        <v>266.35000000000002</v>
      </c>
      <c r="J146" s="228">
        <v>269.05</v>
      </c>
      <c r="K146" s="228">
        <v>-2.7</v>
      </c>
      <c r="L146" s="229">
        <v>-0.01</v>
      </c>
      <c r="M146" s="228">
        <v>267.55</v>
      </c>
      <c r="N146" s="228">
        <v>269.89999999999998</v>
      </c>
      <c r="O146" s="228">
        <v>-2.35</v>
      </c>
      <c r="P146" s="229">
        <v>-8.6999999999999994E-3</v>
      </c>
      <c r="Q146" s="228">
        <v>267.85000000000002</v>
      </c>
      <c r="R146" s="228">
        <v>270.14999999999998</v>
      </c>
      <c r="S146" s="228">
        <v>-2.2999999999999998</v>
      </c>
      <c r="T146" s="229">
        <v>-8.5000000000000006E-3</v>
      </c>
      <c r="U146" s="228">
        <v>267.39999999999998</v>
      </c>
      <c r="V146" s="228">
        <v>268.95</v>
      </c>
      <c r="W146" s="228">
        <v>-1.55</v>
      </c>
      <c r="X146" s="229">
        <v>-5.7999999999999996E-3</v>
      </c>
      <c r="Y146" s="228">
        <v>1.2</v>
      </c>
      <c r="Z146" s="228">
        <v>0.85</v>
      </c>
      <c r="AA146" s="228">
        <v>0.35</v>
      </c>
      <c r="AB146" s="229">
        <v>4.4999999999999997E-3</v>
      </c>
      <c r="AC146" s="228">
        <v>1.2</v>
      </c>
      <c r="AD146" s="228">
        <v>0.85</v>
      </c>
      <c r="AE146" s="228">
        <v>0.35</v>
      </c>
      <c r="AF146" s="229">
        <v>4.4999999999999997E-3</v>
      </c>
      <c r="AG146" s="228">
        <v>1.5</v>
      </c>
      <c r="AH146" s="228">
        <v>1.1000000000000001</v>
      </c>
      <c r="AI146" s="228">
        <v>0.4</v>
      </c>
      <c r="AJ146" s="229">
        <v>5.5999999999999999E-3</v>
      </c>
      <c r="AK146" s="228">
        <v>1.05</v>
      </c>
      <c r="AL146" s="228">
        <v>-0.1</v>
      </c>
      <c r="AM146" s="228">
        <v>1.1499999999999999</v>
      </c>
      <c r="AN146" s="229">
        <v>3.8999999999999998E-3</v>
      </c>
      <c r="AO146" s="228">
        <v>268.04000000000002</v>
      </c>
      <c r="AP146" s="228">
        <v>268.39</v>
      </c>
      <c r="AQ146" s="228">
        <v>0</v>
      </c>
      <c r="AR146" s="230">
        <v>7093750</v>
      </c>
      <c r="AS146" s="230">
        <v>4037500</v>
      </c>
      <c r="AT146" s="230">
        <v>3056250</v>
      </c>
      <c r="AU146" s="229">
        <v>0.75700000000000001</v>
      </c>
      <c r="AV146" s="230">
        <v>6809375</v>
      </c>
      <c r="AW146" s="230">
        <v>3865625</v>
      </c>
      <c r="AX146" s="230">
        <v>2943750</v>
      </c>
      <c r="AY146" s="229">
        <v>0.76149999999999995</v>
      </c>
      <c r="AZ146" s="230">
        <v>240625</v>
      </c>
      <c r="BA146" s="230">
        <v>150000</v>
      </c>
      <c r="BB146" s="230">
        <v>90625</v>
      </c>
      <c r="BC146" s="229">
        <v>0.60419999999999996</v>
      </c>
      <c r="BD146" s="230">
        <v>43750</v>
      </c>
      <c r="BE146" s="230">
        <v>21875</v>
      </c>
      <c r="BF146" s="230">
        <v>21875</v>
      </c>
      <c r="BG146" s="229">
        <v>1</v>
      </c>
      <c r="BH146" s="230">
        <v>12075000</v>
      </c>
      <c r="BI146" s="230">
        <v>6221875</v>
      </c>
      <c r="BJ146" s="230">
        <v>5853125</v>
      </c>
      <c r="BK146" s="229">
        <v>0.94069999999999998</v>
      </c>
      <c r="BL146" s="230">
        <v>5190625</v>
      </c>
      <c r="BM146" s="230">
        <v>4050000</v>
      </c>
      <c r="BN146" s="230">
        <v>1140625</v>
      </c>
      <c r="BO146" s="229">
        <v>0.28160000000000002</v>
      </c>
      <c r="BP146" s="230">
        <v>24359375</v>
      </c>
      <c r="BQ146" s="230">
        <v>14309375</v>
      </c>
      <c r="BR146" s="230">
        <v>10050000</v>
      </c>
      <c r="BS146" s="229">
        <v>0.70230000000000004</v>
      </c>
      <c r="BT146" s="230">
        <v>5328946</v>
      </c>
      <c r="BU146" s="230">
        <v>2887895</v>
      </c>
      <c r="BV146" s="230">
        <v>2441051</v>
      </c>
      <c r="BW146" s="229">
        <v>0.84530000000000005</v>
      </c>
      <c r="BX146" s="230">
        <v>44618750</v>
      </c>
      <c r="BY146" s="230">
        <v>44621875</v>
      </c>
      <c r="BZ146" s="230">
        <v>-3125</v>
      </c>
      <c r="CA146" s="229">
        <v>-1E-4</v>
      </c>
      <c r="CB146" s="230">
        <v>43415625</v>
      </c>
      <c r="CC146" s="230">
        <v>43471875</v>
      </c>
      <c r="CD146" s="230">
        <v>-56250</v>
      </c>
      <c r="CE146" s="229">
        <v>-1.2999999999999999E-3</v>
      </c>
      <c r="CF146" s="230">
        <v>1143750</v>
      </c>
      <c r="CG146" s="230">
        <v>1112500</v>
      </c>
      <c r="CH146" s="230">
        <v>31250</v>
      </c>
      <c r="CI146" s="229">
        <v>2.81E-2</v>
      </c>
      <c r="CJ146" s="230">
        <v>59375</v>
      </c>
      <c r="CK146" s="230">
        <v>37500</v>
      </c>
      <c r="CL146" s="230">
        <v>21875</v>
      </c>
      <c r="CM146" s="229">
        <v>0.58330000000000004</v>
      </c>
      <c r="CN146" s="230">
        <v>10512500</v>
      </c>
      <c r="CO146" s="230">
        <v>9437500</v>
      </c>
      <c r="CP146" s="230">
        <v>1075000</v>
      </c>
      <c r="CQ146" s="229">
        <v>0.1139</v>
      </c>
      <c r="CR146" s="230">
        <v>8862500</v>
      </c>
      <c r="CS146" s="230">
        <v>8456250</v>
      </c>
      <c r="CT146" s="230">
        <v>406250</v>
      </c>
      <c r="CU146" s="229">
        <v>4.8000000000000001E-2</v>
      </c>
      <c r="CV146" s="230">
        <v>63993750</v>
      </c>
      <c r="CW146" s="230">
        <v>62515625</v>
      </c>
      <c r="CX146" s="230">
        <v>1478125</v>
      </c>
      <c r="CY146" s="229">
        <v>2.3599999999999999E-2</v>
      </c>
      <c r="CZ146" s="228">
        <v>26.11</v>
      </c>
      <c r="DA146" s="228">
        <v>26.18</v>
      </c>
      <c r="DB146" s="228">
        <v>-7.0000000000000007E-2</v>
      </c>
      <c r="DC146" s="228">
        <v>-7.0000000000000007E-2</v>
      </c>
      <c r="DD146" s="228">
        <v>35.270000000000003</v>
      </c>
      <c r="DE146" s="228">
        <v>35.33</v>
      </c>
      <c r="DF146" s="228">
        <v>-9.16</v>
      </c>
      <c r="DG146" s="228">
        <v>-0.06</v>
      </c>
      <c r="DH146" s="228">
        <v>26.36</v>
      </c>
      <c r="DI146" s="228">
        <v>25.86</v>
      </c>
      <c r="DJ146" s="228">
        <v>0.5</v>
      </c>
      <c r="DK146" s="228">
        <v>0.5</v>
      </c>
      <c r="DL146" s="228">
        <v>25.53</v>
      </c>
      <c r="DM146" s="228">
        <v>26.67</v>
      </c>
      <c r="DN146" s="228">
        <v>-1.1399999999999999</v>
      </c>
      <c r="DO146" s="228">
        <v>-1.1399999999999999</v>
      </c>
      <c r="DP146" s="228">
        <v>0.84</v>
      </c>
      <c r="DQ146" s="228">
        <v>0.9</v>
      </c>
      <c r="DR146" s="228">
        <v>-0.06</v>
      </c>
      <c r="DS146" s="229">
        <v>-6.6699999999999995E-2</v>
      </c>
      <c r="DT146" s="228">
        <v>270</v>
      </c>
      <c r="DU146" s="228">
        <v>260</v>
      </c>
      <c r="DV146" s="228">
        <v>0.43</v>
      </c>
      <c r="DW146" s="228">
        <v>0.65</v>
      </c>
      <c r="DX146" s="228">
        <v>-0.22</v>
      </c>
      <c r="DY146" s="229">
        <v>-0.33850000000000002</v>
      </c>
      <c r="DZ146" s="229">
        <v>2.7E-2</v>
      </c>
      <c r="EA146" s="230">
        <v>1150000</v>
      </c>
      <c r="EB146" s="229">
        <v>1.1000000000000001E-3</v>
      </c>
      <c r="EC146" s="229">
        <v>2.7E-2</v>
      </c>
      <c r="ED146" s="228">
        <v>0.35</v>
      </c>
      <c r="EE146" s="229">
        <v>1.2999999999999999E-3</v>
      </c>
      <c r="EF146" s="230">
        <v>2899706</v>
      </c>
      <c r="EG146" s="230">
        <v>1430808</v>
      </c>
      <c r="EH146" s="229">
        <v>1.0266</v>
      </c>
      <c r="EI146" s="229">
        <v>0.54410000000000003</v>
      </c>
      <c r="EJ146" s="231">
        <v>33698.33</v>
      </c>
      <c r="EK146" s="231">
        <v>13795.78</v>
      </c>
      <c r="EL146" s="231">
        <v>19014.650000000001</v>
      </c>
      <c r="EM146" s="231">
        <v>2136</v>
      </c>
      <c r="EN146" s="231">
        <v>66508.759999999995</v>
      </c>
      <c r="EO146" s="231">
        <v>38976.269999999997</v>
      </c>
      <c r="EP146" s="231">
        <v>27532.49</v>
      </c>
      <c r="EQ146" s="229">
        <v>0.70640000000000003</v>
      </c>
      <c r="ER146" s="231">
        <v>28892</v>
      </c>
      <c r="ES146" s="231">
        <v>22801</v>
      </c>
      <c r="ET146" s="231">
        <v>119381</v>
      </c>
      <c r="EU146" s="231">
        <v>205483040</v>
      </c>
      <c r="EV146" s="231">
        <v>171075</v>
      </c>
      <c r="EW146" s="231">
        <v>168104</v>
      </c>
      <c r="EX146" s="231">
        <v>2971</v>
      </c>
      <c r="EY146" s="229">
        <v>1.77E-2</v>
      </c>
      <c r="EZ146" s="229">
        <v>0.31140000000000001</v>
      </c>
      <c r="FA146" s="227" t="s">
        <v>568</v>
      </c>
      <c r="FB146" s="161">
        <f t="shared" si="3"/>
        <v>0</v>
      </c>
    </row>
    <row r="147" spans="1:158" ht="17.25" hidden="1" thickBot="1" x14ac:dyDescent="0.3">
      <c r="A147" s="226">
        <v>46029</v>
      </c>
      <c r="B147" s="227" t="s">
        <v>206</v>
      </c>
      <c r="C147" s="227" t="s">
        <v>528</v>
      </c>
      <c r="D147" s="228">
        <v>350</v>
      </c>
      <c r="E147" s="231">
        <v>1713.6</v>
      </c>
      <c r="F147" s="231">
        <v>1725.6</v>
      </c>
      <c r="G147" s="228">
        <v>-12</v>
      </c>
      <c r="H147" s="229">
        <v>-7.0000000000000001E-3</v>
      </c>
      <c r="I147" s="231">
        <v>1708.7</v>
      </c>
      <c r="J147" s="231">
        <v>1726.3</v>
      </c>
      <c r="K147" s="228">
        <v>-17.600000000000001</v>
      </c>
      <c r="L147" s="229">
        <v>-1.0200000000000001E-2</v>
      </c>
      <c r="M147" s="231">
        <v>1713.6</v>
      </c>
      <c r="N147" s="231">
        <v>1725.6</v>
      </c>
      <c r="O147" s="228">
        <v>-12</v>
      </c>
      <c r="P147" s="229">
        <v>-7.0000000000000001E-3</v>
      </c>
      <c r="Q147" s="231">
        <v>1710.4</v>
      </c>
      <c r="R147" s="231">
        <v>1718.7</v>
      </c>
      <c r="S147" s="228">
        <v>-8.3000000000000007</v>
      </c>
      <c r="T147" s="229">
        <v>-4.7999999999999996E-3</v>
      </c>
      <c r="U147" s="231">
        <v>1705</v>
      </c>
      <c r="V147" s="231">
        <v>1714.5</v>
      </c>
      <c r="W147" s="228">
        <v>-9.5</v>
      </c>
      <c r="X147" s="229">
        <v>-5.4999999999999997E-3</v>
      </c>
      <c r="Y147" s="228">
        <v>4.9000000000000004</v>
      </c>
      <c r="Z147" s="228">
        <v>-0.7</v>
      </c>
      <c r="AA147" s="228">
        <v>5.6</v>
      </c>
      <c r="AB147" s="229">
        <v>2.8999999999999998E-3</v>
      </c>
      <c r="AC147" s="228">
        <v>4.9000000000000004</v>
      </c>
      <c r="AD147" s="228">
        <v>-0.7</v>
      </c>
      <c r="AE147" s="228">
        <v>5.6</v>
      </c>
      <c r="AF147" s="229">
        <v>2.8999999999999998E-3</v>
      </c>
      <c r="AG147" s="228">
        <v>1.7</v>
      </c>
      <c r="AH147" s="228">
        <v>-7.6</v>
      </c>
      <c r="AI147" s="228">
        <v>9.3000000000000007</v>
      </c>
      <c r="AJ147" s="229">
        <v>1E-3</v>
      </c>
      <c r="AK147" s="228">
        <v>-3.7</v>
      </c>
      <c r="AL147" s="228">
        <v>-11.8</v>
      </c>
      <c r="AM147" s="228">
        <v>8.1</v>
      </c>
      <c r="AN147" s="229">
        <v>-2.2000000000000001E-3</v>
      </c>
      <c r="AO147" s="231">
        <v>1716.08</v>
      </c>
      <c r="AP147" s="231">
        <v>1711.94</v>
      </c>
      <c r="AQ147" s="228">
        <v>0</v>
      </c>
      <c r="AR147" s="230">
        <v>633850</v>
      </c>
      <c r="AS147" s="230">
        <v>528850</v>
      </c>
      <c r="AT147" s="230">
        <v>105000</v>
      </c>
      <c r="AU147" s="229">
        <v>0.19850000000000001</v>
      </c>
      <c r="AV147" s="230">
        <v>594650</v>
      </c>
      <c r="AW147" s="230">
        <v>500150</v>
      </c>
      <c r="AX147" s="230">
        <v>94500</v>
      </c>
      <c r="AY147" s="229">
        <v>0.18890000000000001</v>
      </c>
      <c r="AZ147" s="230">
        <v>38850</v>
      </c>
      <c r="BA147" s="230">
        <v>28000</v>
      </c>
      <c r="BB147" s="230">
        <v>10850</v>
      </c>
      <c r="BC147" s="229">
        <v>0.38750000000000001</v>
      </c>
      <c r="BD147" s="228">
        <v>350</v>
      </c>
      <c r="BE147" s="228">
        <v>700</v>
      </c>
      <c r="BF147" s="228">
        <v>-350</v>
      </c>
      <c r="BG147" s="229">
        <v>-0.5</v>
      </c>
      <c r="BH147" s="230">
        <v>754950</v>
      </c>
      <c r="BI147" s="230">
        <v>752150</v>
      </c>
      <c r="BJ147" s="230">
        <v>2800</v>
      </c>
      <c r="BK147" s="229">
        <v>3.7000000000000002E-3</v>
      </c>
      <c r="BL147" s="230">
        <v>289100</v>
      </c>
      <c r="BM147" s="230">
        <v>243950</v>
      </c>
      <c r="BN147" s="230">
        <v>45150</v>
      </c>
      <c r="BO147" s="229">
        <v>0.18509999999999999</v>
      </c>
      <c r="BP147" s="230">
        <v>1677900</v>
      </c>
      <c r="BQ147" s="230">
        <v>1524950</v>
      </c>
      <c r="BR147" s="230">
        <v>152950</v>
      </c>
      <c r="BS147" s="229">
        <v>0.1003</v>
      </c>
      <c r="BT147" s="230">
        <v>306220</v>
      </c>
      <c r="BU147" s="230">
        <v>169767</v>
      </c>
      <c r="BV147" s="230">
        <v>136453</v>
      </c>
      <c r="BW147" s="229">
        <v>0.80379999999999996</v>
      </c>
      <c r="BX147" s="230">
        <v>4169200</v>
      </c>
      <c r="BY147" s="230">
        <v>4225900</v>
      </c>
      <c r="BZ147" s="230">
        <v>-56700</v>
      </c>
      <c r="CA147" s="229">
        <v>-1.34E-2</v>
      </c>
      <c r="CB147" s="230">
        <v>4078900</v>
      </c>
      <c r="CC147" s="230">
        <v>4144700</v>
      </c>
      <c r="CD147" s="230">
        <v>-65800</v>
      </c>
      <c r="CE147" s="229">
        <v>-1.5900000000000001E-2</v>
      </c>
      <c r="CF147" s="230">
        <v>86100</v>
      </c>
      <c r="CG147" s="230">
        <v>77350</v>
      </c>
      <c r="CH147" s="230">
        <v>8750</v>
      </c>
      <c r="CI147" s="229">
        <v>0.11310000000000001</v>
      </c>
      <c r="CJ147" s="230">
        <v>4200</v>
      </c>
      <c r="CK147" s="230">
        <v>3850</v>
      </c>
      <c r="CL147" s="228">
        <v>350</v>
      </c>
      <c r="CM147" s="229">
        <v>9.0899999999999995E-2</v>
      </c>
      <c r="CN147" s="230">
        <v>1016050</v>
      </c>
      <c r="CO147" s="230">
        <v>944650</v>
      </c>
      <c r="CP147" s="230">
        <v>71400</v>
      </c>
      <c r="CQ147" s="229">
        <v>7.5600000000000001E-2</v>
      </c>
      <c r="CR147" s="230">
        <v>789600</v>
      </c>
      <c r="CS147" s="230">
        <v>752850</v>
      </c>
      <c r="CT147" s="230">
        <v>36750</v>
      </c>
      <c r="CU147" s="229">
        <v>4.8800000000000003E-2</v>
      </c>
      <c r="CV147" s="230">
        <v>5974850</v>
      </c>
      <c r="CW147" s="230">
        <v>5923400</v>
      </c>
      <c r="CX147" s="230">
        <v>51450</v>
      </c>
      <c r="CY147" s="229">
        <v>8.6999999999999994E-3</v>
      </c>
      <c r="CZ147" s="228">
        <v>29.96</v>
      </c>
      <c r="DA147" s="228">
        <v>29.32</v>
      </c>
      <c r="DB147" s="228">
        <v>0.64</v>
      </c>
      <c r="DC147" s="228">
        <v>0.64</v>
      </c>
      <c r="DD147" s="228">
        <v>36.1</v>
      </c>
      <c r="DE147" s="228">
        <v>36.17</v>
      </c>
      <c r="DF147" s="228">
        <v>-6.14</v>
      </c>
      <c r="DG147" s="228">
        <v>-7.0000000000000007E-2</v>
      </c>
      <c r="DH147" s="228">
        <v>29.84</v>
      </c>
      <c r="DI147" s="228">
        <v>29.16</v>
      </c>
      <c r="DJ147" s="228">
        <v>0.68</v>
      </c>
      <c r="DK147" s="228">
        <v>0.68</v>
      </c>
      <c r="DL147" s="228">
        <v>30.27</v>
      </c>
      <c r="DM147" s="228">
        <v>29.85</v>
      </c>
      <c r="DN147" s="228">
        <v>0.42</v>
      </c>
      <c r="DO147" s="228">
        <v>0.42</v>
      </c>
      <c r="DP147" s="228">
        <v>0.78</v>
      </c>
      <c r="DQ147" s="228">
        <v>0.8</v>
      </c>
      <c r="DR147" s="228">
        <v>-0.02</v>
      </c>
      <c r="DS147" s="229">
        <v>-2.5000000000000001E-2</v>
      </c>
      <c r="DT147" s="231">
        <v>1740</v>
      </c>
      <c r="DU147" s="231">
        <v>1600</v>
      </c>
      <c r="DV147" s="228">
        <v>0.38</v>
      </c>
      <c r="DW147" s="228">
        <v>0.32</v>
      </c>
      <c r="DX147" s="228">
        <v>0.06</v>
      </c>
      <c r="DY147" s="229">
        <v>0.1875</v>
      </c>
      <c r="DZ147" s="229">
        <v>2.1700000000000001E-2</v>
      </c>
      <c r="EA147" s="230">
        <v>81200</v>
      </c>
      <c r="EB147" s="229">
        <v>-1.9E-3</v>
      </c>
      <c r="EC147" s="229">
        <v>2.1700000000000001E-2</v>
      </c>
      <c r="ED147" s="228">
        <v>-4.1399999999999997</v>
      </c>
      <c r="EE147" s="229">
        <v>-2.3999999999999998E-3</v>
      </c>
      <c r="EF147" s="230">
        <v>152838</v>
      </c>
      <c r="EG147" s="230">
        <v>66600</v>
      </c>
      <c r="EH147" s="229">
        <v>1.2948999999999999</v>
      </c>
      <c r="EI147" s="229">
        <v>0.49909999999999999</v>
      </c>
      <c r="EJ147" s="231">
        <v>13619.15</v>
      </c>
      <c r="EK147" s="231">
        <v>4882.41</v>
      </c>
      <c r="EL147" s="231">
        <v>10875.73</v>
      </c>
      <c r="EM147" s="231">
        <v>1617</v>
      </c>
      <c r="EN147" s="231">
        <v>29377.29</v>
      </c>
      <c r="EO147" s="231">
        <v>26884.95</v>
      </c>
      <c r="EP147" s="231">
        <v>2492.34</v>
      </c>
      <c r="EQ147" s="229">
        <v>9.2700000000000005E-2</v>
      </c>
      <c r="ER147" s="231">
        <v>17961</v>
      </c>
      <c r="ES147" s="231">
        <v>13001</v>
      </c>
      <c r="ET147" s="231">
        <v>71440</v>
      </c>
      <c r="EU147" s="231">
        <v>17614093</v>
      </c>
      <c r="EV147" s="231">
        <v>102403</v>
      </c>
      <c r="EW147" s="231">
        <v>101977</v>
      </c>
      <c r="EX147" s="228">
        <v>426</v>
      </c>
      <c r="EY147" s="229">
        <v>4.1999999999999997E-3</v>
      </c>
      <c r="EZ147" s="229">
        <v>0.3392</v>
      </c>
      <c r="FA147" s="227" t="s">
        <v>568</v>
      </c>
      <c r="FB147" s="161">
        <f t="shared" si="3"/>
        <v>0</v>
      </c>
    </row>
    <row r="148" spans="1:158" ht="17.25" hidden="1" thickBot="1" x14ac:dyDescent="0.3">
      <c r="A148" s="226">
        <v>46029</v>
      </c>
      <c r="B148" s="227" t="s">
        <v>221</v>
      </c>
      <c r="C148" s="227" t="s">
        <v>518</v>
      </c>
      <c r="D148" s="228">
        <v>75</v>
      </c>
      <c r="E148" s="231">
        <v>7871</v>
      </c>
      <c r="F148" s="231">
        <v>7607.5</v>
      </c>
      <c r="G148" s="228">
        <v>263.5</v>
      </c>
      <c r="H148" s="229">
        <v>3.4599999999999999E-2</v>
      </c>
      <c r="I148" s="231">
        <v>7832.5</v>
      </c>
      <c r="J148" s="231">
        <v>7593</v>
      </c>
      <c r="K148" s="228">
        <v>239.5</v>
      </c>
      <c r="L148" s="229">
        <v>3.15E-2</v>
      </c>
      <c r="M148" s="231">
        <v>7871</v>
      </c>
      <c r="N148" s="231">
        <v>7607.5</v>
      </c>
      <c r="O148" s="228">
        <v>263.5</v>
      </c>
      <c r="P148" s="229">
        <v>3.4599999999999999E-2</v>
      </c>
      <c r="Q148" s="231">
        <v>7907</v>
      </c>
      <c r="R148" s="231">
        <v>7645</v>
      </c>
      <c r="S148" s="228">
        <v>262</v>
      </c>
      <c r="T148" s="229">
        <v>3.4299999999999997E-2</v>
      </c>
      <c r="U148" s="231">
        <v>7956.5</v>
      </c>
      <c r="V148" s="231">
        <v>7702</v>
      </c>
      <c r="W148" s="228">
        <v>254.5</v>
      </c>
      <c r="X148" s="229">
        <v>3.3000000000000002E-2</v>
      </c>
      <c r="Y148" s="228">
        <v>38.5</v>
      </c>
      <c r="Z148" s="228">
        <v>14.5</v>
      </c>
      <c r="AA148" s="228">
        <v>24</v>
      </c>
      <c r="AB148" s="229">
        <v>4.8999999999999998E-3</v>
      </c>
      <c r="AC148" s="228">
        <v>38.5</v>
      </c>
      <c r="AD148" s="228">
        <v>14.5</v>
      </c>
      <c r="AE148" s="228">
        <v>24</v>
      </c>
      <c r="AF148" s="229">
        <v>4.8999999999999998E-3</v>
      </c>
      <c r="AG148" s="228">
        <v>74.5</v>
      </c>
      <c r="AH148" s="228">
        <v>52</v>
      </c>
      <c r="AI148" s="228">
        <v>22.5</v>
      </c>
      <c r="AJ148" s="229">
        <v>9.4999999999999998E-3</v>
      </c>
      <c r="AK148" s="228">
        <v>124</v>
      </c>
      <c r="AL148" s="228">
        <v>109</v>
      </c>
      <c r="AM148" s="228">
        <v>15</v>
      </c>
      <c r="AN148" s="229">
        <v>1.5800000000000002E-2</v>
      </c>
      <c r="AO148" s="231">
        <v>7789.63</v>
      </c>
      <c r="AP148" s="231">
        <v>7836.11</v>
      </c>
      <c r="AQ148" s="228">
        <v>0</v>
      </c>
      <c r="AR148" s="230">
        <v>314250</v>
      </c>
      <c r="AS148" s="230">
        <v>193500</v>
      </c>
      <c r="AT148" s="230">
        <v>120750</v>
      </c>
      <c r="AU148" s="229">
        <v>0.624</v>
      </c>
      <c r="AV148" s="230">
        <v>296475</v>
      </c>
      <c r="AW148" s="230">
        <v>180825</v>
      </c>
      <c r="AX148" s="230">
        <v>115650</v>
      </c>
      <c r="AY148" s="229">
        <v>0.63959999999999995</v>
      </c>
      <c r="AZ148" s="230">
        <v>15150</v>
      </c>
      <c r="BA148" s="230">
        <v>10650</v>
      </c>
      <c r="BB148" s="230">
        <v>4500</v>
      </c>
      <c r="BC148" s="229">
        <v>0.42249999999999999</v>
      </c>
      <c r="BD148" s="230">
        <v>2625</v>
      </c>
      <c r="BE148" s="230">
        <v>2025</v>
      </c>
      <c r="BF148" s="228">
        <v>600</v>
      </c>
      <c r="BG148" s="229">
        <v>0.29630000000000001</v>
      </c>
      <c r="BH148" s="230">
        <v>1888575</v>
      </c>
      <c r="BI148" s="230">
        <v>456375</v>
      </c>
      <c r="BJ148" s="230">
        <v>1432200</v>
      </c>
      <c r="BK148" s="229">
        <v>3.1381999999999999</v>
      </c>
      <c r="BL148" s="230">
        <v>464550</v>
      </c>
      <c r="BM148" s="230">
        <v>232725</v>
      </c>
      <c r="BN148" s="230">
        <v>231825</v>
      </c>
      <c r="BO148" s="229">
        <v>0.99609999999999999</v>
      </c>
      <c r="BP148" s="230">
        <v>2667375</v>
      </c>
      <c r="BQ148" s="230">
        <v>882600</v>
      </c>
      <c r="BR148" s="230">
        <v>1784775</v>
      </c>
      <c r="BS148" s="229">
        <v>2.0222000000000002</v>
      </c>
      <c r="BT148" s="230">
        <v>125316</v>
      </c>
      <c r="BU148" s="230">
        <v>162236</v>
      </c>
      <c r="BV148" s="230">
        <v>-36920</v>
      </c>
      <c r="BW148" s="229">
        <v>-0.2276</v>
      </c>
      <c r="BX148" s="230">
        <v>1357500</v>
      </c>
      <c r="BY148" s="230">
        <v>1382625</v>
      </c>
      <c r="BZ148" s="230">
        <v>-25125</v>
      </c>
      <c r="CA148" s="229">
        <v>-1.8200000000000001E-2</v>
      </c>
      <c r="CB148" s="230">
        <v>1315350</v>
      </c>
      <c r="CC148" s="230">
        <v>1342425</v>
      </c>
      <c r="CD148" s="230">
        <v>-27075</v>
      </c>
      <c r="CE148" s="229">
        <v>-2.0199999999999999E-2</v>
      </c>
      <c r="CF148" s="230">
        <v>34575</v>
      </c>
      <c r="CG148" s="230">
        <v>32925</v>
      </c>
      <c r="CH148" s="230">
        <v>1650</v>
      </c>
      <c r="CI148" s="229">
        <v>5.0099999999999999E-2</v>
      </c>
      <c r="CJ148" s="230">
        <v>7575</v>
      </c>
      <c r="CK148" s="230">
        <v>7275</v>
      </c>
      <c r="CL148" s="228">
        <v>300</v>
      </c>
      <c r="CM148" s="229">
        <v>4.1200000000000001E-2</v>
      </c>
      <c r="CN148" s="230">
        <v>498675</v>
      </c>
      <c r="CO148" s="230">
        <v>404775</v>
      </c>
      <c r="CP148" s="230">
        <v>93900</v>
      </c>
      <c r="CQ148" s="229">
        <v>0.23200000000000001</v>
      </c>
      <c r="CR148" s="230">
        <v>362475</v>
      </c>
      <c r="CS148" s="230">
        <v>306450</v>
      </c>
      <c r="CT148" s="230">
        <v>56025</v>
      </c>
      <c r="CU148" s="229">
        <v>0.18279999999999999</v>
      </c>
      <c r="CV148" s="230">
        <v>2218650</v>
      </c>
      <c r="CW148" s="230">
        <v>2093850</v>
      </c>
      <c r="CX148" s="230">
        <v>124800</v>
      </c>
      <c r="CY148" s="229">
        <v>5.96E-2</v>
      </c>
      <c r="CZ148" s="228">
        <v>33.6</v>
      </c>
      <c r="DA148" s="228">
        <v>31.76</v>
      </c>
      <c r="DB148" s="228">
        <v>1.84</v>
      </c>
      <c r="DC148" s="228">
        <v>1.84</v>
      </c>
      <c r="DD148" s="228">
        <v>38.14</v>
      </c>
      <c r="DE148" s="228">
        <v>38</v>
      </c>
      <c r="DF148" s="228">
        <v>-4.54</v>
      </c>
      <c r="DG148" s="228">
        <v>0.14000000000000001</v>
      </c>
      <c r="DH148" s="228">
        <v>33.340000000000003</v>
      </c>
      <c r="DI148" s="228">
        <v>31.36</v>
      </c>
      <c r="DJ148" s="228">
        <v>1.98</v>
      </c>
      <c r="DK148" s="228">
        <v>1.98</v>
      </c>
      <c r="DL148" s="228">
        <v>34.659999999999997</v>
      </c>
      <c r="DM148" s="228">
        <v>32.549999999999997</v>
      </c>
      <c r="DN148" s="228">
        <v>2.11</v>
      </c>
      <c r="DO148" s="228">
        <v>2.11</v>
      </c>
      <c r="DP148" s="228">
        <v>0.73</v>
      </c>
      <c r="DQ148" s="228">
        <v>0.76</v>
      </c>
      <c r="DR148" s="228">
        <v>-0.03</v>
      </c>
      <c r="DS148" s="229">
        <v>-3.95E-2</v>
      </c>
      <c r="DT148" s="231">
        <v>8000</v>
      </c>
      <c r="DU148" s="231">
        <v>7700</v>
      </c>
      <c r="DV148" s="228">
        <v>0.25</v>
      </c>
      <c r="DW148" s="228">
        <v>0.51</v>
      </c>
      <c r="DX148" s="228">
        <v>-0.26</v>
      </c>
      <c r="DY148" s="229">
        <v>-0.50980000000000003</v>
      </c>
      <c r="DZ148" s="229">
        <v>3.1E-2</v>
      </c>
      <c r="EA148" s="230">
        <v>40200</v>
      </c>
      <c r="EB148" s="229">
        <v>4.5999999999999999E-3</v>
      </c>
      <c r="EC148" s="229">
        <v>3.1E-2</v>
      </c>
      <c r="ED148" s="228">
        <v>46.48</v>
      </c>
      <c r="EE148" s="229">
        <v>6.0000000000000001E-3</v>
      </c>
      <c r="EF148" s="230">
        <v>52940</v>
      </c>
      <c r="EG148" s="230">
        <v>79010</v>
      </c>
      <c r="EH148" s="229">
        <v>-0.33</v>
      </c>
      <c r="EI148" s="229">
        <v>0.42249999999999999</v>
      </c>
      <c r="EJ148" s="231">
        <v>155273.68</v>
      </c>
      <c r="EK148" s="231">
        <v>34564.129999999997</v>
      </c>
      <c r="EL148" s="231">
        <v>24488.69</v>
      </c>
      <c r="EM148" s="231">
        <v>1810</v>
      </c>
      <c r="EN148" s="231">
        <v>214326.5</v>
      </c>
      <c r="EO148" s="231">
        <v>68525.06</v>
      </c>
      <c r="EP148" s="231">
        <v>145801.44</v>
      </c>
      <c r="EQ148" s="229">
        <v>2.1276999999999999</v>
      </c>
      <c r="ER148" s="231">
        <v>40518</v>
      </c>
      <c r="ES148" s="231">
        <v>27457</v>
      </c>
      <c r="ET148" s="231">
        <v>106868</v>
      </c>
      <c r="EU148" s="231">
        <v>3582756</v>
      </c>
      <c r="EV148" s="231">
        <v>174842</v>
      </c>
      <c r="EW148" s="231">
        <v>161070</v>
      </c>
      <c r="EX148" s="231">
        <v>13772</v>
      </c>
      <c r="EY148" s="229">
        <v>8.5500000000000007E-2</v>
      </c>
      <c r="EZ148" s="229">
        <v>0.61929999999999996</v>
      </c>
      <c r="FA148" s="227" t="s">
        <v>556</v>
      </c>
      <c r="FB148" s="161">
        <f t="shared" si="3"/>
        <v>0</v>
      </c>
    </row>
    <row r="149" spans="1:158" ht="17.25" hidden="1" thickBot="1" x14ac:dyDescent="0.3">
      <c r="A149" s="226">
        <v>46029</v>
      </c>
      <c r="B149" s="227" t="s">
        <v>193</v>
      </c>
      <c r="C149" s="227" t="s">
        <v>587</v>
      </c>
      <c r="D149" s="228">
        <v>1400</v>
      </c>
      <c r="E149" s="228">
        <v>418.7</v>
      </c>
      <c r="F149" s="228">
        <v>426.8</v>
      </c>
      <c r="G149" s="228">
        <v>-8.1</v>
      </c>
      <c r="H149" s="229">
        <v>-1.9E-2</v>
      </c>
      <c r="I149" s="228">
        <v>418.4</v>
      </c>
      <c r="J149" s="228">
        <v>425.55</v>
      </c>
      <c r="K149" s="228">
        <v>-7.15</v>
      </c>
      <c r="L149" s="229">
        <v>-1.6799999999999999E-2</v>
      </c>
      <c r="M149" s="228">
        <v>418.7</v>
      </c>
      <c r="N149" s="228">
        <v>426.8</v>
      </c>
      <c r="O149" s="228">
        <v>-8.1</v>
      </c>
      <c r="P149" s="229">
        <v>-1.9E-2</v>
      </c>
      <c r="Q149" s="228">
        <v>416.95</v>
      </c>
      <c r="R149" s="228">
        <v>425.3</v>
      </c>
      <c r="S149" s="228">
        <v>-8.35</v>
      </c>
      <c r="T149" s="229">
        <v>-1.9599999999999999E-2</v>
      </c>
      <c r="U149" s="228">
        <v>418.3</v>
      </c>
      <c r="V149" s="228">
        <v>427.55</v>
      </c>
      <c r="W149" s="228">
        <v>-9.25</v>
      </c>
      <c r="X149" s="229">
        <v>-2.1600000000000001E-2</v>
      </c>
      <c r="Y149" s="228">
        <v>0.3</v>
      </c>
      <c r="Z149" s="228">
        <v>1.25</v>
      </c>
      <c r="AA149" s="228">
        <v>-0.95</v>
      </c>
      <c r="AB149" s="229">
        <v>6.9999999999999999E-4</v>
      </c>
      <c r="AC149" s="228">
        <v>0.3</v>
      </c>
      <c r="AD149" s="228">
        <v>1.25</v>
      </c>
      <c r="AE149" s="228">
        <v>-0.95</v>
      </c>
      <c r="AF149" s="229">
        <v>6.9999999999999999E-4</v>
      </c>
      <c r="AG149" s="228">
        <v>-1.45</v>
      </c>
      <c r="AH149" s="228">
        <v>-0.25</v>
      </c>
      <c r="AI149" s="228">
        <v>-1.2</v>
      </c>
      <c r="AJ149" s="229">
        <v>-3.5000000000000001E-3</v>
      </c>
      <c r="AK149" s="228">
        <v>-0.1</v>
      </c>
      <c r="AL149" s="228">
        <v>2</v>
      </c>
      <c r="AM149" s="228">
        <v>-2.1</v>
      </c>
      <c r="AN149" s="229">
        <v>-2.0000000000000001E-4</v>
      </c>
      <c r="AO149" s="228">
        <v>418.9</v>
      </c>
      <c r="AP149" s="228">
        <v>417.14</v>
      </c>
      <c r="AQ149" s="228">
        <v>0</v>
      </c>
      <c r="AR149" s="230">
        <v>2381400</v>
      </c>
      <c r="AS149" s="230">
        <v>2657200</v>
      </c>
      <c r="AT149" s="230">
        <v>-275800</v>
      </c>
      <c r="AU149" s="229">
        <v>-0.1038</v>
      </c>
      <c r="AV149" s="230">
        <v>2241400</v>
      </c>
      <c r="AW149" s="230">
        <v>2304400</v>
      </c>
      <c r="AX149" s="230">
        <v>-63000</v>
      </c>
      <c r="AY149" s="229">
        <v>-2.7300000000000001E-2</v>
      </c>
      <c r="AZ149" s="230">
        <v>119000</v>
      </c>
      <c r="BA149" s="230">
        <v>263200</v>
      </c>
      <c r="BB149" s="230">
        <v>-144200</v>
      </c>
      <c r="BC149" s="229">
        <v>-0.54790000000000005</v>
      </c>
      <c r="BD149" s="230">
        <v>21000</v>
      </c>
      <c r="BE149" s="230">
        <v>89600</v>
      </c>
      <c r="BF149" s="230">
        <v>-68600</v>
      </c>
      <c r="BG149" s="229">
        <v>-0.76559999999999995</v>
      </c>
      <c r="BH149" s="230">
        <v>7313600</v>
      </c>
      <c r="BI149" s="230">
        <v>5884200</v>
      </c>
      <c r="BJ149" s="230">
        <v>1429400</v>
      </c>
      <c r="BK149" s="229">
        <v>0.2429</v>
      </c>
      <c r="BL149" s="230">
        <v>9203600</v>
      </c>
      <c r="BM149" s="230">
        <v>2384200</v>
      </c>
      <c r="BN149" s="230">
        <v>6819400</v>
      </c>
      <c r="BO149" s="229">
        <v>2.8601999999999999</v>
      </c>
      <c r="BP149" s="230">
        <v>18898600</v>
      </c>
      <c r="BQ149" s="230">
        <v>10925600</v>
      </c>
      <c r="BR149" s="230">
        <v>7973000</v>
      </c>
      <c r="BS149" s="229">
        <v>0.7298</v>
      </c>
      <c r="BT149" s="230">
        <v>1654416</v>
      </c>
      <c r="BU149" s="230">
        <v>1387186</v>
      </c>
      <c r="BV149" s="230">
        <v>267230</v>
      </c>
      <c r="BW149" s="229">
        <v>0.19259999999999999</v>
      </c>
      <c r="BX149" s="230">
        <v>12300400</v>
      </c>
      <c r="BY149" s="230">
        <v>12391400</v>
      </c>
      <c r="BZ149" s="230">
        <v>-91000</v>
      </c>
      <c r="CA149" s="229">
        <v>-7.3000000000000001E-3</v>
      </c>
      <c r="CB149" s="230">
        <v>11701200</v>
      </c>
      <c r="CC149" s="230">
        <v>11820200</v>
      </c>
      <c r="CD149" s="230">
        <v>-119000</v>
      </c>
      <c r="CE149" s="229">
        <v>-1.01E-2</v>
      </c>
      <c r="CF149" s="230">
        <v>499800</v>
      </c>
      <c r="CG149" s="230">
        <v>477400</v>
      </c>
      <c r="CH149" s="230">
        <v>22400</v>
      </c>
      <c r="CI149" s="229">
        <v>4.6899999999999997E-2</v>
      </c>
      <c r="CJ149" s="230">
        <v>99400</v>
      </c>
      <c r="CK149" s="230">
        <v>93800</v>
      </c>
      <c r="CL149" s="230">
        <v>5600</v>
      </c>
      <c r="CM149" s="229">
        <v>5.9700000000000003E-2</v>
      </c>
      <c r="CN149" s="230">
        <v>5482400</v>
      </c>
      <c r="CO149" s="230">
        <v>5280800</v>
      </c>
      <c r="CP149" s="230">
        <v>201600</v>
      </c>
      <c r="CQ149" s="229">
        <v>3.8199999999999998E-2</v>
      </c>
      <c r="CR149" s="230">
        <v>3904600</v>
      </c>
      <c r="CS149" s="230">
        <v>2857400</v>
      </c>
      <c r="CT149" s="230">
        <v>1047200</v>
      </c>
      <c r="CU149" s="229">
        <v>0.36649999999999999</v>
      </c>
      <c r="CV149" s="230">
        <v>21687400</v>
      </c>
      <c r="CW149" s="230">
        <v>20529600</v>
      </c>
      <c r="CX149" s="230">
        <v>1157800</v>
      </c>
      <c r="CY149" s="229">
        <v>5.6399999999999999E-2</v>
      </c>
      <c r="CZ149" s="228">
        <v>26.93</v>
      </c>
      <c r="DA149" s="228">
        <v>26.53</v>
      </c>
      <c r="DB149" s="228">
        <v>0.4</v>
      </c>
      <c r="DC149" s="228">
        <v>0.4</v>
      </c>
      <c r="DD149" s="228">
        <v>40.479999999999997</v>
      </c>
      <c r="DE149" s="228">
        <v>40.5</v>
      </c>
      <c r="DF149" s="228">
        <v>-13.55</v>
      </c>
      <c r="DG149" s="228">
        <v>-0.02</v>
      </c>
      <c r="DH149" s="228">
        <v>26.74</v>
      </c>
      <c r="DI149" s="228">
        <v>26.62</v>
      </c>
      <c r="DJ149" s="228">
        <v>0.12</v>
      </c>
      <c r="DK149" s="228">
        <v>0.12</v>
      </c>
      <c r="DL149" s="228">
        <v>27.08</v>
      </c>
      <c r="DM149" s="228">
        <v>26.31</v>
      </c>
      <c r="DN149" s="228">
        <v>0.77</v>
      </c>
      <c r="DO149" s="228">
        <v>0.77</v>
      </c>
      <c r="DP149" s="228">
        <v>0.71</v>
      </c>
      <c r="DQ149" s="228">
        <v>0.54</v>
      </c>
      <c r="DR149" s="228">
        <v>0.17</v>
      </c>
      <c r="DS149" s="229">
        <v>0.31480000000000002</v>
      </c>
      <c r="DT149" s="228">
        <v>480</v>
      </c>
      <c r="DU149" s="228">
        <v>400</v>
      </c>
      <c r="DV149" s="228">
        <v>1.26</v>
      </c>
      <c r="DW149" s="228">
        <v>0.41</v>
      </c>
      <c r="DX149" s="228">
        <v>0.85</v>
      </c>
      <c r="DY149" s="229">
        <v>2.0731999999999999</v>
      </c>
      <c r="DZ149" s="229">
        <v>4.87E-2</v>
      </c>
      <c r="EA149" s="230">
        <v>571200</v>
      </c>
      <c r="EB149" s="229">
        <v>-4.1999999999999997E-3</v>
      </c>
      <c r="EC149" s="229">
        <v>4.87E-2</v>
      </c>
      <c r="ED149" s="228">
        <v>-1.76</v>
      </c>
      <c r="EE149" s="229">
        <v>-4.1999999999999997E-3</v>
      </c>
      <c r="EF149" s="230">
        <v>677247</v>
      </c>
      <c r="EG149" s="230">
        <v>469775</v>
      </c>
      <c r="EH149" s="229">
        <v>0.44159999999999999</v>
      </c>
      <c r="EI149" s="229">
        <v>0.40939999999999999</v>
      </c>
      <c r="EJ149" s="231">
        <v>32186.59</v>
      </c>
      <c r="EK149" s="231">
        <v>37845.39</v>
      </c>
      <c r="EL149" s="231">
        <v>9973.6200000000008</v>
      </c>
      <c r="EM149" s="231">
        <v>1745</v>
      </c>
      <c r="EN149" s="231">
        <v>80005.600000000006</v>
      </c>
      <c r="EO149" s="231">
        <v>47594.5</v>
      </c>
      <c r="EP149" s="231">
        <v>32411.1</v>
      </c>
      <c r="EQ149" s="229">
        <v>0.68100000000000005</v>
      </c>
      <c r="ER149" s="231">
        <v>24653</v>
      </c>
      <c r="ES149" s="231">
        <v>15849</v>
      </c>
      <c r="ET149" s="231">
        <v>51493</v>
      </c>
      <c r="EU149" s="231">
        <v>102006452</v>
      </c>
      <c r="EV149" s="231">
        <v>91995</v>
      </c>
      <c r="EW149" s="231">
        <v>88365</v>
      </c>
      <c r="EX149" s="231">
        <v>3630</v>
      </c>
      <c r="EY149" s="229">
        <v>4.1099999999999998E-2</v>
      </c>
      <c r="EZ149" s="229">
        <v>0.21260000000000001</v>
      </c>
      <c r="FA149" s="227" t="s">
        <v>568</v>
      </c>
      <c r="FB149" s="161">
        <f t="shared" si="3"/>
        <v>0</v>
      </c>
    </row>
    <row r="150" spans="1:158" ht="17.25" thickBot="1" x14ac:dyDescent="0.3">
      <c r="A150" s="226">
        <v>46029</v>
      </c>
      <c r="B150" s="227" t="s">
        <v>193</v>
      </c>
      <c r="C150" s="227" t="s">
        <v>269</v>
      </c>
      <c r="D150" s="228">
        <v>2250</v>
      </c>
      <c r="E150" s="228">
        <v>239.56</v>
      </c>
      <c r="F150" s="228">
        <v>242.44</v>
      </c>
      <c r="G150" s="228">
        <v>-2.88</v>
      </c>
      <c r="H150" s="229">
        <v>-1.1900000000000001E-2</v>
      </c>
      <c r="I150" s="228">
        <v>239.06</v>
      </c>
      <c r="J150" s="228">
        <v>241.89</v>
      </c>
      <c r="K150" s="228">
        <v>-2.83</v>
      </c>
      <c r="L150" s="229">
        <v>-1.17E-2</v>
      </c>
      <c r="M150" s="228">
        <v>239.56</v>
      </c>
      <c r="N150" s="228">
        <v>242.44</v>
      </c>
      <c r="O150" s="228">
        <v>-2.88</v>
      </c>
      <c r="P150" s="229">
        <v>-1.1900000000000001E-2</v>
      </c>
      <c r="Q150" s="228">
        <v>240.12</v>
      </c>
      <c r="R150" s="228">
        <v>243.06</v>
      </c>
      <c r="S150" s="228">
        <v>-2.94</v>
      </c>
      <c r="T150" s="229">
        <v>-1.21E-2</v>
      </c>
      <c r="U150" s="228">
        <v>241.73</v>
      </c>
      <c r="V150" s="228">
        <v>244.56</v>
      </c>
      <c r="W150" s="228">
        <v>-2.83</v>
      </c>
      <c r="X150" s="229">
        <v>-1.1599999999999999E-2</v>
      </c>
      <c r="Y150" s="228">
        <v>0.5</v>
      </c>
      <c r="Z150" s="228">
        <v>0.55000000000000004</v>
      </c>
      <c r="AA150" s="228">
        <v>-0.05</v>
      </c>
      <c r="AB150" s="229">
        <v>2.0999999999999999E-3</v>
      </c>
      <c r="AC150" s="228">
        <v>0.5</v>
      </c>
      <c r="AD150" s="228">
        <v>0.55000000000000004</v>
      </c>
      <c r="AE150" s="228">
        <v>-0.05</v>
      </c>
      <c r="AF150" s="229">
        <v>2.0999999999999999E-3</v>
      </c>
      <c r="AG150" s="228">
        <v>1.06</v>
      </c>
      <c r="AH150" s="228">
        <v>1.17</v>
      </c>
      <c r="AI150" s="228">
        <v>-0.11</v>
      </c>
      <c r="AJ150" s="229">
        <v>4.4000000000000003E-3</v>
      </c>
      <c r="AK150" s="228">
        <v>2.67</v>
      </c>
      <c r="AL150" s="228">
        <v>2.67</v>
      </c>
      <c r="AM150" s="228">
        <v>0</v>
      </c>
      <c r="AN150" s="229">
        <v>1.12E-2</v>
      </c>
      <c r="AO150" s="228">
        <v>240.32</v>
      </c>
      <c r="AP150" s="228">
        <v>240.99</v>
      </c>
      <c r="AQ150" s="228">
        <v>0</v>
      </c>
      <c r="AR150" s="230">
        <v>10995750</v>
      </c>
      <c r="AS150" s="230">
        <v>17860500</v>
      </c>
      <c r="AT150" s="230">
        <v>-6864750</v>
      </c>
      <c r="AU150" s="229">
        <v>-0.38440000000000002</v>
      </c>
      <c r="AV150" s="230">
        <v>10053000</v>
      </c>
      <c r="AW150" s="230">
        <v>16299000</v>
      </c>
      <c r="AX150" s="230">
        <v>-6246000</v>
      </c>
      <c r="AY150" s="229">
        <v>-0.38319999999999999</v>
      </c>
      <c r="AZ150" s="230">
        <v>843750</v>
      </c>
      <c r="BA150" s="230">
        <v>1417500</v>
      </c>
      <c r="BB150" s="230">
        <v>-573750</v>
      </c>
      <c r="BC150" s="229">
        <v>-0.40479999999999999</v>
      </c>
      <c r="BD150" s="230">
        <v>99000</v>
      </c>
      <c r="BE150" s="230">
        <v>144000</v>
      </c>
      <c r="BF150" s="230">
        <v>-45000</v>
      </c>
      <c r="BG150" s="229">
        <v>-0.3125</v>
      </c>
      <c r="BH150" s="230">
        <v>45022500</v>
      </c>
      <c r="BI150" s="230">
        <v>84408750</v>
      </c>
      <c r="BJ150" s="230">
        <v>-39386250</v>
      </c>
      <c r="BK150" s="229">
        <v>-0.46660000000000001</v>
      </c>
      <c r="BL150" s="230">
        <v>36173250</v>
      </c>
      <c r="BM150" s="230">
        <v>41370750</v>
      </c>
      <c r="BN150" s="230">
        <v>-5197500</v>
      </c>
      <c r="BO150" s="229">
        <v>-0.12559999999999999</v>
      </c>
      <c r="BP150" s="230">
        <v>92191500</v>
      </c>
      <c r="BQ150" s="230">
        <v>143640000</v>
      </c>
      <c r="BR150" s="230">
        <v>-51448500</v>
      </c>
      <c r="BS150" s="229">
        <v>-0.35820000000000002</v>
      </c>
      <c r="BT150" s="230">
        <v>8599740</v>
      </c>
      <c r="BU150" s="230">
        <v>11217716</v>
      </c>
      <c r="BV150" s="230">
        <v>-2617976</v>
      </c>
      <c r="BW150" s="229">
        <v>-0.2334</v>
      </c>
      <c r="BX150" s="230">
        <v>113073750</v>
      </c>
      <c r="BY150" s="230">
        <v>115427250</v>
      </c>
      <c r="BZ150" s="230">
        <v>-2353500</v>
      </c>
      <c r="CA150" s="229">
        <v>-2.0400000000000001E-2</v>
      </c>
      <c r="CB150" s="230">
        <v>109037250</v>
      </c>
      <c r="CC150" s="230">
        <v>111609000</v>
      </c>
      <c r="CD150" s="230">
        <v>-2571750</v>
      </c>
      <c r="CE150" s="229">
        <v>-2.3E-2</v>
      </c>
      <c r="CF150" s="230">
        <v>3728250</v>
      </c>
      <c r="CG150" s="230">
        <v>3537000</v>
      </c>
      <c r="CH150" s="230">
        <v>191250</v>
      </c>
      <c r="CI150" s="229">
        <v>5.4100000000000002E-2</v>
      </c>
      <c r="CJ150" s="230">
        <v>308250</v>
      </c>
      <c r="CK150" s="230">
        <v>281250</v>
      </c>
      <c r="CL150" s="230">
        <v>27000</v>
      </c>
      <c r="CM150" s="229">
        <v>9.6000000000000002E-2</v>
      </c>
      <c r="CN150" s="230">
        <v>71246250</v>
      </c>
      <c r="CO150" s="230">
        <v>72166500</v>
      </c>
      <c r="CP150" s="230">
        <v>-920250</v>
      </c>
      <c r="CQ150" s="229">
        <v>-1.2800000000000001E-2</v>
      </c>
      <c r="CR150" s="230">
        <v>27362250</v>
      </c>
      <c r="CS150" s="230">
        <v>31882500</v>
      </c>
      <c r="CT150" s="230">
        <v>-4520250</v>
      </c>
      <c r="CU150" s="229">
        <v>-0.14180000000000001</v>
      </c>
      <c r="CV150" s="230">
        <v>211682250</v>
      </c>
      <c r="CW150" s="230">
        <v>219476250</v>
      </c>
      <c r="CX150" s="230">
        <v>-7794000</v>
      </c>
      <c r="CY150" s="229">
        <v>-3.5499999999999997E-2</v>
      </c>
      <c r="CZ150" s="228">
        <v>19.34</v>
      </c>
      <c r="DA150" s="228">
        <v>18.399999999999999</v>
      </c>
      <c r="DB150" s="228">
        <v>0.94</v>
      </c>
      <c r="DC150" s="228">
        <v>0.94</v>
      </c>
      <c r="DD150" s="228">
        <v>29.47</v>
      </c>
      <c r="DE150" s="228">
        <v>29.5</v>
      </c>
      <c r="DF150" s="228">
        <v>-10.130000000000001</v>
      </c>
      <c r="DG150" s="228">
        <v>-0.03</v>
      </c>
      <c r="DH150" s="228">
        <v>19.28</v>
      </c>
      <c r="DI150" s="228">
        <v>17.93</v>
      </c>
      <c r="DJ150" s="228">
        <v>1.35</v>
      </c>
      <c r="DK150" s="228">
        <v>1.35</v>
      </c>
      <c r="DL150" s="228">
        <v>19.420000000000002</v>
      </c>
      <c r="DM150" s="228">
        <v>19.36</v>
      </c>
      <c r="DN150" s="228">
        <v>0.06</v>
      </c>
      <c r="DO150" s="228">
        <v>0.06</v>
      </c>
      <c r="DP150" s="228">
        <v>0.38</v>
      </c>
      <c r="DQ150" s="228">
        <v>0.44</v>
      </c>
      <c r="DR150" s="228">
        <v>-0.06</v>
      </c>
      <c r="DS150" s="229">
        <v>-0.13639999999999999</v>
      </c>
      <c r="DT150" s="228">
        <v>240</v>
      </c>
      <c r="DU150" s="228">
        <v>240</v>
      </c>
      <c r="DV150" s="228">
        <v>0.8</v>
      </c>
      <c r="DW150" s="228">
        <v>0.49</v>
      </c>
      <c r="DX150" s="228">
        <v>0.31</v>
      </c>
      <c r="DY150" s="229">
        <v>0.63270000000000004</v>
      </c>
      <c r="DZ150" s="229">
        <v>3.5700000000000003E-2</v>
      </c>
      <c r="EA150" s="230">
        <v>3818250</v>
      </c>
      <c r="EB150" s="229">
        <v>2.3E-3</v>
      </c>
      <c r="EC150" s="229">
        <v>3.5700000000000003E-2</v>
      </c>
      <c r="ED150" s="228">
        <v>0.67</v>
      </c>
      <c r="EE150" s="229">
        <v>2.8E-3</v>
      </c>
      <c r="EF150" s="230">
        <v>5437880</v>
      </c>
      <c r="EG150" s="230">
        <v>5668795</v>
      </c>
      <c r="EH150" s="229">
        <v>-4.07E-2</v>
      </c>
      <c r="EI150" s="229">
        <v>0.63229999999999997</v>
      </c>
      <c r="EJ150" s="231">
        <v>112177.9</v>
      </c>
      <c r="EK150" s="231">
        <v>86081.32</v>
      </c>
      <c r="EL150" s="231">
        <v>26432.799999999999</v>
      </c>
      <c r="EM150" s="231">
        <v>8259</v>
      </c>
      <c r="EN150" s="231">
        <v>224692.02</v>
      </c>
      <c r="EO150" s="231">
        <v>351430.43</v>
      </c>
      <c r="EP150" s="231">
        <v>-126738.41</v>
      </c>
      <c r="EQ150" s="229">
        <v>-0.36059999999999998</v>
      </c>
      <c r="ER150" s="231">
        <v>176188</v>
      </c>
      <c r="ES150" s="231">
        <v>64507</v>
      </c>
      <c r="ET150" s="231">
        <v>270907</v>
      </c>
      <c r="EU150" s="231">
        <v>517141211</v>
      </c>
      <c r="EV150" s="231">
        <v>511603</v>
      </c>
      <c r="EW150" s="231">
        <v>533797</v>
      </c>
      <c r="EX150" s="231">
        <v>-22194</v>
      </c>
      <c r="EY150" s="229">
        <v>-4.1599999999999998E-2</v>
      </c>
      <c r="EZ150" s="229">
        <v>0.4093</v>
      </c>
      <c r="FA150" s="227" t="s">
        <v>568</v>
      </c>
      <c r="FB150" s="161">
        <f t="shared" si="3"/>
        <v>0</v>
      </c>
    </row>
    <row r="151" spans="1:158" ht="17.25" thickBot="1" x14ac:dyDescent="0.3">
      <c r="A151" s="226">
        <v>46029</v>
      </c>
      <c r="B151" s="227" t="s">
        <v>197</v>
      </c>
      <c r="C151" s="227" t="s">
        <v>270</v>
      </c>
      <c r="D151" s="228">
        <v>15</v>
      </c>
      <c r="E151" s="231">
        <v>35565</v>
      </c>
      <c r="F151" s="231">
        <v>35485</v>
      </c>
      <c r="G151" s="228">
        <v>80</v>
      </c>
      <c r="H151" s="229">
        <v>2.3E-3</v>
      </c>
      <c r="I151" s="231">
        <v>35380</v>
      </c>
      <c r="J151" s="231">
        <v>35360</v>
      </c>
      <c r="K151" s="228">
        <v>20</v>
      </c>
      <c r="L151" s="229">
        <v>5.9999999999999995E-4</v>
      </c>
      <c r="M151" s="231">
        <v>35565</v>
      </c>
      <c r="N151" s="231">
        <v>35485</v>
      </c>
      <c r="O151" s="228">
        <v>80</v>
      </c>
      <c r="P151" s="229">
        <v>2.3E-3</v>
      </c>
      <c r="Q151" s="231">
        <v>35495</v>
      </c>
      <c r="R151" s="231">
        <v>35450</v>
      </c>
      <c r="S151" s="228">
        <v>45</v>
      </c>
      <c r="T151" s="229">
        <v>1.2999999999999999E-3</v>
      </c>
      <c r="U151" s="231">
        <v>35540</v>
      </c>
      <c r="V151" s="231">
        <v>35480</v>
      </c>
      <c r="W151" s="228">
        <v>60</v>
      </c>
      <c r="X151" s="229">
        <v>1.6999999999999999E-3</v>
      </c>
      <c r="Y151" s="228">
        <v>185</v>
      </c>
      <c r="Z151" s="228">
        <v>125</v>
      </c>
      <c r="AA151" s="228">
        <v>60</v>
      </c>
      <c r="AB151" s="229">
        <v>5.1999999999999998E-3</v>
      </c>
      <c r="AC151" s="228">
        <v>185</v>
      </c>
      <c r="AD151" s="228">
        <v>125</v>
      </c>
      <c r="AE151" s="228">
        <v>60</v>
      </c>
      <c r="AF151" s="229">
        <v>5.1999999999999998E-3</v>
      </c>
      <c r="AG151" s="228">
        <v>115</v>
      </c>
      <c r="AH151" s="228">
        <v>90</v>
      </c>
      <c r="AI151" s="228">
        <v>25</v>
      </c>
      <c r="AJ151" s="229">
        <v>3.3E-3</v>
      </c>
      <c r="AK151" s="228">
        <v>160</v>
      </c>
      <c r="AL151" s="228">
        <v>120</v>
      </c>
      <c r="AM151" s="228">
        <v>40</v>
      </c>
      <c r="AN151" s="229">
        <v>4.4999999999999997E-3</v>
      </c>
      <c r="AO151" s="231">
        <v>35570.86</v>
      </c>
      <c r="AP151" s="231">
        <v>35521.160000000003</v>
      </c>
      <c r="AQ151" s="228">
        <v>0</v>
      </c>
      <c r="AR151" s="230">
        <v>19920</v>
      </c>
      <c r="AS151" s="230">
        <v>39765</v>
      </c>
      <c r="AT151" s="230">
        <v>-19845</v>
      </c>
      <c r="AU151" s="229">
        <v>-0.49909999999999999</v>
      </c>
      <c r="AV151" s="230">
        <v>18015</v>
      </c>
      <c r="AW151" s="230">
        <v>36450</v>
      </c>
      <c r="AX151" s="230">
        <v>-18435</v>
      </c>
      <c r="AY151" s="229">
        <v>-0.50580000000000003</v>
      </c>
      <c r="AZ151" s="230">
        <v>1725</v>
      </c>
      <c r="BA151" s="230">
        <v>3000</v>
      </c>
      <c r="BB151" s="230">
        <v>-1275</v>
      </c>
      <c r="BC151" s="229">
        <v>-0.42499999999999999</v>
      </c>
      <c r="BD151" s="228">
        <v>180</v>
      </c>
      <c r="BE151" s="228">
        <v>315</v>
      </c>
      <c r="BF151" s="228">
        <v>-135</v>
      </c>
      <c r="BG151" s="229">
        <v>-0.42859999999999998</v>
      </c>
      <c r="BH151" s="230">
        <v>105825</v>
      </c>
      <c r="BI151" s="230">
        <v>105585</v>
      </c>
      <c r="BJ151" s="228">
        <v>240</v>
      </c>
      <c r="BK151" s="229">
        <v>2.3E-3</v>
      </c>
      <c r="BL151" s="230">
        <v>22800</v>
      </c>
      <c r="BM151" s="230">
        <v>44700</v>
      </c>
      <c r="BN151" s="230">
        <v>-21900</v>
      </c>
      <c r="BO151" s="229">
        <v>-0.4899</v>
      </c>
      <c r="BP151" s="230">
        <v>148545</v>
      </c>
      <c r="BQ151" s="230">
        <v>190050</v>
      </c>
      <c r="BR151" s="230">
        <v>-41505</v>
      </c>
      <c r="BS151" s="229">
        <v>-0.21840000000000001</v>
      </c>
      <c r="BT151" s="230">
        <v>8879</v>
      </c>
      <c r="BU151" s="230">
        <v>15919</v>
      </c>
      <c r="BV151" s="230">
        <v>-7040</v>
      </c>
      <c r="BW151" s="229">
        <v>-0.44219999999999998</v>
      </c>
      <c r="BX151" s="230">
        <v>254460</v>
      </c>
      <c r="BY151" s="230">
        <v>252240</v>
      </c>
      <c r="BZ151" s="230">
        <v>2220</v>
      </c>
      <c r="CA151" s="229">
        <v>8.8000000000000005E-3</v>
      </c>
      <c r="CB151" s="230">
        <v>241365</v>
      </c>
      <c r="CC151" s="230">
        <v>239610</v>
      </c>
      <c r="CD151" s="230">
        <v>1755</v>
      </c>
      <c r="CE151" s="229">
        <v>7.3000000000000001E-3</v>
      </c>
      <c r="CF151" s="230">
        <v>12105</v>
      </c>
      <c r="CG151" s="230">
        <v>11745</v>
      </c>
      <c r="CH151" s="228">
        <v>360</v>
      </c>
      <c r="CI151" s="229">
        <v>3.0700000000000002E-2</v>
      </c>
      <c r="CJ151" s="228">
        <v>990</v>
      </c>
      <c r="CK151" s="228">
        <v>885</v>
      </c>
      <c r="CL151" s="228">
        <v>105</v>
      </c>
      <c r="CM151" s="229">
        <v>0.1186</v>
      </c>
      <c r="CN151" s="230">
        <v>70740</v>
      </c>
      <c r="CO151" s="230">
        <v>74280</v>
      </c>
      <c r="CP151" s="230">
        <v>-3540</v>
      </c>
      <c r="CQ151" s="229">
        <v>-4.7699999999999999E-2</v>
      </c>
      <c r="CR151" s="230">
        <v>37560</v>
      </c>
      <c r="CS151" s="230">
        <v>35310</v>
      </c>
      <c r="CT151" s="230">
        <v>2250</v>
      </c>
      <c r="CU151" s="229">
        <v>6.3700000000000007E-2</v>
      </c>
      <c r="CV151" s="230">
        <v>362760</v>
      </c>
      <c r="CW151" s="230">
        <v>361830</v>
      </c>
      <c r="CX151" s="228">
        <v>930</v>
      </c>
      <c r="CY151" s="229">
        <v>2.5999999999999999E-3</v>
      </c>
      <c r="CZ151" s="228">
        <v>25.36</v>
      </c>
      <c r="DA151" s="228">
        <v>24.07</v>
      </c>
      <c r="DB151" s="228">
        <v>1.29</v>
      </c>
      <c r="DC151" s="228">
        <v>1.29</v>
      </c>
      <c r="DD151" s="228">
        <v>27.42</v>
      </c>
      <c r="DE151" s="228">
        <v>27.49</v>
      </c>
      <c r="DF151" s="228">
        <v>-2.06</v>
      </c>
      <c r="DG151" s="228">
        <v>-7.0000000000000007E-2</v>
      </c>
      <c r="DH151" s="228">
        <v>25.53</v>
      </c>
      <c r="DI151" s="228">
        <v>24.24</v>
      </c>
      <c r="DJ151" s="228">
        <v>1.29</v>
      </c>
      <c r="DK151" s="228">
        <v>1.29</v>
      </c>
      <c r="DL151" s="228">
        <v>24.57</v>
      </c>
      <c r="DM151" s="228">
        <v>23.68</v>
      </c>
      <c r="DN151" s="228">
        <v>0.89</v>
      </c>
      <c r="DO151" s="228">
        <v>0.89</v>
      </c>
      <c r="DP151" s="228">
        <v>0.53</v>
      </c>
      <c r="DQ151" s="228">
        <v>0.48</v>
      </c>
      <c r="DR151" s="228">
        <v>0.05</v>
      </c>
      <c r="DS151" s="229">
        <v>0.1042</v>
      </c>
      <c r="DT151" s="231">
        <v>37000</v>
      </c>
      <c r="DU151" s="231">
        <v>35000</v>
      </c>
      <c r="DV151" s="228">
        <v>0.22</v>
      </c>
      <c r="DW151" s="228">
        <v>0.42</v>
      </c>
      <c r="DX151" s="228">
        <v>-0.2</v>
      </c>
      <c r="DY151" s="229">
        <v>-0.47620000000000001</v>
      </c>
      <c r="DZ151" s="229">
        <v>5.1499999999999997E-2</v>
      </c>
      <c r="EA151" s="230">
        <v>12630</v>
      </c>
      <c r="EB151" s="229">
        <v>-2E-3</v>
      </c>
      <c r="EC151" s="229">
        <v>5.1499999999999997E-2</v>
      </c>
      <c r="ED151" s="228">
        <v>-49.7</v>
      </c>
      <c r="EE151" s="229">
        <v>-1.4E-3</v>
      </c>
      <c r="EF151" s="230">
        <v>4617</v>
      </c>
      <c r="EG151" s="230">
        <v>8373</v>
      </c>
      <c r="EH151" s="229">
        <v>-0.4486</v>
      </c>
      <c r="EI151" s="229">
        <v>0.52</v>
      </c>
      <c r="EJ151" s="231">
        <v>40412.5</v>
      </c>
      <c r="EK151" s="231">
        <v>7916.63</v>
      </c>
      <c r="EL151" s="231">
        <v>7084.81</v>
      </c>
      <c r="EM151" s="231">
        <v>1800</v>
      </c>
      <c r="EN151" s="231">
        <v>55413.94</v>
      </c>
      <c r="EO151" s="231">
        <v>69176.960000000006</v>
      </c>
      <c r="EP151" s="231">
        <v>-13763.02</v>
      </c>
      <c r="EQ151" s="229">
        <v>-0.19900000000000001</v>
      </c>
      <c r="ER151" s="231">
        <v>26679</v>
      </c>
      <c r="ES151" s="231">
        <v>13193</v>
      </c>
      <c r="ET151" s="231">
        <v>90490</v>
      </c>
      <c r="EU151" s="231">
        <v>955549</v>
      </c>
      <c r="EV151" s="231">
        <v>130363</v>
      </c>
      <c r="EW151" s="231">
        <v>129900</v>
      </c>
      <c r="EX151" s="228">
        <v>463</v>
      </c>
      <c r="EY151" s="229">
        <v>3.5999999999999999E-3</v>
      </c>
      <c r="EZ151" s="229">
        <v>0.37959999999999999</v>
      </c>
      <c r="FA151" s="227" t="s">
        <v>555</v>
      </c>
      <c r="FB151" s="161">
        <f t="shared" si="3"/>
        <v>0</v>
      </c>
    </row>
    <row r="152" spans="1:158" ht="17.25" thickBot="1" x14ac:dyDescent="0.3">
      <c r="A152" s="226">
        <v>46029</v>
      </c>
      <c r="B152" s="227" t="s">
        <v>168</v>
      </c>
      <c r="C152" s="227" t="s">
        <v>665</v>
      </c>
      <c r="D152" s="228">
        <v>900</v>
      </c>
      <c r="E152" s="228">
        <v>578.75</v>
      </c>
      <c r="F152" s="228">
        <v>575.65</v>
      </c>
      <c r="G152" s="228">
        <v>3.1</v>
      </c>
      <c r="H152" s="229">
        <v>5.4000000000000003E-3</v>
      </c>
      <c r="I152" s="228">
        <v>576.45000000000005</v>
      </c>
      <c r="J152" s="228">
        <v>574.5</v>
      </c>
      <c r="K152" s="228">
        <v>1.95</v>
      </c>
      <c r="L152" s="229">
        <v>3.3999999999999998E-3</v>
      </c>
      <c r="M152" s="228">
        <v>578.75</v>
      </c>
      <c r="N152" s="228">
        <v>575.65</v>
      </c>
      <c r="O152" s="228">
        <v>3.1</v>
      </c>
      <c r="P152" s="229">
        <v>5.4000000000000003E-3</v>
      </c>
      <c r="Q152" s="228">
        <v>581.6</v>
      </c>
      <c r="R152" s="228">
        <v>578.95000000000005</v>
      </c>
      <c r="S152" s="228">
        <v>2.65</v>
      </c>
      <c r="T152" s="229">
        <v>4.5999999999999999E-3</v>
      </c>
      <c r="U152" s="228">
        <v>589.9</v>
      </c>
      <c r="V152" s="228">
        <v>581.95000000000005</v>
      </c>
      <c r="W152" s="228">
        <v>7.95</v>
      </c>
      <c r="X152" s="229">
        <v>1.37E-2</v>
      </c>
      <c r="Y152" s="228">
        <v>2.2999999999999998</v>
      </c>
      <c r="Z152" s="228">
        <v>1.1499999999999999</v>
      </c>
      <c r="AA152" s="228">
        <v>1.1499999999999999</v>
      </c>
      <c r="AB152" s="229">
        <v>4.0000000000000001E-3</v>
      </c>
      <c r="AC152" s="228">
        <v>2.2999999999999998</v>
      </c>
      <c r="AD152" s="228">
        <v>1.1499999999999999</v>
      </c>
      <c r="AE152" s="228">
        <v>1.1499999999999999</v>
      </c>
      <c r="AF152" s="229">
        <v>4.0000000000000001E-3</v>
      </c>
      <c r="AG152" s="228">
        <v>5.15</v>
      </c>
      <c r="AH152" s="228">
        <v>4.45</v>
      </c>
      <c r="AI152" s="228">
        <v>0.7</v>
      </c>
      <c r="AJ152" s="229">
        <v>8.8999999999999999E-3</v>
      </c>
      <c r="AK152" s="228">
        <v>13.45</v>
      </c>
      <c r="AL152" s="228">
        <v>7.45</v>
      </c>
      <c r="AM152" s="228">
        <v>6</v>
      </c>
      <c r="AN152" s="229">
        <v>2.3300000000000001E-2</v>
      </c>
      <c r="AO152" s="228">
        <v>580.39</v>
      </c>
      <c r="AP152" s="228">
        <v>583.57000000000005</v>
      </c>
      <c r="AQ152" s="228">
        <v>0</v>
      </c>
      <c r="AR152" s="230">
        <v>4688100</v>
      </c>
      <c r="AS152" s="230">
        <v>7554600</v>
      </c>
      <c r="AT152" s="230">
        <v>-2866500</v>
      </c>
      <c r="AU152" s="229">
        <v>-0.37940000000000002</v>
      </c>
      <c r="AV152" s="230">
        <v>4645800</v>
      </c>
      <c r="AW152" s="230">
        <v>7442100</v>
      </c>
      <c r="AX152" s="230">
        <v>-2796300</v>
      </c>
      <c r="AY152" s="229">
        <v>-0.37569999999999998</v>
      </c>
      <c r="AZ152" s="230">
        <v>41400</v>
      </c>
      <c r="BA152" s="230">
        <v>109800</v>
      </c>
      <c r="BB152" s="230">
        <v>-68400</v>
      </c>
      <c r="BC152" s="229">
        <v>-0.623</v>
      </c>
      <c r="BD152" s="228">
        <v>900</v>
      </c>
      <c r="BE152" s="230">
        <v>2700</v>
      </c>
      <c r="BF152" s="230">
        <v>-1800</v>
      </c>
      <c r="BG152" s="229">
        <v>-0.66669999999999996</v>
      </c>
      <c r="BH152" s="230">
        <v>5370300</v>
      </c>
      <c r="BI152" s="230">
        <v>5535000</v>
      </c>
      <c r="BJ152" s="230">
        <v>-164700</v>
      </c>
      <c r="BK152" s="229">
        <v>-2.98E-2</v>
      </c>
      <c r="BL152" s="230">
        <v>2358000</v>
      </c>
      <c r="BM152" s="230">
        <v>2591100</v>
      </c>
      <c r="BN152" s="230">
        <v>-233100</v>
      </c>
      <c r="BO152" s="229">
        <v>-0.09</v>
      </c>
      <c r="BP152" s="230">
        <v>12416400</v>
      </c>
      <c r="BQ152" s="230">
        <v>15680700</v>
      </c>
      <c r="BR152" s="230">
        <v>-3264300</v>
      </c>
      <c r="BS152" s="229">
        <v>-0.2082</v>
      </c>
      <c r="BT152" s="230">
        <v>2282661</v>
      </c>
      <c r="BU152" s="230">
        <v>2361422</v>
      </c>
      <c r="BV152" s="230">
        <v>-78761</v>
      </c>
      <c r="BW152" s="229">
        <v>-3.3399999999999999E-2</v>
      </c>
      <c r="BX152" s="230">
        <v>40683600</v>
      </c>
      <c r="BY152" s="230">
        <v>40651200</v>
      </c>
      <c r="BZ152" s="230">
        <v>32400</v>
      </c>
      <c r="CA152" s="229">
        <v>8.0000000000000004E-4</v>
      </c>
      <c r="CB152" s="230">
        <v>40486500</v>
      </c>
      <c r="CC152" s="230">
        <v>40458600</v>
      </c>
      <c r="CD152" s="230">
        <v>27900</v>
      </c>
      <c r="CE152" s="229">
        <v>6.9999999999999999E-4</v>
      </c>
      <c r="CF152" s="230">
        <v>180900</v>
      </c>
      <c r="CG152" s="230">
        <v>177300</v>
      </c>
      <c r="CH152" s="230">
        <v>3600</v>
      </c>
      <c r="CI152" s="229">
        <v>2.0299999999999999E-2</v>
      </c>
      <c r="CJ152" s="230">
        <v>16200</v>
      </c>
      <c r="CK152" s="230">
        <v>15300</v>
      </c>
      <c r="CL152" s="228">
        <v>900</v>
      </c>
      <c r="CM152" s="229">
        <v>5.8799999999999998E-2</v>
      </c>
      <c r="CN152" s="230">
        <v>4903200</v>
      </c>
      <c r="CO152" s="230">
        <v>4671900</v>
      </c>
      <c r="CP152" s="230">
        <v>231300</v>
      </c>
      <c r="CQ152" s="229">
        <v>4.9500000000000002E-2</v>
      </c>
      <c r="CR152" s="230">
        <v>3012300</v>
      </c>
      <c r="CS152" s="230">
        <v>2776500</v>
      </c>
      <c r="CT152" s="230">
        <v>235800</v>
      </c>
      <c r="CU152" s="229">
        <v>8.4900000000000003E-2</v>
      </c>
      <c r="CV152" s="230">
        <v>48599100</v>
      </c>
      <c r="CW152" s="230">
        <v>48099600</v>
      </c>
      <c r="CX152" s="230">
        <v>499500</v>
      </c>
      <c r="CY152" s="229">
        <v>1.04E-2</v>
      </c>
      <c r="CZ152" s="228">
        <v>30.48</v>
      </c>
      <c r="DA152" s="228">
        <v>30.49</v>
      </c>
      <c r="DB152" s="228">
        <v>-0.01</v>
      </c>
      <c r="DC152" s="228">
        <v>-0.01</v>
      </c>
      <c r="DD152" s="228">
        <v>32.83</v>
      </c>
      <c r="DE152" s="228">
        <v>32.909999999999997</v>
      </c>
      <c r="DF152" s="228">
        <v>-2.35</v>
      </c>
      <c r="DG152" s="228">
        <v>-0.08</v>
      </c>
      <c r="DH152" s="228">
        <v>30.55</v>
      </c>
      <c r="DI152" s="228">
        <v>30.61</v>
      </c>
      <c r="DJ152" s="228">
        <v>-0.06</v>
      </c>
      <c r="DK152" s="228">
        <v>-0.06</v>
      </c>
      <c r="DL152" s="228">
        <v>30.33</v>
      </c>
      <c r="DM152" s="228">
        <v>30.24</v>
      </c>
      <c r="DN152" s="228">
        <v>0.09</v>
      </c>
      <c r="DO152" s="228">
        <v>0.09</v>
      </c>
      <c r="DP152" s="228">
        <v>0.61</v>
      </c>
      <c r="DQ152" s="228">
        <v>0.59</v>
      </c>
      <c r="DR152" s="228">
        <v>0.02</v>
      </c>
      <c r="DS152" s="229">
        <v>3.39E-2</v>
      </c>
      <c r="DT152" s="228">
        <v>600</v>
      </c>
      <c r="DU152" s="228">
        <v>520</v>
      </c>
      <c r="DV152" s="228">
        <v>0.44</v>
      </c>
      <c r="DW152" s="228">
        <v>0.47</v>
      </c>
      <c r="DX152" s="228">
        <v>-0.03</v>
      </c>
      <c r="DY152" s="229">
        <v>-6.3799999999999996E-2</v>
      </c>
      <c r="DZ152" s="229">
        <v>4.7999999999999996E-3</v>
      </c>
      <c r="EA152" s="230">
        <v>192600</v>
      </c>
      <c r="EB152" s="229">
        <v>4.8999999999999998E-3</v>
      </c>
      <c r="EC152" s="229">
        <v>4.7999999999999996E-3</v>
      </c>
      <c r="ED152" s="228">
        <v>3.18</v>
      </c>
      <c r="EE152" s="229">
        <v>5.4999999999999997E-3</v>
      </c>
      <c r="EF152" s="230">
        <v>1665546</v>
      </c>
      <c r="EG152" s="230">
        <v>791166</v>
      </c>
      <c r="EH152" s="229">
        <v>1.1052</v>
      </c>
      <c r="EI152" s="229">
        <v>0.72970000000000002</v>
      </c>
      <c r="EJ152" s="231">
        <v>32717.200000000001</v>
      </c>
      <c r="EK152" s="231">
        <v>13359.68</v>
      </c>
      <c r="EL152" s="231">
        <v>27210.76</v>
      </c>
      <c r="EM152" s="231">
        <v>7276</v>
      </c>
      <c r="EN152" s="231">
        <v>73287.64</v>
      </c>
      <c r="EO152" s="231">
        <v>91708.34</v>
      </c>
      <c r="EP152" s="231">
        <v>-18420.7</v>
      </c>
      <c r="EQ152" s="229">
        <v>-0.2009</v>
      </c>
      <c r="ER152" s="231">
        <v>28760</v>
      </c>
      <c r="ES152" s="231">
        <v>16586</v>
      </c>
      <c r="ET152" s="231">
        <v>235463</v>
      </c>
      <c r="EU152" s="231">
        <v>50886533</v>
      </c>
      <c r="EV152" s="231">
        <v>280809</v>
      </c>
      <c r="EW152" s="231">
        <v>276524</v>
      </c>
      <c r="EX152" s="231">
        <v>4285</v>
      </c>
      <c r="EY152" s="229">
        <v>1.55E-2</v>
      </c>
      <c r="EZ152" s="229">
        <v>0.95499999999999996</v>
      </c>
      <c r="FA152" s="227" t="s">
        <v>555</v>
      </c>
      <c r="FB152" s="161">
        <f t="shared" si="3"/>
        <v>0</v>
      </c>
    </row>
    <row r="153" spans="1:158" ht="17.25" thickBot="1" x14ac:dyDescent="0.3">
      <c r="A153" s="226">
        <v>46029</v>
      </c>
      <c r="B153" s="227" t="s">
        <v>615</v>
      </c>
      <c r="C153" s="227" t="s">
        <v>575</v>
      </c>
      <c r="D153" s="228">
        <v>725</v>
      </c>
      <c r="E153" s="231">
        <v>1325.4</v>
      </c>
      <c r="F153" s="231">
        <v>1335.1</v>
      </c>
      <c r="G153" s="228">
        <v>-9.6999999999999993</v>
      </c>
      <c r="H153" s="229">
        <v>-7.3000000000000001E-3</v>
      </c>
      <c r="I153" s="231">
        <v>1318.8</v>
      </c>
      <c r="J153" s="231">
        <v>1332.1</v>
      </c>
      <c r="K153" s="228">
        <v>-13.3</v>
      </c>
      <c r="L153" s="229">
        <v>-0.01</v>
      </c>
      <c r="M153" s="231">
        <v>1325.4</v>
      </c>
      <c r="N153" s="231">
        <v>1335.1</v>
      </c>
      <c r="O153" s="228">
        <v>-9.6999999999999993</v>
      </c>
      <c r="P153" s="229">
        <v>-7.3000000000000001E-3</v>
      </c>
      <c r="Q153" s="231">
        <v>1331.6</v>
      </c>
      <c r="R153" s="231">
        <v>1343.4</v>
      </c>
      <c r="S153" s="228">
        <v>-11.8</v>
      </c>
      <c r="T153" s="229">
        <v>-8.8000000000000005E-3</v>
      </c>
      <c r="U153" s="231">
        <v>1338</v>
      </c>
      <c r="V153" s="231">
        <v>1349.7</v>
      </c>
      <c r="W153" s="228">
        <v>-11.7</v>
      </c>
      <c r="X153" s="229">
        <v>-8.6999999999999994E-3</v>
      </c>
      <c r="Y153" s="228">
        <v>6.6</v>
      </c>
      <c r="Z153" s="228">
        <v>3</v>
      </c>
      <c r="AA153" s="228">
        <v>3.6</v>
      </c>
      <c r="AB153" s="229">
        <v>5.0000000000000001E-3</v>
      </c>
      <c r="AC153" s="228">
        <v>6.6</v>
      </c>
      <c r="AD153" s="228">
        <v>3</v>
      </c>
      <c r="AE153" s="228">
        <v>3.6</v>
      </c>
      <c r="AF153" s="229">
        <v>5.0000000000000001E-3</v>
      </c>
      <c r="AG153" s="228">
        <v>12.8</v>
      </c>
      <c r="AH153" s="228">
        <v>11.3</v>
      </c>
      <c r="AI153" s="228">
        <v>1.5</v>
      </c>
      <c r="AJ153" s="229">
        <v>9.7000000000000003E-3</v>
      </c>
      <c r="AK153" s="228">
        <v>19.2</v>
      </c>
      <c r="AL153" s="228">
        <v>17.600000000000001</v>
      </c>
      <c r="AM153" s="228">
        <v>1.6</v>
      </c>
      <c r="AN153" s="229">
        <v>1.46E-2</v>
      </c>
      <c r="AO153" s="231">
        <v>1330.65</v>
      </c>
      <c r="AP153" s="231">
        <v>1338.61</v>
      </c>
      <c r="AQ153" s="228">
        <v>0</v>
      </c>
      <c r="AR153" s="230">
        <v>1898050</v>
      </c>
      <c r="AS153" s="230">
        <v>2035800</v>
      </c>
      <c r="AT153" s="230">
        <v>-137750</v>
      </c>
      <c r="AU153" s="229">
        <v>-6.7699999999999996E-2</v>
      </c>
      <c r="AV153" s="230">
        <v>1771900</v>
      </c>
      <c r="AW153" s="230">
        <v>1977800</v>
      </c>
      <c r="AX153" s="230">
        <v>-205900</v>
      </c>
      <c r="AY153" s="229">
        <v>-0.1041</v>
      </c>
      <c r="AZ153" s="230">
        <v>118900</v>
      </c>
      <c r="BA153" s="230">
        <v>48575</v>
      </c>
      <c r="BB153" s="230">
        <v>70325</v>
      </c>
      <c r="BC153" s="229">
        <v>1.4478</v>
      </c>
      <c r="BD153" s="230">
        <v>7250</v>
      </c>
      <c r="BE153" s="230">
        <v>9425</v>
      </c>
      <c r="BF153" s="230">
        <v>-2175</v>
      </c>
      <c r="BG153" s="229">
        <v>-0.23080000000000001</v>
      </c>
      <c r="BH153" s="230">
        <v>4701625</v>
      </c>
      <c r="BI153" s="230">
        <v>3709825</v>
      </c>
      <c r="BJ153" s="230">
        <v>991800</v>
      </c>
      <c r="BK153" s="229">
        <v>0.26729999999999998</v>
      </c>
      <c r="BL153" s="230">
        <v>2340300</v>
      </c>
      <c r="BM153" s="230">
        <v>2205450</v>
      </c>
      <c r="BN153" s="230">
        <v>134850</v>
      </c>
      <c r="BO153" s="229">
        <v>6.1100000000000002E-2</v>
      </c>
      <c r="BP153" s="230">
        <v>8939975</v>
      </c>
      <c r="BQ153" s="230">
        <v>7951075</v>
      </c>
      <c r="BR153" s="230">
        <v>988900</v>
      </c>
      <c r="BS153" s="229">
        <v>0.1244</v>
      </c>
      <c r="BT153" s="230">
        <v>1654361</v>
      </c>
      <c r="BU153" s="230">
        <v>1317379</v>
      </c>
      <c r="BV153" s="230">
        <v>336982</v>
      </c>
      <c r="BW153" s="229">
        <v>0.25580000000000003</v>
      </c>
      <c r="BX153" s="230">
        <v>17219475</v>
      </c>
      <c r="BY153" s="230">
        <v>16965725</v>
      </c>
      <c r="BZ153" s="230">
        <v>253750</v>
      </c>
      <c r="CA153" s="229">
        <v>1.4999999999999999E-2</v>
      </c>
      <c r="CB153" s="230">
        <v>16940350</v>
      </c>
      <c r="CC153" s="230">
        <v>16715600</v>
      </c>
      <c r="CD153" s="230">
        <v>224750</v>
      </c>
      <c r="CE153" s="229">
        <v>1.34E-2</v>
      </c>
      <c r="CF153" s="230">
        <v>255925</v>
      </c>
      <c r="CG153" s="230">
        <v>228375</v>
      </c>
      <c r="CH153" s="230">
        <v>27550</v>
      </c>
      <c r="CI153" s="229">
        <v>0.1206</v>
      </c>
      <c r="CJ153" s="230">
        <v>23200</v>
      </c>
      <c r="CK153" s="230">
        <v>21750</v>
      </c>
      <c r="CL153" s="230">
        <v>1450</v>
      </c>
      <c r="CM153" s="229">
        <v>6.6699999999999995E-2</v>
      </c>
      <c r="CN153" s="230">
        <v>4600850</v>
      </c>
      <c r="CO153" s="230">
        <v>4157875</v>
      </c>
      <c r="CP153" s="230">
        <v>442975</v>
      </c>
      <c r="CQ153" s="229">
        <v>0.1065</v>
      </c>
      <c r="CR153" s="230">
        <v>2906525</v>
      </c>
      <c r="CS153" s="230">
        <v>2881150</v>
      </c>
      <c r="CT153" s="230">
        <v>25375</v>
      </c>
      <c r="CU153" s="229">
        <v>8.8000000000000005E-3</v>
      </c>
      <c r="CV153" s="230">
        <v>24726850</v>
      </c>
      <c r="CW153" s="230">
        <v>24004750</v>
      </c>
      <c r="CX153" s="230">
        <v>722100</v>
      </c>
      <c r="CY153" s="229">
        <v>3.0099999999999998E-2</v>
      </c>
      <c r="CZ153" s="228">
        <v>31.9</v>
      </c>
      <c r="DA153" s="228">
        <v>30.7</v>
      </c>
      <c r="DB153" s="228">
        <v>1.2</v>
      </c>
      <c r="DC153" s="228">
        <v>1.2</v>
      </c>
      <c r="DD153" s="228">
        <v>51.09</v>
      </c>
      <c r="DE153" s="228">
        <v>51.21</v>
      </c>
      <c r="DF153" s="228">
        <v>-19.190000000000001</v>
      </c>
      <c r="DG153" s="228">
        <v>-0.12</v>
      </c>
      <c r="DH153" s="228">
        <v>31.88</v>
      </c>
      <c r="DI153" s="228">
        <v>30.51</v>
      </c>
      <c r="DJ153" s="228">
        <v>1.37</v>
      </c>
      <c r="DK153" s="228">
        <v>1.37</v>
      </c>
      <c r="DL153" s="228">
        <v>31.95</v>
      </c>
      <c r="DM153" s="228">
        <v>31</v>
      </c>
      <c r="DN153" s="228">
        <v>0.95</v>
      </c>
      <c r="DO153" s="228">
        <v>0.95</v>
      </c>
      <c r="DP153" s="228">
        <v>0.63</v>
      </c>
      <c r="DQ153" s="228">
        <v>0.69</v>
      </c>
      <c r="DR153" s="228">
        <v>-0.06</v>
      </c>
      <c r="DS153" s="229">
        <v>-8.6999999999999994E-2</v>
      </c>
      <c r="DT153" s="231">
        <v>1400</v>
      </c>
      <c r="DU153" s="231">
        <v>1300</v>
      </c>
      <c r="DV153" s="228">
        <v>0.5</v>
      </c>
      <c r="DW153" s="228">
        <v>0.59</v>
      </c>
      <c r="DX153" s="228">
        <v>-0.09</v>
      </c>
      <c r="DY153" s="229">
        <v>-0.1525</v>
      </c>
      <c r="DZ153" s="229">
        <v>1.6199999999999999E-2</v>
      </c>
      <c r="EA153" s="230">
        <v>250125</v>
      </c>
      <c r="EB153" s="229">
        <v>4.7000000000000002E-3</v>
      </c>
      <c r="EC153" s="229">
        <v>1.6199999999999999E-2</v>
      </c>
      <c r="ED153" s="228">
        <v>7.96</v>
      </c>
      <c r="EE153" s="229">
        <v>6.0000000000000001E-3</v>
      </c>
      <c r="EF153" s="230">
        <v>828156</v>
      </c>
      <c r="EG153" s="230">
        <v>602804</v>
      </c>
      <c r="EH153" s="229">
        <v>0.37380000000000002</v>
      </c>
      <c r="EI153" s="229">
        <v>0.50060000000000004</v>
      </c>
      <c r="EJ153" s="231">
        <v>65920.7</v>
      </c>
      <c r="EK153" s="231">
        <v>30399.599999999999</v>
      </c>
      <c r="EL153" s="231">
        <v>25267.19</v>
      </c>
      <c r="EM153" s="231">
        <v>3179</v>
      </c>
      <c r="EN153" s="231">
        <v>121587.49</v>
      </c>
      <c r="EO153" s="231">
        <v>107815.41</v>
      </c>
      <c r="EP153" s="231">
        <v>13772.08</v>
      </c>
      <c r="EQ153" s="229">
        <v>0.12770000000000001</v>
      </c>
      <c r="ER153" s="231">
        <v>63312</v>
      </c>
      <c r="ES153" s="231">
        <v>37011</v>
      </c>
      <c r="ET153" s="231">
        <v>228246</v>
      </c>
      <c r="EU153" s="231">
        <v>95799519</v>
      </c>
      <c r="EV153" s="231">
        <v>328569</v>
      </c>
      <c r="EW153" s="231">
        <v>320467</v>
      </c>
      <c r="EX153" s="231">
        <v>8102</v>
      </c>
      <c r="EY153" s="229">
        <v>2.53E-2</v>
      </c>
      <c r="EZ153" s="229">
        <v>0.2581</v>
      </c>
      <c r="FA153" s="227" t="s">
        <v>567</v>
      </c>
      <c r="FB153" s="161">
        <f>BX227-CB227</f>
        <v>0</v>
      </c>
    </row>
    <row r="154" spans="1:158" ht="17.25" thickBot="1" x14ac:dyDescent="0.3">
      <c r="A154" s="226">
        <v>46029</v>
      </c>
      <c r="B154" s="227" t="s">
        <v>221</v>
      </c>
      <c r="C154" s="227" t="s">
        <v>529</v>
      </c>
      <c r="D154" s="228">
        <v>100</v>
      </c>
      <c r="E154" s="231">
        <v>6539</v>
      </c>
      <c r="F154" s="231">
        <v>6253</v>
      </c>
      <c r="G154" s="228">
        <v>286</v>
      </c>
      <c r="H154" s="229">
        <v>4.5699999999999998E-2</v>
      </c>
      <c r="I154" s="231">
        <v>6513.5</v>
      </c>
      <c r="J154" s="231">
        <v>6249</v>
      </c>
      <c r="K154" s="228">
        <v>264.5</v>
      </c>
      <c r="L154" s="229">
        <v>4.2299999999999997E-2</v>
      </c>
      <c r="M154" s="231">
        <v>6539</v>
      </c>
      <c r="N154" s="231">
        <v>6253</v>
      </c>
      <c r="O154" s="228">
        <v>286</v>
      </c>
      <c r="P154" s="229">
        <v>4.5699999999999998E-2</v>
      </c>
      <c r="Q154" s="231">
        <v>6558</v>
      </c>
      <c r="R154" s="231">
        <v>6267.5</v>
      </c>
      <c r="S154" s="228">
        <v>290.5</v>
      </c>
      <c r="T154" s="229">
        <v>4.6399999999999997E-2</v>
      </c>
      <c r="U154" s="231">
        <v>6586.5</v>
      </c>
      <c r="V154" s="231">
        <v>6328.5</v>
      </c>
      <c r="W154" s="228">
        <v>258</v>
      </c>
      <c r="X154" s="229">
        <v>4.0800000000000003E-2</v>
      </c>
      <c r="Y154" s="228">
        <v>25.5</v>
      </c>
      <c r="Z154" s="228">
        <v>4</v>
      </c>
      <c r="AA154" s="228">
        <v>21.5</v>
      </c>
      <c r="AB154" s="229">
        <v>3.8999999999999998E-3</v>
      </c>
      <c r="AC154" s="228">
        <v>25.5</v>
      </c>
      <c r="AD154" s="228">
        <v>4</v>
      </c>
      <c r="AE154" s="228">
        <v>21.5</v>
      </c>
      <c r="AF154" s="229">
        <v>3.8999999999999998E-3</v>
      </c>
      <c r="AG154" s="228">
        <v>44.5</v>
      </c>
      <c r="AH154" s="228">
        <v>18.5</v>
      </c>
      <c r="AI154" s="228">
        <v>26</v>
      </c>
      <c r="AJ154" s="229">
        <v>6.7999999999999996E-3</v>
      </c>
      <c r="AK154" s="228">
        <v>73</v>
      </c>
      <c r="AL154" s="228">
        <v>79.5</v>
      </c>
      <c r="AM154" s="228">
        <v>-6.5</v>
      </c>
      <c r="AN154" s="229">
        <v>1.12E-2</v>
      </c>
      <c r="AO154" s="231">
        <v>6459.3</v>
      </c>
      <c r="AP154" s="231">
        <v>6477.8</v>
      </c>
      <c r="AQ154" s="228">
        <v>0</v>
      </c>
      <c r="AR154" s="230">
        <v>736400</v>
      </c>
      <c r="AS154" s="230">
        <v>292600</v>
      </c>
      <c r="AT154" s="230">
        <v>443800</v>
      </c>
      <c r="AU154" s="229">
        <v>1.5166999999999999</v>
      </c>
      <c r="AV154" s="230">
        <v>701100</v>
      </c>
      <c r="AW154" s="230">
        <v>283400</v>
      </c>
      <c r="AX154" s="230">
        <v>417700</v>
      </c>
      <c r="AY154" s="229">
        <v>1.4739</v>
      </c>
      <c r="AZ154" s="230">
        <v>30900</v>
      </c>
      <c r="BA154" s="230">
        <v>8100</v>
      </c>
      <c r="BB154" s="230">
        <v>22800</v>
      </c>
      <c r="BC154" s="229">
        <v>2.8148</v>
      </c>
      <c r="BD154" s="230">
        <v>4400</v>
      </c>
      <c r="BE154" s="230">
        <v>1100</v>
      </c>
      <c r="BF154" s="230">
        <v>3300</v>
      </c>
      <c r="BG154" s="229">
        <v>3</v>
      </c>
      <c r="BH154" s="230">
        <v>4501200</v>
      </c>
      <c r="BI154" s="230">
        <v>856300</v>
      </c>
      <c r="BJ154" s="230">
        <v>3644900</v>
      </c>
      <c r="BK154" s="229">
        <v>4.2565999999999997</v>
      </c>
      <c r="BL154" s="230">
        <v>1583400</v>
      </c>
      <c r="BM154" s="230">
        <v>287400</v>
      </c>
      <c r="BN154" s="230">
        <v>1296000</v>
      </c>
      <c r="BO154" s="229">
        <v>4.5094000000000003</v>
      </c>
      <c r="BP154" s="230">
        <v>6821000</v>
      </c>
      <c r="BQ154" s="230">
        <v>1436300</v>
      </c>
      <c r="BR154" s="230">
        <v>5384700</v>
      </c>
      <c r="BS154" s="229">
        <v>3.7490000000000001</v>
      </c>
      <c r="BT154" s="230">
        <v>651778</v>
      </c>
      <c r="BU154" s="230">
        <v>183662</v>
      </c>
      <c r="BV154" s="230">
        <v>468116</v>
      </c>
      <c r="BW154" s="229">
        <v>2.5488</v>
      </c>
      <c r="BX154" s="230">
        <v>2275500</v>
      </c>
      <c r="BY154" s="230">
        <v>2233500</v>
      </c>
      <c r="BZ154" s="230">
        <v>42000</v>
      </c>
      <c r="CA154" s="229">
        <v>1.8800000000000001E-2</v>
      </c>
      <c r="CB154" s="230">
        <v>2125300</v>
      </c>
      <c r="CC154" s="230">
        <v>2086600</v>
      </c>
      <c r="CD154" s="230">
        <v>38700</v>
      </c>
      <c r="CE154" s="229">
        <v>1.8499999999999999E-2</v>
      </c>
      <c r="CF154" s="230">
        <v>146100</v>
      </c>
      <c r="CG154" s="230">
        <v>142600</v>
      </c>
      <c r="CH154" s="230">
        <v>3500</v>
      </c>
      <c r="CI154" s="229">
        <v>2.4500000000000001E-2</v>
      </c>
      <c r="CJ154" s="230">
        <v>4100</v>
      </c>
      <c r="CK154" s="230">
        <v>4300</v>
      </c>
      <c r="CL154" s="228">
        <v>-200</v>
      </c>
      <c r="CM154" s="229">
        <v>-4.65E-2</v>
      </c>
      <c r="CN154" s="230">
        <v>635300</v>
      </c>
      <c r="CO154" s="230">
        <v>605700</v>
      </c>
      <c r="CP154" s="230">
        <v>29600</v>
      </c>
      <c r="CQ154" s="229">
        <v>4.8899999999999999E-2</v>
      </c>
      <c r="CR154" s="230">
        <v>542400</v>
      </c>
      <c r="CS154" s="230">
        <v>399700</v>
      </c>
      <c r="CT154" s="230">
        <v>142700</v>
      </c>
      <c r="CU154" s="229">
        <v>0.35699999999999998</v>
      </c>
      <c r="CV154" s="230">
        <v>3453200</v>
      </c>
      <c r="CW154" s="230">
        <v>3238900</v>
      </c>
      <c r="CX154" s="230">
        <v>214300</v>
      </c>
      <c r="CY154" s="229">
        <v>6.6199999999999995E-2</v>
      </c>
      <c r="CZ154" s="228">
        <v>35.07</v>
      </c>
      <c r="DA154" s="228">
        <v>33.729999999999997</v>
      </c>
      <c r="DB154" s="228">
        <v>1.34</v>
      </c>
      <c r="DC154" s="228">
        <v>1.34</v>
      </c>
      <c r="DD154" s="228">
        <v>39.729999999999997</v>
      </c>
      <c r="DE154" s="228">
        <v>39.44</v>
      </c>
      <c r="DF154" s="228">
        <v>-4.66</v>
      </c>
      <c r="DG154" s="228">
        <v>0.28999999999999998</v>
      </c>
      <c r="DH154" s="228">
        <v>34.770000000000003</v>
      </c>
      <c r="DI154" s="228">
        <v>33.69</v>
      </c>
      <c r="DJ154" s="228">
        <v>1.08</v>
      </c>
      <c r="DK154" s="228">
        <v>1.08</v>
      </c>
      <c r="DL154" s="228">
        <v>35.94</v>
      </c>
      <c r="DM154" s="228">
        <v>33.86</v>
      </c>
      <c r="DN154" s="228">
        <v>2.08</v>
      </c>
      <c r="DO154" s="228">
        <v>2.08</v>
      </c>
      <c r="DP154" s="228">
        <v>0.85</v>
      </c>
      <c r="DQ154" s="228">
        <v>0.66</v>
      </c>
      <c r="DR154" s="228">
        <v>0.19</v>
      </c>
      <c r="DS154" s="229">
        <v>0.28789999999999999</v>
      </c>
      <c r="DT154" s="231">
        <v>6500</v>
      </c>
      <c r="DU154" s="231">
        <v>6000</v>
      </c>
      <c r="DV154" s="228">
        <v>0.35</v>
      </c>
      <c r="DW154" s="228">
        <v>0.34</v>
      </c>
      <c r="DX154" s="228">
        <v>0.01</v>
      </c>
      <c r="DY154" s="229">
        <v>2.9399999999999999E-2</v>
      </c>
      <c r="DZ154" s="229">
        <v>6.6000000000000003E-2</v>
      </c>
      <c r="EA154" s="230">
        <v>146900</v>
      </c>
      <c r="EB154" s="229">
        <v>2.8999999999999998E-3</v>
      </c>
      <c r="EC154" s="229">
        <v>6.6000000000000003E-2</v>
      </c>
      <c r="ED154" s="228">
        <v>18.5</v>
      </c>
      <c r="EE154" s="229">
        <v>2.8999999999999998E-3</v>
      </c>
      <c r="EF154" s="230">
        <v>286977</v>
      </c>
      <c r="EG154" s="230">
        <v>89075</v>
      </c>
      <c r="EH154" s="229">
        <v>2.2216999999999998</v>
      </c>
      <c r="EI154" s="229">
        <v>0.44030000000000002</v>
      </c>
      <c r="EJ154" s="231">
        <v>305253.43</v>
      </c>
      <c r="EK154" s="231">
        <v>99212.09</v>
      </c>
      <c r="EL154" s="231">
        <v>47573.55</v>
      </c>
      <c r="EM154" s="231">
        <v>3391</v>
      </c>
      <c r="EN154" s="231">
        <v>452039.07</v>
      </c>
      <c r="EO154" s="231">
        <v>92377.19</v>
      </c>
      <c r="EP154" s="231">
        <v>359661.88</v>
      </c>
      <c r="EQ154" s="229">
        <v>3.8934000000000002</v>
      </c>
      <c r="ER154" s="231">
        <v>42317</v>
      </c>
      <c r="ES154" s="231">
        <v>33256</v>
      </c>
      <c r="ET154" s="231">
        <v>148825</v>
      </c>
      <c r="EU154" s="231">
        <v>15732422</v>
      </c>
      <c r="EV154" s="231">
        <v>224397</v>
      </c>
      <c r="EW154" s="231">
        <v>203283</v>
      </c>
      <c r="EX154" s="231">
        <v>21114</v>
      </c>
      <c r="EY154" s="229">
        <v>0.10390000000000001</v>
      </c>
      <c r="EZ154" s="229">
        <v>0.2195</v>
      </c>
      <c r="FA154" s="227" t="s">
        <v>555</v>
      </c>
      <c r="FB154" s="161">
        <f t="shared" si="3"/>
        <v>0</v>
      </c>
    </row>
    <row r="155" spans="1:158" ht="17.25" thickBot="1" x14ac:dyDescent="0.3">
      <c r="A155" s="226">
        <v>46029</v>
      </c>
      <c r="B155" s="227" t="s">
        <v>193</v>
      </c>
      <c r="C155" s="227" t="s">
        <v>272</v>
      </c>
      <c r="D155" s="228">
        <v>1900</v>
      </c>
      <c r="E155" s="228">
        <v>294.75</v>
      </c>
      <c r="F155" s="228">
        <v>296.05</v>
      </c>
      <c r="G155" s="228">
        <v>-1.3</v>
      </c>
      <c r="H155" s="229">
        <v>-4.4000000000000003E-3</v>
      </c>
      <c r="I155" s="228">
        <v>294.35000000000002</v>
      </c>
      <c r="J155" s="228">
        <v>295.3</v>
      </c>
      <c r="K155" s="228">
        <v>-0.95</v>
      </c>
      <c r="L155" s="229">
        <v>-3.2000000000000002E-3</v>
      </c>
      <c r="M155" s="228">
        <v>294.75</v>
      </c>
      <c r="N155" s="228">
        <v>296.05</v>
      </c>
      <c r="O155" s="228">
        <v>-1.3</v>
      </c>
      <c r="P155" s="229">
        <v>-4.4000000000000003E-3</v>
      </c>
      <c r="Q155" s="228">
        <v>296.89999999999998</v>
      </c>
      <c r="R155" s="228">
        <v>297.75</v>
      </c>
      <c r="S155" s="228">
        <v>-0.85</v>
      </c>
      <c r="T155" s="229">
        <v>-2.8999999999999998E-3</v>
      </c>
      <c r="U155" s="228">
        <v>297.64999999999998</v>
      </c>
      <c r="V155" s="228">
        <v>299.85000000000002</v>
      </c>
      <c r="W155" s="228">
        <v>-2.2000000000000002</v>
      </c>
      <c r="X155" s="229">
        <v>-7.3000000000000001E-3</v>
      </c>
      <c r="Y155" s="228">
        <v>0.4</v>
      </c>
      <c r="Z155" s="228">
        <v>0.75</v>
      </c>
      <c r="AA155" s="228">
        <v>-0.35</v>
      </c>
      <c r="AB155" s="229">
        <v>1.4E-3</v>
      </c>
      <c r="AC155" s="228">
        <v>0.4</v>
      </c>
      <c r="AD155" s="228">
        <v>0.75</v>
      </c>
      <c r="AE155" s="228">
        <v>-0.35</v>
      </c>
      <c r="AF155" s="229">
        <v>1.4E-3</v>
      </c>
      <c r="AG155" s="228">
        <v>2.5499999999999998</v>
      </c>
      <c r="AH155" s="228">
        <v>2.4500000000000002</v>
      </c>
      <c r="AI155" s="228">
        <v>0.1</v>
      </c>
      <c r="AJ155" s="229">
        <v>8.6999999999999994E-3</v>
      </c>
      <c r="AK155" s="228">
        <v>3.3</v>
      </c>
      <c r="AL155" s="228">
        <v>4.55</v>
      </c>
      <c r="AM155" s="228">
        <v>-1.25</v>
      </c>
      <c r="AN155" s="229">
        <v>1.12E-2</v>
      </c>
      <c r="AO155" s="228">
        <v>295.14999999999998</v>
      </c>
      <c r="AP155" s="228">
        <v>297.14999999999998</v>
      </c>
      <c r="AQ155" s="228">
        <v>0</v>
      </c>
      <c r="AR155" s="230">
        <v>6845700</v>
      </c>
      <c r="AS155" s="230">
        <v>8257400</v>
      </c>
      <c r="AT155" s="230">
        <v>-1411700</v>
      </c>
      <c r="AU155" s="229">
        <v>-0.17100000000000001</v>
      </c>
      <c r="AV155" s="230">
        <v>6602500</v>
      </c>
      <c r="AW155" s="230">
        <v>7930600</v>
      </c>
      <c r="AX155" s="230">
        <v>-1328100</v>
      </c>
      <c r="AY155" s="229">
        <v>-0.16750000000000001</v>
      </c>
      <c r="AZ155" s="230">
        <v>231800</v>
      </c>
      <c r="BA155" s="230">
        <v>304000</v>
      </c>
      <c r="BB155" s="230">
        <v>-72200</v>
      </c>
      <c r="BC155" s="229">
        <v>-0.23749999999999999</v>
      </c>
      <c r="BD155" s="230">
        <v>11400</v>
      </c>
      <c r="BE155" s="230">
        <v>22800</v>
      </c>
      <c r="BF155" s="230">
        <v>-11400</v>
      </c>
      <c r="BG155" s="229">
        <v>-0.5</v>
      </c>
      <c r="BH155" s="230">
        <v>18572500</v>
      </c>
      <c r="BI155" s="230">
        <v>31498200</v>
      </c>
      <c r="BJ155" s="230">
        <v>-12925700</v>
      </c>
      <c r="BK155" s="229">
        <v>-0.41039999999999999</v>
      </c>
      <c r="BL155" s="230">
        <v>5992600</v>
      </c>
      <c r="BM155" s="230">
        <v>8538600</v>
      </c>
      <c r="BN155" s="230">
        <v>-2546000</v>
      </c>
      <c r="BO155" s="229">
        <v>-0.29820000000000002</v>
      </c>
      <c r="BP155" s="230">
        <v>31410800</v>
      </c>
      <c r="BQ155" s="230">
        <v>48294200</v>
      </c>
      <c r="BR155" s="230">
        <v>-16883400</v>
      </c>
      <c r="BS155" s="229">
        <v>-0.34960000000000002</v>
      </c>
      <c r="BT155" s="230">
        <v>6602864</v>
      </c>
      <c r="BU155" s="230">
        <v>4251637</v>
      </c>
      <c r="BV155" s="230">
        <v>2351227</v>
      </c>
      <c r="BW155" s="229">
        <v>0.55300000000000005</v>
      </c>
      <c r="BX155" s="230">
        <v>44479000</v>
      </c>
      <c r="BY155" s="230">
        <v>45734900</v>
      </c>
      <c r="BZ155" s="230">
        <v>-1255900</v>
      </c>
      <c r="CA155" s="229">
        <v>-2.75E-2</v>
      </c>
      <c r="CB155" s="230">
        <v>42725300</v>
      </c>
      <c r="CC155" s="230">
        <v>43996400</v>
      </c>
      <c r="CD155" s="230">
        <v>-1271100</v>
      </c>
      <c r="CE155" s="229">
        <v>-2.8899999999999999E-2</v>
      </c>
      <c r="CF155" s="230">
        <v>1727100</v>
      </c>
      <c r="CG155" s="230">
        <v>1708100</v>
      </c>
      <c r="CH155" s="230">
        <v>19000</v>
      </c>
      <c r="CI155" s="229">
        <v>1.11E-2</v>
      </c>
      <c r="CJ155" s="230">
        <v>26600</v>
      </c>
      <c r="CK155" s="230">
        <v>30400</v>
      </c>
      <c r="CL155" s="230">
        <v>-3800</v>
      </c>
      <c r="CM155" s="229">
        <v>-0.125</v>
      </c>
      <c r="CN155" s="230">
        <v>13531800</v>
      </c>
      <c r="CO155" s="230">
        <v>13906100</v>
      </c>
      <c r="CP155" s="230">
        <v>-374300</v>
      </c>
      <c r="CQ155" s="229">
        <v>-2.69E-2</v>
      </c>
      <c r="CR155" s="230">
        <v>18893600</v>
      </c>
      <c r="CS155" s="230">
        <v>19421800</v>
      </c>
      <c r="CT155" s="230">
        <v>-528200</v>
      </c>
      <c r="CU155" s="229">
        <v>-2.7199999999999998E-2</v>
      </c>
      <c r="CV155" s="230">
        <v>76904400</v>
      </c>
      <c r="CW155" s="230">
        <v>79062800</v>
      </c>
      <c r="CX155" s="230">
        <v>-2158400</v>
      </c>
      <c r="CY155" s="229">
        <v>-2.7300000000000001E-2</v>
      </c>
      <c r="CZ155" s="228">
        <v>22.19</v>
      </c>
      <c r="DA155" s="228">
        <v>22.05</v>
      </c>
      <c r="DB155" s="228">
        <v>0.14000000000000001</v>
      </c>
      <c r="DC155" s="228">
        <v>0.14000000000000001</v>
      </c>
      <c r="DD155" s="228">
        <v>30.68</v>
      </c>
      <c r="DE155" s="228">
        <v>30.75</v>
      </c>
      <c r="DF155" s="228">
        <v>-8.49</v>
      </c>
      <c r="DG155" s="228">
        <v>-7.0000000000000007E-2</v>
      </c>
      <c r="DH155" s="228">
        <v>21.9</v>
      </c>
      <c r="DI155" s="228">
        <v>21.67</v>
      </c>
      <c r="DJ155" s="228">
        <v>0.23</v>
      </c>
      <c r="DK155" s="228">
        <v>0.23</v>
      </c>
      <c r="DL155" s="228">
        <v>23.11</v>
      </c>
      <c r="DM155" s="228">
        <v>23.42</v>
      </c>
      <c r="DN155" s="228">
        <v>-0.31</v>
      </c>
      <c r="DO155" s="228">
        <v>-0.31</v>
      </c>
      <c r="DP155" s="228">
        <v>1.4</v>
      </c>
      <c r="DQ155" s="228">
        <v>1.4</v>
      </c>
      <c r="DR155" s="228">
        <v>0</v>
      </c>
      <c r="DS155" s="229">
        <v>0</v>
      </c>
      <c r="DT155" s="228">
        <v>300</v>
      </c>
      <c r="DU155" s="228">
        <v>265</v>
      </c>
      <c r="DV155" s="228">
        <v>0.32</v>
      </c>
      <c r="DW155" s="228">
        <v>0.27</v>
      </c>
      <c r="DX155" s="228">
        <v>0.05</v>
      </c>
      <c r="DY155" s="229">
        <v>0.1852</v>
      </c>
      <c r="DZ155" s="229">
        <v>3.9399999999999998E-2</v>
      </c>
      <c r="EA155" s="230">
        <v>1738500</v>
      </c>
      <c r="EB155" s="229">
        <v>7.3000000000000001E-3</v>
      </c>
      <c r="EC155" s="229">
        <v>3.9399999999999998E-2</v>
      </c>
      <c r="ED155" s="228">
        <v>2</v>
      </c>
      <c r="EE155" s="229">
        <v>6.7999999999999996E-3</v>
      </c>
      <c r="EF155" s="230">
        <v>3967943</v>
      </c>
      <c r="EG155" s="230">
        <v>1900815</v>
      </c>
      <c r="EH155" s="229">
        <v>1.0874999999999999</v>
      </c>
      <c r="EI155" s="229">
        <v>0.60089999999999999</v>
      </c>
      <c r="EJ155" s="231">
        <v>56501.06</v>
      </c>
      <c r="EK155" s="231">
        <v>17328.91</v>
      </c>
      <c r="EL155" s="231">
        <v>20210.2</v>
      </c>
      <c r="EM155" s="231">
        <v>2986</v>
      </c>
      <c r="EN155" s="231">
        <v>94040.17</v>
      </c>
      <c r="EO155" s="231">
        <v>143560.43</v>
      </c>
      <c r="EP155" s="231">
        <v>-49520.26</v>
      </c>
      <c r="EQ155" s="229">
        <v>-0.34489999999999998</v>
      </c>
      <c r="ER155" s="231">
        <v>39994</v>
      </c>
      <c r="ES155" s="231">
        <v>52200</v>
      </c>
      <c r="ET155" s="231">
        <v>131140</v>
      </c>
      <c r="EU155" s="231">
        <v>108255733</v>
      </c>
      <c r="EV155" s="231">
        <v>223334</v>
      </c>
      <c r="EW155" s="231">
        <v>230120</v>
      </c>
      <c r="EX155" s="231">
        <v>-6786</v>
      </c>
      <c r="EY155" s="229">
        <v>-2.9499999999999998E-2</v>
      </c>
      <c r="EZ155" s="229">
        <v>0.71040000000000003</v>
      </c>
      <c r="FA155" s="227" t="s">
        <v>568</v>
      </c>
      <c r="FB155" s="161">
        <f t="shared" si="3"/>
        <v>0</v>
      </c>
    </row>
    <row r="156" spans="1:158" ht="17.25" thickBot="1" x14ac:dyDescent="0.3">
      <c r="A156" s="226">
        <v>46029</v>
      </c>
      <c r="B156" s="227" t="s">
        <v>175</v>
      </c>
      <c r="C156" s="227" t="s">
        <v>273</v>
      </c>
      <c r="D156" s="228">
        <v>1300</v>
      </c>
      <c r="E156" s="228">
        <v>378.7</v>
      </c>
      <c r="F156" s="228">
        <v>377.65</v>
      </c>
      <c r="G156" s="228">
        <v>1.05</v>
      </c>
      <c r="H156" s="229">
        <v>2.8E-3</v>
      </c>
      <c r="I156" s="228">
        <v>376.95</v>
      </c>
      <c r="J156" s="228">
        <v>376.25</v>
      </c>
      <c r="K156" s="228">
        <v>0.7</v>
      </c>
      <c r="L156" s="229">
        <v>1.9E-3</v>
      </c>
      <c r="M156" s="228">
        <v>378.7</v>
      </c>
      <c r="N156" s="228">
        <v>377.65</v>
      </c>
      <c r="O156" s="228">
        <v>1.05</v>
      </c>
      <c r="P156" s="229">
        <v>2.8E-3</v>
      </c>
      <c r="Q156" s="228">
        <v>379.55</v>
      </c>
      <c r="R156" s="228">
        <v>378.7</v>
      </c>
      <c r="S156" s="228">
        <v>0.85</v>
      </c>
      <c r="T156" s="229">
        <v>2.2000000000000001E-3</v>
      </c>
      <c r="U156" s="228">
        <v>378.85</v>
      </c>
      <c r="V156" s="228">
        <v>379.1</v>
      </c>
      <c r="W156" s="228">
        <v>-0.25</v>
      </c>
      <c r="X156" s="229">
        <v>-6.9999999999999999E-4</v>
      </c>
      <c r="Y156" s="228">
        <v>1.75</v>
      </c>
      <c r="Z156" s="228">
        <v>1.4</v>
      </c>
      <c r="AA156" s="228">
        <v>0.35</v>
      </c>
      <c r="AB156" s="229">
        <v>4.5999999999999999E-3</v>
      </c>
      <c r="AC156" s="228">
        <v>1.75</v>
      </c>
      <c r="AD156" s="228">
        <v>1.4</v>
      </c>
      <c r="AE156" s="228">
        <v>0.35</v>
      </c>
      <c r="AF156" s="229">
        <v>4.5999999999999999E-3</v>
      </c>
      <c r="AG156" s="228">
        <v>2.6</v>
      </c>
      <c r="AH156" s="228">
        <v>2.4500000000000002</v>
      </c>
      <c r="AI156" s="228">
        <v>0.15</v>
      </c>
      <c r="AJ156" s="229">
        <v>6.8999999999999999E-3</v>
      </c>
      <c r="AK156" s="228">
        <v>1.9</v>
      </c>
      <c r="AL156" s="228">
        <v>2.85</v>
      </c>
      <c r="AM156" s="228">
        <v>-0.95</v>
      </c>
      <c r="AN156" s="229">
        <v>5.0000000000000001E-3</v>
      </c>
      <c r="AO156" s="228">
        <v>377.43</v>
      </c>
      <c r="AP156" s="228">
        <v>378.5</v>
      </c>
      <c r="AQ156" s="228">
        <v>0</v>
      </c>
      <c r="AR156" s="230">
        <v>7185100</v>
      </c>
      <c r="AS156" s="230">
        <v>11525800</v>
      </c>
      <c r="AT156" s="230">
        <v>-4340700</v>
      </c>
      <c r="AU156" s="229">
        <v>-0.37659999999999999</v>
      </c>
      <c r="AV156" s="230">
        <v>6341400</v>
      </c>
      <c r="AW156" s="230">
        <v>10349300</v>
      </c>
      <c r="AX156" s="230">
        <v>-4007900</v>
      </c>
      <c r="AY156" s="229">
        <v>-0.38729999999999998</v>
      </c>
      <c r="AZ156" s="230">
        <v>534300</v>
      </c>
      <c r="BA156" s="230">
        <v>895700</v>
      </c>
      <c r="BB156" s="230">
        <v>-361400</v>
      </c>
      <c r="BC156" s="229">
        <v>-0.40350000000000003</v>
      </c>
      <c r="BD156" s="230">
        <v>309400</v>
      </c>
      <c r="BE156" s="230">
        <v>280800</v>
      </c>
      <c r="BF156" s="230">
        <v>28600</v>
      </c>
      <c r="BG156" s="229">
        <v>0.1019</v>
      </c>
      <c r="BH156" s="230">
        <v>27719900</v>
      </c>
      <c r="BI156" s="230">
        <v>48938500</v>
      </c>
      <c r="BJ156" s="230">
        <v>-21218600</v>
      </c>
      <c r="BK156" s="229">
        <v>-0.43359999999999999</v>
      </c>
      <c r="BL156" s="230">
        <v>11753300</v>
      </c>
      <c r="BM156" s="230">
        <v>15667600</v>
      </c>
      <c r="BN156" s="230">
        <v>-3914300</v>
      </c>
      <c r="BO156" s="229">
        <v>-0.24979999999999999</v>
      </c>
      <c r="BP156" s="230">
        <v>46658300</v>
      </c>
      <c r="BQ156" s="230">
        <v>76131900</v>
      </c>
      <c r="BR156" s="230">
        <v>-29473600</v>
      </c>
      <c r="BS156" s="229">
        <v>-0.3871</v>
      </c>
      <c r="BT156" s="230">
        <v>6088662</v>
      </c>
      <c r="BU156" s="230">
        <v>7060873</v>
      </c>
      <c r="BV156" s="230">
        <v>-972211</v>
      </c>
      <c r="BW156" s="229">
        <v>-0.13769999999999999</v>
      </c>
      <c r="BX156" s="230">
        <v>81386500</v>
      </c>
      <c r="BY156" s="230">
        <v>80337400</v>
      </c>
      <c r="BZ156" s="230">
        <v>1049100</v>
      </c>
      <c r="CA156" s="229">
        <v>1.3100000000000001E-2</v>
      </c>
      <c r="CB156" s="230">
        <v>76700000</v>
      </c>
      <c r="CC156" s="230">
        <v>75860200</v>
      </c>
      <c r="CD156" s="230">
        <v>839800</v>
      </c>
      <c r="CE156" s="229">
        <v>1.11E-2</v>
      </c>
      <c r="CF156" s="230">
        <v>3862300</v>
      </c>
      <c r="CG156" s="230">
        <v>3766100</v>
      </c>
      <c r="CH156" s="230">
        <v>96200</v>
      </c>
      <c r="CI156" s="229">
        <v>2.5499999999999998E-2</v>
      </c>
      <c r="CJ156" s="230">
        <v>824200</v>
      </c>
      <c r="CK156" s="230">
        <v>711100</v>
      </c>
      <c r="CL156" s="230">
        <v>113100</v>
      </c>
      <c r="CM156" s="229">
        <v>0.159</v>
      </c>
      <c r="CN156" s="230">
        <v>37195600</v>
      </c>
      <c r="CO156" s="230">
        <v>36912200</v>
      </c>
      <c r="CP156" s="230">
        <v>283400</v>
      </c>
      <c r="CQ156" s="229">
        <v>7.7000000000000002E-3</v>
      </c>
      <c r="CR156" s="230">
        <v>28060500</v>
      </c>
      <c r="CS156" s="230">
        <v>27515800</v>
      </c>
      <c r="CT156" s="230">
        <v>544700</v>
      </c>
      <c r="CU156" s="229">
        <v>1.9800000000000002E-2</v>
      </c>
      <c r="CV156" s="230">
        <v>146642600</v>
      </c>
      <c r="CW156" s="230">
        <v>144765400</v>
      </c>
      <c r="CX156" s="230">
        <v>1877200</v>
      </c>
      <c r="CY156" s="229">
        <v>1.2999999999999999E-2</v>
      </c>
      <c r="CZ156" s="228">
        <v>25.17</v>
      </c>
      <c r="DA156" s="228">
        <v>25.96</v>
      </c>
      <c r="DB156" s="228">
        <v>-0.79</v>
      </c>
      <c r="DC156" s="228">
        <v>-0.79</v>
      </c>
      <c r="DD156" s="228">
        <v>40.75</v>
      </c>
      <c r="DE156" s="228">
        <v>40.85</v>
      </c>
      <c r="DF156" s="228">
        <v>-15.58</v>
      </c>
      <c r="DG156" s="228">
        <v>-0.1</v>
      </c>
      <c r="DH156" s="228">
        <v>25.46</v>
      </c>
      <c r="DI156" s="228">
        <v>26.06</v>
      </c>
      <c r="DJ156" s="228">
        <v>-0.6</v>
      </c>
      <c r="DK156" s="228">
        <v>-0.6</v>
      </c>
      <c r="DL156" s="228">
        <v>24.48</v>
      </c>
      <c r="DM156" s="228">
        <v>25.64</v>
      </c>
      <c r="DN156" s="228">
        <v>-1.1599999999999999</v>
      </c>
      <c r="DO156" s="228">
        <v>-1.1599999999999999</v>
      </c>
      <c r="DP156" s="228">
        <v>0.75</v>
      </c>
      <c r="DQ156" s="228">
        <v>0.75</v>
      </c>
      <c r="DR156" s="228">
        <v>0</v>
      </c>
      <c r="DS156" s="229">
        <v>0</v>
      </c>
      <c r="DT156" s="228">
        <v>400</v>
      </c>
      <c r="DU156" s="228">
        <v>350</v>
      </c>
      <c r="DV156" s="228">
        <v>0.42</v>
      </c>
      <c r="DW156" s="228">
        <v>0.32</v>
      </c>
      <c r="DX156" s="228">
        <v>0.1</v>
      </c>
      <c r="DY156" s="229">
        <v>0.3125</v>
      </c>
      <c r="DZ156" s="229">
        <v>5.7599999999999998E-2</v>
      </c>
      <c r="EA156" s="230">
        <v>4477200</v>
      </c>
      <c r="EB156" s="229">
        <v>2.2000000000000001E-3</v>
      </c>
      <c r="EC156" s="229">
        <v>5.7599999999999998E-2</v>
      </c>
      <c r="ED156" s="228">
        <v>1.07</v>
      </c>
      <c r="EE156" s="229">
        <v>2.8E-3</v>
      </c>
      <c r="EF156" s="230">
        <v>3487336</v>
      </c>
      <c r="EG156" s="230">
        <v>2738685</v>
      </c>
      <c r="EH156" s="229">
        <v>0.27339999999999998</v>
      </c>
      <c r="EI156" s="229">
        <v>0.57279999999999998</v>
      </c>
      <c r="EJ156" s="231">
        <v>108806.19</v>
      </c>
      <c r="EK156" s="231">
        <v>44433.3</v>
      </c>
      <c r="EL156" s="231">
        <v>27127.3</v>
      </c>
      <c r="EM156" s="231">
        <v>11647</v>
      </c>
      <c r="EN156" s="231">
        <v>180366.79</v>
      </c>
      <c r="EO156" s="231">
        <v>295087.18</v>
      </c>
      <c r="EP156" s="231">
        <v>-114720.39</v>
      </c>
      <c r="EQ156" s="229">
        <v>-0.38879999999999998</v>
      </c>
      <c r="ER156" s="231">
        <v>141681</v>
      </c>
      <c r="ES156" s="231">
        <v>101921</v>
      </c>
      <c r="ET156" s="231">
        <v>308245</v>
      </c>
      <c r="EU156" s="231">
        <v>217835555</v>
      </c>
      <c r="EV156" s="231">
        <v>551847</v>
      </c>
      <c r="EW156" s="231">
        <v>543795</v>
      </c>
      <c r="EX156" s="231">
        <v>8052</v>
      </c>
      <c r="EY156" s="229">
        <v>1.4800000000000001E-2</v>
      </c>
      <c r="EZ156" s="229">
        <v>0.67320000000000002</v>
      </c>
      <c r="FA156" s="227" t="s">
        <v>555</v>
      </c>
      <c r="FB156" s="161">
        <f t="shared" si="3"/>
        <v>0</v>
      </c>
    </row>
    <row r="157" spans="1:158" ht="17.25" thickBot="1" x14ac:dyDescent="0.3">
      <c r="A157" s="226">
        <v>46029</v>
      </c>
      <c r="B157" s="227" t="s">
        <v>184</v>
      </c>
      <c r="C157" s="227" t="s">
        <v>680</v>
      </c>
      <c r="D157" s="228">
        <v>950</v>
      </c>
      <c r="E157" s="228">
        <v>623.9</v>
      </c>
      <c r="F157" s="228">
        <v>629.25</v>
      </c>
      <c r="G157" s="228">
        <v>-5.35</v>
      </c>
      <c r="H157" s="229">
        <v>-8.5000000000000006E-3</v>
      </c>
      <c r="I157" s="228">
        <v>622.4</v>
      </c>
      <c r="J157" s="228">
        <v>626.6</v>
      </c>
      <c r="K157" s="228">
        <v>-4.2</v>
      </c>
      <c r="L157" s="229">
        <v>-6.7000000000000002E-3</v>
      </c>
      <c r="M157" s="228">
        <v>623.9</v>
      </c>
      <c r="N157" s="228">
        <v>629.25</v>
      </c>
      <c r="O157" s="228">
        <v>-5.35</v>
      </c>
      <c r="P157" s="229">
        <v>-8.5000000000000006E-3</v>
      </c>
      <c r="Q157" s="228">
        <v>626</v>
      </c>
      <c r="R157" s="228">
        <v>630.5</v>
      </c>
      <c r="S157" s="228">
        <v>-4.5</v>
      </c>
      <c r="T157" s="229">
        <v>-7.1000000000000004E-3</v>
      </c>
      <c r="U157" s="228">
        <v>629</v>
      </c>
      <c r="V157" s="228">
        <v>633.4</v>
      </c>
      <c r="W157" s="228">
        <v>-4.4000000000000004</v>
      </c>
      <c r="X157" s="229">
        <v>-6.8999999999999999E-3</v>
      </c>
      <c r="Y157" s="228">
        <v>1.5</v>
      </c>
      <c r="Z157" s="228">
        <v>2.65</v>
      </c>
      <c r="AA157" s="228">
        <v>-1.1499999999999999</v>
      </c>
      <c r="AB157" s="229">
        <v>2.3999999999999998E-3</v>
      </c>
      <c r="AC157" s="228">
        <v>1.5</v>
      </c>
      <c r="AD157" s="228">
        <v>2.65</v>
      </c>
      <c r="AE157" s="228">
        <v>-1.1499999999999999</v>
      </c>
      <c r="AF157" s="229">
        <v>2.3999999999999998E-3</v>
      </c>
      <c r="AG157" s="228">
        <v>3.6</v>
      </c>
      <c r="AH157" s="228">
        <v>3.9</v>
      </c>
      <c r="AI157" s="228">
        <v>-0.3</v>
      </c>
      <c r="AJ157" s="229">
        <v>5.7999999999999996E-3</v>
      </c>
      <c r="AK157" s="228">
        <v>6.6</v>
      </c>
      <c r="AL157" s="228">
        <v>6.8</v>
      </c>
      <c r="AM157" s="228">
        <v>-0.2</v>
      </c>
      <c r="AN157" s="229">
        <v>1.06E-2</v>
      </c>
      <c r="AO157" s="228">
        <v>626.91</v>
      </c>
      <c r="AP157" s="228">
        <v>628.99</v>
      </c>
      <c r="AQ157" s="228">
        <v>0</v>
      </c>
      <c r="AR157" s="230">
        <v>3073250</v>
      </c>
      <c r="AS157" s="230">
        <v>3372500</v>
      </c>
      <c r="AT157" s="230">
        <v>-299250</v>
      </c>
      <c r="AU157" s="229">
        <v>-8.8700000000000001E-2</v>
      </c>
      <c r="AV157" s="230">
        <v>2963050</v>
      </c>
      <c r="AW157" s="230">
        <v>3148300</v>
      </c>
      <c r="AX157" s="230">
        <v>-185250</v>
      </c>
      <c r="AY157" s="229">
        <v>-5.8799999999999998E-2</v>
      </c>
      <c r="AZ157" s="230">
        <v>104500</v>
      </c>
      <c r="BA157" s="230">
        <v>213750</v>
      </c>
      <c r="BB157" s="230">
        <v>-109250</v>
      </c>
      <c r="BC157" s="229">
        <v>-0.5111</v>
      </c>
      <c r="BD157" s="230">
        <v>5700</v>
      </c>
      <c r="BE157" s="230">
        <v>10450</v>
      </c>
      <c r="BF157" s="230">
        <v>-4750</v>
      </c>
      <c r="BG157" s="229">
        <v>-0.45450000000000002</v>
      </c>
      <c r="BH157" s="230">
        <v>7033800</v>
      </c>
      <c r="BI157" s="230">
        <v>10916450</v>
      </c>
      <c r="BJ157" s="230">
        <v>-3882650</v>
      </c>
      <c r="BK157" s="229">
        <v>-0.35570000000000002</v>
      </c>
      <c r="BL157" s="230">
        <v>2339850</v>
      </c>
      <c r="BM157" s="230">
        <v>5135700</v>
      </c>
      <c r="BN157" s="230">
        <v>-2795850</v>
      </c>
      <c r="BO157" s="229">
        <v>-0.5444</v>
      </c>
      <c r="BP157" s="230">
        <v>12446900</v>
      </c>
      <c r="BQ157" s="230">
        <v>19424650</v>
      </c>
      <c r="BR157" s="230">
        <v>-6977750</v>
      </c>
      <c r="BS157" s="229">
        <v>-0.35920000000000002</v>
      </c>
      <c r="BT157" s="230">
        <v>1221899</v>
      </c>
      <c r="BU157" s="230">
        <v>2125670</v>
      </c>
      <c r="BV157" s="230">
        <v>-903771</v>
      </c>
      <c r="BW157" s="229">
        <v>-0.42520000000000002</v>
      </c>
      <c r="BX157" s="230">
        <v>11889250</v>
      </c>
      <c r="BY157" s="230">
        <v>12259750</v>
      </c>
      <c r="BZ157" s="230">
        <v>-370500</v>
      </c>
      <c r="CA157" s="229">
        <v>-3.0200000000000001E-2</v>
      </c>
      <c r="CB157" s="230">
        <v>11521600</v>
      </c>
      <c r="CC157" s="230">
        <v>11884500</v>
      </c>
      <c r="CD157" s="230">
        <v>-362900</v>
      </c>
      <c r="CE157" s="229">
        <v>-3.0499999999999999E-2</v>
      </c>
      <c r="CF157" s="230">
        <v>344850</v>
      </c>
      <c r="CG157" s="230">
        <v>351500</v>
      </c>
      <c r="CH157" s="230">
        <v>-6650</v>
      </c>
      <c r="CI157" s="229">
        <v>-1.89E-2</v>
      </c>
      <c r="CJ157" s="230">
        <v>22800</v>
      </c>
      <c r="CK157" s="230">
        <v>23750</v>
      </c>
      <c r="CL157" s="228">
        <v>-950</v>
      </c>
      <c r="CM157" s="229">
        <v>-0.04</v>
      </c>
      <c r="CN157" s="230">
        <v>6617700</v>
      </c>
      <c r="CO157" s="230">
        <v>6369750</v>
      </c>
      <c r="CP157" s="230">
        <v>247950</v>
      </c>
      <c r="CQ157" s="229">
        <v>3.8899999999999997E-2</v>
      </c>
      <c r="CR157" s="230">
        <v>4446000</v>
      </c>
      <c r="CS157" s="230">
        <v>4610350</v>
      </c>
      <c r="CT157" s="230">
        <v>-164350</v>
      </c>
      <c r="CU157" s="229">
        <v>-3.56E-2</v>
      </c>
      <c r="CV157" s="230">
        <v>22952950</v>
      </c>
      <c r="CW157" s="230">
        <v>23239850</v>
      </c>
      <c r="CX157" s="230">
        <v>-286900</v>
      </c>
      <c r="CY157" s="229">
        <v>-1.23E-2</v>
      </c>
      <c r="CZ157" s="228">
        <v>38.64</v>
      </c>
      <c r="DA157" s="228">
        <v>37.979999999999997</v>
      </c>
      <c r="DB157" s="228">
        <v>0.66</v>
      </c>
      <c r="DC157" s="228">
        <v>0.66</v>
      </c>
      <c r="DD157" s="228">
        <v>64.77</v>
      </c>
      <c r="DE157" s="228">
        <v>64.930000000000007</v>
      </c>
      <c r="DF157" s="228">
        <v>-26.13</v>
      </c>
      <c r="DG157" s="228">
        <v>-0.16</v>
      </c>
      <c r="DH157" s="228">
        <v>38.75</v>
      </c>
      <c r="DI157" s="228">
        <v>38.08</v>
      </c>
      <c r="DJ157" s="228">
        <v>0.67</v>
      </c>
      <c r="DK157" s="228">
        <v>0.67</v>
      </c>
      <c r="DL157" s="228">
        <v>38.32</v>
      </c>
      <c r="DM157" s="228">
        <v>37.76</v>
      </c>
      <c r="DN157" s="228">
        <v>0.56000000000000005</v>
      </c>
      <c r="DO157" s="228">
        <v>0.56000000000000005</v>
      </c>
      <c r="DP157" s="228">
        <v>0.67</v>
      </c>
      <c r="DQ157" s="228">
        <v>0.72</v>
      </c>
      <c r="DR157" s="228">
        <v>-0.05</v>
      </c>
      <c r="DS157" s="229">
        <v>-6.9400000000000003E-2</v>
      </c>
      <c r="DT157" s="228">
        <v>650</v>
      </c>
      <c r="DU157" s="228">
        <v>580</v>
      </c>
      <c r="DV157" s="228">
        <v>0.33</v>
      </c>
      <c r="DW157" s="228">
        <v>0.47</v>
      </c>
      <c r="DX157" s="228">
        <v>-0.14000000000000001</v>
      </c>
      <c r="DY157" s="229">
        <v>-0.2979</v>
      </c>
      <c r="DZ157" s="229">
        <v>3.09E-2</v>
      </c>
      <c r="EA157" s="230">
        <v>375250</v>
      </c>
      <c r="EB157" s="229">
        <v>3.3999999999999998E-3</v>
      </c>
      <c r="EC157" s="229">
        <v>3.09E-2</v>
      </c>
      <c r="ED157" s="228">
        <v>2.08</v>
      </c>
      <c r="EE157" s="229">
        <v>3.3E-3</v>
      </c>
      <c r="EF157" s="230">
        <v>248167</v>
      </c>
      <c r="EG157" s="230">
        <v>368669</v>
      </c>
      <c r="EH157" s="229">
        <v>-0.32690000000000002</v>
      </c>
      <c r="EI157" s="229">
        <v>0.2031</v>
      </c>
      <c r="EJ157" s="231">
        <v>47002.48</v>
      </c>
      <c r="EK157" s="231">
        <v>14181.27</v>
      </c>
      <c r="EL157" s="231">
        <v>19268.91</v>
      </c>
      <c r="EM157" s="231">
        <v>5052</v>
      </c>
      <c r="EN157" s="231">
        <v>80452.66</v>
      </c>
      <c r="EO157" s="231">
        <v>125272.2</v>
      </c>
      <c r="EP157" s="231">
        <v>-44819.54</v>
      </c>
      <c r="EQ157" s="229">
        <v>-0.35780000000000001</v>
      </c>
      <c r="ER157" s="231">
        <v>42749</v>
      </c>
      <c r="ES157" s="231">
        <v>25791</v>
      </c>
      <c r="ET157" s="231">
        <v>74185</v>
      </c>
      <c r="EU157" s="231">
        <v>24030912</v>
      </c>
      <c r="EV157" s="231">
        <v>142726</v>
      </c>
      <c r="EW157" s="231">
        <v>144911</v>
      </c>
      <c r="EX157" s="231">
        <v>-2185</v>
      </c>
      <c r="EY157" s="229">
        <v>-1.5100000000000001E-2</v>
      </c>
      <c r="EZ157" s="229">
        <v>0.95509999999999995</v>
      </c>
      <c r="FA157" s="227" t="s">
        <v>568</v>
      </c>
      <c r="FB157" s="161">
        <f t="shared" si="3"/>
        <v>0</v>
      </c>
    </row>
    <row r="158" spans="1:158" ht="17.25" thickBot="1" x14ac:dyDescent="0.3">
      <c r="A158" s="226">
        <v>46029</v>
      </c>
      <c r="B158" s="227" t="s">
        <v>206</v>
      </c>
      <c r="C158" s="227" t="s">
        <v>645</v>
      </c>
      <c r="D158" s="228">
        <v>350</v>
      </c>
      <c r="E158" s="231">
        <v>1946.3</v>
      </c>
      <c r="F158" s="231">
        <v>1958.2</v>
      </c>
      <c r="G158" s="228">
        <v>-11.9</v>
      </c>
      <c r="H158" s="229">
        <v>-6.1000000000000004E-3</v>
      </c>
      <c r="I158" s="231">
        <v>1942.6</v>
      </c>
      <c r="J158" s="231">
        <v>1950.8</v>
      </c>
      <c r="K158" s="228">
        <v>-8.1999999999999993</v>
      </c>
      <c r="L158" s="229">
        <v>-4.1999999999999997E-3</v>
      </c>
      <c r="M158" s="231">
        <v>1946.3</v>
      </c>
      <c r="N158" s="231">
        <v>1958.2</v>
      </c>
      <c r="O158" s="228">
        <v>-11.9</v>
      </c>
      <c r="P158" s="229">
        <v>-6.1000000000000004E-3</v>
      </c>
      <c r="Q158" s="231">
        <v>1957.5</v>
      </c>
      <c r="R158" s="231">
        <v>1968.7</v>
      </c>
      <c r="S158" s="228">
        <v>-11.2</v>
      </c>
      <c r="T158" s="229">
        <v>-5.7000000000000002E-3</v>
      </c>
      <c r="U158" s="231">
        <v>1989.8</v>
      </c>
      <c r="V158" s="231">
        <v>1988.8</v>
      </c>
      <c r="W158" s="228">
        <v>1</v>
      </c>
      <c r="X158" s="229">
        <v>5.0000000000000001E-4</v>
      </c>
      <c r="Y158" s="228">
        <v>3.7</v>
      </c>
      <c r="Z158" s="228">
        <v>7.4</v>
      </c>
      <c r="AA158" s="228">
        <v>-3.7</v>
      </c>
      <c r="AB158" s="229">
        <v>1.9E-3</v>
      </c>
      <c r="AC158" s="228">
        <v>3.7</v>
      </c>
      <c r="AD158" s="228">
        <v>7.4</v>
      </c>
      <c r="AE158" s="228">
        <v>-3.7</v>
      </c>
      <c r="AF158" s="229">
        <v>1.9E-3</v>
      </c>
      <c r="AG158" s="228">
        <v>14.9</v>
      </c>
      <c r="AH158" s="228">
        <v>17.899999999999999</v>
      </c>
      <c r="AI158" s="228">
        <v>-3</v>
      </c>
      <c r="AJ158" s="229">
        <v>7.7000000000000002E-3</v>
      </c>
      <c r="AK158" s="228">
        <v>47.2</v>
      </c>
      <c r="AL158" s="228">
        <v>38</v>
      </c>
      <c r="AM158" s="228">
        <v>9.1999999999999993</v>
      </c>
      <c r="AN158" s="229">
        <v>2.4299999999999999E-2</v>
      </c>
      <c r="AO158" s="231">
        <v>1948.07</v>
      </c>
      <c r="AP158" s="231">
        <v>1958.33</v>
      </c>
      <c r="AQ158" s="228">
        <v>0</v>
      </c>
      <c r="AR158" s="230">
        <v>625800</v>
      </c>
      <c r="AS158" s="230">
        <v>1024800</v>
      </c>
      <c r="AT158" s="230">
        <v>-399000</v>
      </c>
      <c r="AU158" s="229">
        <v>-0.38929999999999998</v>
      </c>
      <c r="AV158" s="230">
        <v>556850</v>
      </c>
      <c r="AW158" s="230">
        <v>825300</v>
      </c>
      <c r="AX158" s="230">
        <v>-268450</v>
      </c>
      <c r="AY158" s="229">
        <v>-0.32529999999999998</v>
      </c>
      <c r="AZ158" s="230">
        <v>67550</v>
      </c>
      <c r="BA158" s="230">
        <v>198100</v>
      </c>
      <c r="BB158" s="230">
        <v>-130550</v>
      </c>
      <c r="BC158" s="229">
        <v>-0.65900000000000003</v>
      </c>
      <c r="BD158" s="230">
        <v>1400</v>
      </c>
      <c r="BE158" s="230">
        <v>1400</v>
      </c>
      <c r="BF158" s="228">
        <v>0</v>
      </c>
      <c r="BG158" s="229">
        <v>0</v>
      </c>
      <c r="BH158" s="230">
        <v>504000</v>
      </c>
      <c r="BI158" s="230">
        <v>1082550</v>
      </c>
      <c r="BJ158" s="230">
        <v>-578550</v>
      </c>
      <c r="BK158" s="229">
        <v>-0.53439999999999999</v>
      </c>
      <c r="BL158" s="230">
        <v>320600</v>
      </c>
      <c r="BM158" s="230">
        <v>876050</v>
      </c>
      <c r="BN158" s="230">
        <v>-555450</v>
      </c>
      <c r="BO158" s="229">
        <v>-0.63400000000000001</v>
      </c>
      <c r="BP158" s="230">
        <v>1450400</v>
      </c>
      <c r="BQ158" s="230">
        <v>2983400</v>
      </c>
      <c r="BR158" s="230">
        <v>-1533000</v>
      </c>
      <c r="BS158" s="229">
        <v>-0.51380000000000003</v>
      </c>
      <c r="BT158" s="230">
        <v>578281</v>
      </c>
      <c r="BU158" s="230">
        <v>618413</v>
      </c>
      <c r="BV158" s="230">
        <v>-40132</v>
      </c>
      <c r="BW158" s="229">
        <v>-6.4899999999999999E-2</v>
      </c>
      <c r="BX158" s="230">
        <v>3629850</v>
      </c>
      <c r="BY158" s="230">
        <v>3509800</v>
      </c>
      <c r="BZ158" s="230">
        <v>120050</v>
      </c>
      <c r="CA158" s="229">
        <v>3.4200000000000001E-2</v>
      </c>
      <c r="CB158" s="230">
        <v>3450650</v>
      </c>
      <c r="CC158" s="230">
        <v>3373650</v>
      </c>
      <c r="CD158" s="230">
        <v>77000</v>
      </c>
      <c r="CE158" s="229">
        <v>2.2800000000000001E-2</v>
      </c>
      <c r="CF158" s="230">
        <v>176400</v>
      </c>
      <c r="CG158" s="230">
        <v>134750</v>
      </c>
      <c r="CH158" s="230">
        <v>41650</v>
      </c>
      <c r="CI158" s="229">
        <v>0.30909999999999999</v>
      </c>
      <c r="CJ158" s="230">
        <v>2800</v>
      </c>
      <c r="CK158" s="230">
        <v>1400</v>
      </c>
      <c r="CL158" s="230">
        <v>1400</v>
      </c>
      <c r="CM158" s="229">
        <v>1</v>
      </c>
      <c r="CN158" s="230">
        <v>741300</v>
      </c>
      <c r="CO158" s="230">
        <v>623350</v>
      </c>
      <c r="CP158" s="230">
        <v>117950</v>
      </c>
      <c r="CQ158" s="229">
        <v>0.18920000000000001</v>
      </c>
      <c r="CR158" s="230">
        <v>573300</v>
      </c>
      <c r="CS158" s="230">
        <v>501200</v>
      </c>
      <c r="CT158" s="230">
        <v>72100</v>
      </c>
      <c r="CU158" s="229">
        <v>0.1439</v>
      </c>
      <c r="CV158" s="230">
        <v>4944450</v>
      </c>
      <c r="CW158" s="230">
        <v>4634350</v>
      </c>
      <c r="CX158" s="230">
        <v>310100</v>
      </c>
      <c r="CY158" s="229">
        <v>6.6900000000000001E-2</v>
      </c>
      <c r="CZ158" s="228">
        <v>25.68</v>
      </c>
      <c r="DA158" s="228">
        <v>24.33</v>
      </c>
      <c r="DB158" s="228">
        <v>1.35</v>
      </c>
      <c r="DC158" s="228">
        <v>1.35</v>
      </c>
      <c r="DD158" s="228">
        <v>40.07</v>
      </c>
      <c r="DE158" s="228">
        <v>40.17</v>
      </c>
      <c r="DF158" s="228">
        <v>-14.39</v>
      </c>
      <c r="DG158" s="228">
        <v>-0.1</v>
      </c>
      <c r="DH158" s="228">
        <v>25.76</v>
      </c>
      <c r="DI158" s="228">
        <v>23.88</v>
      </c>
      <c r="DJ158" s="228">
        <v>1.88</v>
      </c>
      <c r="DK158" s="228">
        <v>1.88</v>
      </c>
      <c r="DL158" s="228">
        <v>25.54</v>
      </c>
      <c r="DM158" s="228">
        <v>24.9</v>
      </c>
      <c r="DN158" s="228">
        <v>0.64</v>
      </c>
      <c r="DO158" s="228">
        <v>0.64</v>
      </c>
      <c r="DP158" s="228">
        <v>0.77</v>
      </c>
      <c r="DQ158" s="228">
        <v>0.8</v>
      </c>
      <c r="DR158" s="228">
        <v>-0.03</v>
      </c>
      <c r="DS158" s="229">
        <v>-3.7499999999999999E-2</v>
      </c>
      <c r="DT158" s="231">
        <v>2000</v>
      </c>
      <c r="DU158" s="231">
        <v>1900</v>
      </c>
      <c r="DV158" s="228">
        <v>0.64</v>
      </c>
      <c r="DW158" s="228">
        <v>0.81</v>
      </c>
      <c r="DX158" s="228">
        <v>-0.17</v>
      </c>
      <c r="DY158" s="229">
        <v>-0.2099</v>
      </c>
      <c r="DZ158" s="229">
        <v>4.9399999999999999E-2</v>
      </c>
      <c r="EA158" s="230">
        <v>136150</v>
      </c>
      <c r="EB158" s="229">
        <v>5.7999999999999996E-3</v>
      </c>
      <c r="EC158" s="229">
        <v>4.9399999999999999E-2</v>
      </c>
      <c r="ED158" s="228">
        <v>10.26</v>
      </c>
      <c r="EE158" s="229">
        <v>5.3E-3</v>
      </c>
      <c r="EF158" s="230">
        <v>393329</v>
      </c>
      <c r="EG158" s="230">
        <v>319601</v>
      </c>
      <c r="EH158" s="229">
        <v>0.23069999999999999</v>
      </c>
      <c r="EI158" s="229">
        <v>0.68020000000000003</v>
      </c>
      <c r="EJ158" s="231">
        <v>10250.74</v>
      </c>
      <c r="EK158" s="231">
        <v>6106.06</v>
      </c>
      <c r="EL158" s="231">
        <v>12198.53</v>
      </c>
      <c r="EM158" s="231">
        <v>1519</v>
      </c>
      <c r="EN158" s="231">
        <v>28555.33</v>
      </c>
      <c r="EO158" s="231">
        <v>58601.75</v>
      </c>
      <c r="EP158" s="231">
        <v>-30046.42</v>
      </c>
      <c r="EQ158" s="229">
        <v>-0.51270000000000004</v>
      </c>
      <c r="ER158" s="231">
        <v>14417</v>
      </c>
      <c r="ES158" s="231">
        <v>10733</v>
      </c>
      <c r="ET158" s="231">
        <v>70669</v>
      </c>
      <c r="EU158" s="231">
        <v>19533471</v>
      </c>
      <c r="EV158" s="231">
        <v>95818</v>
      </c>
      <c r="EW158" s="231">
        <v>90093</v>
      </c>
      <c r="EX158" s="231">
        <v>5725</v>
      </c>
      <c r="EY158" s="229">
        <v>6.3500000000000001E-2</v>
      </c>
      <c r="EZ158" s="229">
        <v>0.25309999999999999</v>
      </c>
      <c r="FA158" s="227" t="s">
        <v>567</v>
      </c>
      <c r="FB158" s="161">
        <f t="shared" si="3"/>
        <v>0</v>
      </c>
    </row>
    <row r="159" spans="1:158" ht="17.25" thickBot="1" x14ac:dyDescent="0.3">
      <c r="A159" s="226">
        <v>46029</v>
      </c>
      <c r="B159" s="227" t="s">
        <v>168</v>
      </c>
      <c r="C159" s="227" t="s">
        <v>274</v>
      </c>
      <c r="D159" s="228">
        <v>500</v>
      </c>
      <c r="E159" s="231">
        <v>1518.1</v>
      </c>
      <c r="F159" s="231">
        <v>1508.9</v>
      </c>
      <c r="G159" s="228">
        <v>9.1999999999999993</v>
      </c>
      <c r="H159" s="229">
        <v>6.1000000000000004E-3</v>
      </c>
      <c r="I159" s="231">
        <v>1514.8</v>
      </c>
      <c r="J159" s="231">
        <v>1505</v>
      </c>
      <c r="K159" s="228">
        <v>9.8000000000000007</v>
      </c>
      <c r="L159" s="229">
        <v>6.4999999999999997E-3</v>
      </c>
      <c r="M159" s="231">
        <v>1518.1</v>
      </c>
      <c r="N159" s="231">
        <v>1508.9</v>
      </c>
      <c r="O159" s="228">
        <v>9.1999999999999993</v>
      </c>
      <c r="P159" s="229">
        <v>6.1000000000000004E-3</v>
      </c>
      <c r="Q159" s="231">
        <v>1527.2</v>
      </c>
      <c r="R159" s="231">
        <v>1517.7</v>
      </c>
      <c r="S159" s="228">
        <v>9.5</v>
      </c>
      <c r="T159" s="229">
        <v>6.3E-3</v>
      </c>
      <c r="U159" s="231">
        <v>1531.9</v>
      </c>
      <c r="V159" s="231">
        <v>1531.9</v>
      </c>
      <c r="W159" s="228">
        <v>0</v>
      </c>
      <c r="X159" s="229">
        <v>0</v>
      </c>
      <c r="Y159" s="228">
        <v>3.3</v>
      </c>
      <c r="Z159" s="228">
        <v>3.9</v>
      </c>
      <c r="AA159" s="228">
        <v>-0.6</v>
      </c>
      <c r="AB159" s="229">
        <v>2.2000000000000001E-3</v>
      </c>
      <c r="AC159" s="228">
        <v>3.3</v>
      </c>
      <c r="AD159" s="228">
        <v>3.9</v>
      </c>
      <c r="AE159" s="228">
        <v>-0.6</v>
      </c>
      <c r="AF159" s="229">
        <v>2.2000000000000001E-3</v>
      </c>
      <c r="AG159" s="228">
        <v>12.4</v>
      </c>
      <c r="AH159" s="228">
        <v>12.7</v>
      </c>
      <c r="AI159" s="228">
        <v>-0.3</v>
      </c>
      <c r="AJ159" s="229">
        <v>8.2000000000000007E-3</v>
      </c>
      <c r="AK159" s="228">
        <v>17.100000000000001</v>
      </c>
      <c r="AL159" s="228">
        <v>26.9</v>
      </c>
      <c r="AM159" s="228">
        <v>-9.8000000000000007</v>
      </c>
      <c r="AN159" s="229">
        <v>1.1299999999999999E-2</v>
      </c>
      <c r="AO159" s="231">
        <v>1513.08</v>
      </c>
      <c r="AP159" s="231">
        <v>1524.23</v>
      </c>
      <c r="AQ159" s="228">
        <v>0</v>
      </c>
      <c r="AR159" s="230">
        <v>898000</v>
      </c>
      <c r="AS159" s="230">
        <v>641500</v>
      </c>
      <c r="AT159" s="230">
        <v>256500</v>
      </c>
      <c r="AU159" s="229">
        <v>0.39979999999999999</v>
      </c>
      <c r="AV159" s="230">
        <v>880500</v>
      </c>
      <c r="AW159" s="230">
        <v>625000</v>
      </c>
      <c r="AX159" s="230">
        <v>255500</v>
      </c>
      <c r="AY159" s="229">
        <v>0.4088</v>
      </c>
      <c r="AZ159" s="230">
        <v>17500</v>
      </c>
      <c r="BA159" s="230">
        <v>16500</v>
      </c>
      <c r="BB159" s="230">
        <v>1000</v>
      </c>
      <c r="BC159" s="229">
        <v>6.0600000000000001E-2</v>
      </c>
      <c r="BD159" s="228">
        <v>0</v>
      </c>
      <c r="BE159" s="228">
        <v>0</v>
      </c>
      <c r="BF159" s="228">
        <v>0</v>
      </c>
      <c r="BG159" s="229">
        <v>0</v>
      </c>
      <c r="BH159" s="230">
        <v>1939000</v>
      </c>
      <c r="BI159" s="230">
        <v>1323500</v>
      </c>
      <c r="BJ159" s="230">
        <v>615500</v>
      </c>
      <c r="BK159" s="229">
        <v>0.46510000000000001</v>
      </c>
      <c r="BL159" s="230">
        <v>437500</v>
      </c>
      <c r="BM159" s="230">
        <v>545000</v>
      </c>
      <c r="BN159" s="230">
        <v>-107500</v>
      </c>
      <c r="BO159" s="229">
        <v>-0.19719999999999999</v>
      </c>
      <c r="BP159" s="230">
        <v>3274500</v>
      </c>
      <c r="BQ159" s="230">
        <v>2510000</v>
      </c>
      <c r="BR159" s="230">
        <v>764500</v>
      </c>
      <c r="BS159" s="229">
        <v>0.30459999999999998</v>
      </c>
      <c r="BT159" s="230">
        <v>631690</v>
      </c>
      <c r="BU159" s="230">
        <v>400989</v>
      </c>
      <c r="BV159" s="230">
        <v>230701</v>
      </c>
      <c r="BW159" s="229">
        <v>0.57530000000000003</v>
      </c>
      <c r="BX159" s="230">
        <v>7741500</v>
      </c>
      <c r="BY159" s="230">
        <v>7760000</v>
      </c>
      <c r="BZ159" s="230">
        <v>-18500</v>
      </c>
      <c r="CA159" s="229">
        <v>-2.3999999999999998E-3</v>
      </c>
      <c r="CB159" s="230">
        <v>7660000</v>
      </c>
      <c r="CC159" s="230">
        <v>7681000</v>
      </c>
      <c r="CD159" s="230">
        <v>-21000</v>
      </c>
      <c r="CE159" s="229">
        <v>-2.7000000000000001E-3</v>
      </c>
      <c r="CF159" s="230">
        <v>80500</v>
      </c>
      <c r="CG159" s="230">
        <v>78000</v>
      </c>
      <c r="CH159" s="230">
        <v>2500</v>
      </c>
      <c r="CI159" s="229">
        <v>3.2099999999999997E-2</v>
      </c>
      <c r="CJ159" s="230">
        <v>1000</v>
      </c>
      <c r="CK159" s="230">
        <v>1000</v>
      </c>
      <c r="CL159" s="228">
        <v>0</v>
      </c>
      <c r="CM159" s="229">
        <v>0</v>
      </c>
      <c r="CN159" s="230">
        <v>1014000</v>
      </c>
      <c r="CO159" s="230">
        <v>989500</v>
      </c>
      <c r="CP159" s="230">
        <v>24500</v>
      </c>
      <c r="CQ159" s="229">
        <v>2.4799999999999999E-2</v>
      </c>
      <c r="CR159" s="230">
        <v>993500</v>
      </c>
      <c r="CS159" s="230">
        <v>960500</v>
      </c>
      <c r="CT159" s="230">
        <v>33000</v>
      </c>
      <c r="CU159" s="229">
        <v>3.44E-2</v>
      </c>
      <c r="CV159" s="230">
        <v>9749000</v>
      </c>
      <c r="CW159" s="230">
        <v>9710000</v>
      </c>
      <c r="CX159" s="230">
        <v>39000</v>
      </c>
      <c r="CY159" s="229">
        <v>4.0000000000000001E-3</v>
      </c>
      <c r="CZ159" s="228">
        <v>19.41</v>
      </c>
      <c r="DA159" s="228">
        <v>19.579999999999998</v>
      </c>
      <c r="DB159" s="228">
        <v>-0.17</v>
      </c>
      <c r="DC159" s="228">
        <v>-0.17</v>
      </c>
      <c r="DD159" s="228">
        <v>21.13</v>
      </c>
      <c r="DE159" s="228">
        <v>21.17</v>
      </c>
      <c r="DF159" s="228">
        <v>-1.72</v>
      </c>
      <c r="DG159" s="228">
        <v>-0.04</v>
      </c>
      <c r="DH159" s="228">
        <v>19.25</v>
      </c>
      <c r="DI159" s="228">
        <v>19.46</v>
      </c>
      <c r="DJ159" s="228">
        <v>-0.21</v>
      </c>
      <c r="DK159" s="228">
        <v>-0.21</v>
      </c>
      <c r="DL159" s="228">
        <v>20.09</v>
      </c>
      <c r="DM159" s="228">
        <v>19.86</v>
      </c>
      <c r="DN159" s="228">
        <v>0.23</v>
      </c>
      <c r="DO159" s="228">
        <v>0.23</v>
      </c>
      <c r="DP159" s="228">
        <v>0.98</v>
      </c>
      <c r="DQ159" s="228">
        <v>0.97</v>
      </c>
      <c r="DR159" s="228">
        <v>0.01</v>
      </c>
      <c r="DS159" s="229">
        <v>1.03E-2</v>
      </c>
      <c r="DT159" s="231">
        <v>1500</v>
      </c>
      <c r="DU159" s="231">
        <v>1400</v>
      </c>
      <c r="DV159" s="228">
        <v>0.23</v>
      </c>
      <c r="DW159" s="228">
        <v>0.41</v>
      </c>
      <c r="DX159" s="228">
        <v>-0.18</v>
      </c>
      <c r="DY159" s="229">
        <v>-0.439</v>
      </c>
      <c r="DZ159" s="229">
        <v>1.0500000000000001E-2</v>
      </c>
      <c r="EA159" s="230">
        <v>79000</v>
      </c>
      <c r="EB159" s="229">
        <v>6.0000000000000001E-3</v>
      </c>
      <c r="EC159" s="229">
        <v>1.0500000000000001E-2</v>
      </c>
      <c r="ED159" s="228">
        <v>11.15</v>
      </c>
      <c r="EE159" s="229">
        <v>7.4000000000000003E-3</v>
      </c>
      <c r="EF159" s="230">
        <v>349880</v>
      </c>
      <c r="EG159" s="230">
        <v>225168</v>
      </c>
      <c r="EH159" s="229">
        <v>0.55389999999999995</v>
      </c>
      <c r="EI159" s="229">
        <v>0.55389999999999995</v>
      </c>
      <c r="EJ159" s="231">
        <v>29997.33</v>
      </c>
      <c r="EK159" s="231">
        <v>6466.64</v>
      </c>
      <c r="EL159" s="231">
        <v>13589.44</v>
      </c>
      <c r="EM159" s="231">
        <v>1675</v>
      </c>
      <c r="EN159" s="231">
        <v>50053.41</v>
      </c>
      <c r="EO159" s="231">
        <v>38376.26</v>
      </c>
      <c r="EP159" s="231">
        <v>11677.15</v>
      </c>
      <c r="EQ159" s="229">
        <v>0.30430000000000001</v>
      </c>
      <c r="ER159" s="231">
        <v>15427</v>
      </c>
      <c r="ES159" s="231">
        <v>14367</v>
      </c>
      <c r="ET159" s="231">
        <v>117531</v>
      </c>
      <c r="EU159" s="231">
        <v>31214205</v>
      </c>
      <c r="EV159" s="231">
        <v>147325</v>
      </c>
      <c r="EW159" s="231">
        <v>146032</v>
      </c>
      <c r="EX159" s="231">
        <v>1293</v>
      </c>
      <c r="EY159" s="229">
        <v>8.8999999999999999E-3</v>
      </c>
      <c r="EZ159" s="229">
        <v>0.31230000000000002</v>
      </c>
      <c r="FA159" s="227" t="s">
        <v>556</v>
      </c>
      <c r="FB159" s="161">
        <f t="shared" si="3"/>
        <v>0</v>
      </c>
    </row>
    <row r="160" spans="1:158" ht="17.25" thickBot="1" x14ac:dyDescent="0.3">
      <c r="A160" s="226">
        <v>46029</v>
      </c>
      <c r="B160" s="227" t="s">
        <v>498</v>
      </c>
      <c r="C160" s="227" t="s">
        <v>483</v>
      </c>
      <c r="D160" s="228">
        <v>175</v>
      </c>
      <c r="E160" s="231">
        <v>3301.7</v>
      </c>
      <c r="F160" s="231">
        <v>3274.9</v>
      </c>
      <c r="G160" s="228">
        <v>26.8</v>
      </c>
      <c r="H160" s="229">
        <v>8.2000000000000007E-3</v>
      </c>
      <c r="I160" s="231">
        <v>3283.8</v>
      </c>
      <c r="J160" s="231">
        <v>3275.5</v>
      </c>
      <c r="K160" s="228">
        <v>8.3000000000000007</v>
      </c>
      <c r="L160" s="229">
        <v>2.5000000000000001E-3</v>
      </c>
      <c r="M160" s="231">
        <v>3301.7</v>
      </c>
      <c r="N160" s="231">
        <v>3274.9</v>
      </c>
      <c r="O160" s="228">
        <v>26.8</v>
      </c>
      <c r="P160" s="229">
        <v>8.2000000000000007E-3</v>
      </c>
      <c r="Q160" s="231">
        <v>3298.8</v>
      </c>
      <c r="R160" s="231">
        <v>3266</v>
      </c>
      <c r="S160" s="228">
        <v>32.799999999999997</v>
      </c>
      <c r="T160" s="229">
        <v>0.01</v>
      </c>
      <c r="U160" s="231">
        <v>3284.3</v>
      </c>
      <c r="V160" s="231">
        <v>3260.9</v>
      </c>
      <c r="W160" s="228">
        <v>23.4</v>
      </c>
      <c r="X160" s="229">
        <v>7.1999999999999998E-3</v>
      </c>
      <c r="Y160" s="228">
        <v>17.899999999999999</v>
      </c>
      <c r="Z160" s="228">
        <v>-0.6</v>
      </c>
      <c r="AA160" s="228">
        <v>18.5</v>
      </c>
      <c r="AB160" s="229">
        <v>5.4999999999999997E-3</v>
      </c>
      <c r="AC160" s="228">
        <v>17.899999999999999</v>
      </c>
      <c r="AD160" s="228">
        <v>-0.6</v>
      </c>
      <c r="AE160" s="228">
        <v>18.5</v>
      </c>
      <c r="AF160" s="229">
        <v>5.4999999999999997E-3</v>
      </c>
      <c r="AG160" s="228">
        <v>15</v>
      </c>
      <c r="AH160" s="228">
        <v>-9.5</v>
      </c>
      <c r="AI160" s="228">
        <v>24.5</v>
      </c>
      <c r="AJ160" s="229">
        <v>4.5999999999999999E-3</v>
      </c>
      <c r="AK160" s="228">
        <v>0.5</v>
      </c>
      <c r="AL160" s="228">
        <v>-14.6</v>
      </c>
      <c r="AM160" s="228">
        <v>15.1</v>
      </c>
      <c r="AN160" s="229">
        <v>2.0000000000000001E-4</v>
      </c>
      <c r="AO160" s="231">
        <v>3293.65</v>
      </c>
      <c r="AP160" s="231">
        <v>3285.69</v>
      </c>
      <c r="AQ160" s="228">
        <v>0</v>
      </c>
      <c r="AR160" s="230">
        <v>345100</v>
      </c>
      <c r="AS160" s="230">
        <v>281050</v>
      </c>
      <c r="AT160" s="230">
        <v>64050</v>
      </c>
      <c r="AU160" s="229">
        <v>0.22789999999999999</v>
      </c>
      <c r="AV160" s="230">
        <v>299775</v>
      </c>
      <c r="AW160" s="230">
        <v>253925</v>
      </c>
      <c r="AX160" s="230">
        <v>45850</v>
      </c>
      <c r="AY160" s="229">
        <v>0.18060000000000001</v>
      </c>
      <c r="AZ160" s="230">
        <v>44800</v>
      </c>
      <c r="BA160" s="230">
        <v>26600</v>
      </c>
      <c r="BB160" s="230">
        <v>18200</v>
      </c>
      <c r="BC160" s="229">
        <v>0.68420000000000003</v>
      </c>
      <c r="BD160" s="228">
        <v>525</v>
      </c>
      <c r="BE160" s="228">
        <v>525</v>
      </c>
      <c r="BF160" s="228">
        <v>0</v>
      </c>
      <c r="BG160" s="229">
        <v>0</v>
      </c>
      <c r="BH160" s="230">
        <v>1134700</v>
      </c>
      <c r="BI160" s="230">
        <v>1215900</v>
      </c>
      <c r="BJ160" s="230">
        <v>-81200</v>
      </c>
      <c r="BK160" s="229">
        <v>-6.6799999999999998E-2</v>
      </c>
      <c r="BL160" s="230">
        <v>205625</v>
      </c>
      <c r="BM160" s="230">
        <v>256025</v>
      </c>
      <c r="BN160" s="230">
        <v>-50400</v>
      </c>
      <c r="BO160" s="229">
        <v>-0.19689999999999999</v>
      </c>
      <c r="BP160" s="230">
        <v>1685425</v>
      </c>
      <c r="BQ160" s="230">
        <v>1752975</v>
      </c>
      <c r="BR160" s="230">
        <v>-67550</v>
      </c>
      <c r="BS160" s="229">
        <v>-3.85E-2</v>
      </c>
      <c r="BT160" s="230">
        <v>151751</v>
      </c>
      <c r="BU160" s="230">
        <v>170542</v>
      </c>
      <c r="BV160" s="230">
        <v>-18791</v>
      </c>
      <c r="BW160" s="229">
        <v>-0.11020000000000001</v>
      </c>
      <c r="BX160" s="230">
        <v>2361975</v>
      </c>
      <c r="BY160" s="230">
        <v>2349200</v>
      </c>
      <c r="BZ160" s="230">
        <v>12775</v>
      </c>
      <c r="CA160" s="229">
        <v>5.4000000000000003E-3</v>
      </c>
      <c r="CB160" s="230">
        <v>2259075</v>
      </c>
      <c r="CC160" s="230">
        <v>2266075</v>
      </c>
      <c r="CD160" s="230">
        <v>-7000</v>
      </c>
      <c r="CE160" s="229">
        <v>-3.0999999999999999E-3</v>
      </c>
      <c r="CF160" s="230">
        <v>101150</v>
      </c>
      <c r="CG160" s="230">
        <v>81200</v>
      </c>
      <c r="CH160" s="230">
        <v>19950</v>
      </c>
      <c r="CI160" s="229">
        <v>0.2457</v>
      </c>
      <c r="CJ160" s="230">
        <v>1750</v>
      </c>
      <c r="CK160" s="230">
        <v>1925</v>
      </c>
      <c r="CL160" s="228">
        <v>-175</v>
      </c>
      <c r="CM160" s="229">
        <v>-9.0899999999999995E-2</v>
      </c>
      <c r="CN160" s="230">
        <v>586250</v>
      </c>
      <c r="CO160" s="230">
        <v>607775</v>
      </c>
      <c r="CP160" s="230">
        <v>-21525</v>
      </c>
      <c r="CQ160" s="229">
        <v>-3.5400000000000001E-2</v>
      </c>
      <c r="CR160" s="230">
        <v>432600</v>
      </c>
      <c r="CS160" s="230">
        <v>430150</v>
      </c>
      <c r="CT160" s="230">
        <v>2450</v>
      </c>
      <c r="CU160" s="229">
        <v>5.7000000000000002E-3</v>
      </c>
      <c r="CV160" s="230">
        <v>3380825</v>
      </c>
      <c r="CW160" s="230">
        <v>3387125</v>
      </c>
      <c r="CX160" s="230">
        <v>-6300</v>
      </c>
      <c r="CY160" s="229">
        <v>-1.9E-3</v>
      </c>
      <c r="CZ160" s="228">
        <v>22.74</v>
      </c>
      <c r="DA160" s="228">
        <v>23.12</v>
      </c>
      <c r="DB160" s="228">
        <v>-0.38</v>
      </c>
      <c r="DC160" s="228">
        <v>-0.38</v>
      </c>
      <c r="DD160" s="228">
        <v>28.69</v>
      </c>
      <c r="DE160" s="228">
        <v>28.74</v>
      </c>
      <c r="DF160" s="228">
        <v>-5.95</v>
      </c>
      <c r="DG160" s="228">
        <v>-0.05</v>
      </c>
      <c r="DH160" s="228">
        <v>22.76</v>
      </c>
      <c r="DI160" s="228">
        <v>22.98</v>
      </c>
      <c r="DJ160" s="228">
        <v>-0.22</v>
      </c>
      <c r="DK160" s="228">
        <v>-0.22</v>
      </c>
      <c r="DL160" s="228">
        <v>22.64</v>
      </c>
      <c r="DM160" s="228">
        <v>23.78</v>
      </c>
      <c r="DN160" s="228">
        <v>-1.1399999999999999</v>
      </c>
      <c r="DO160" s="228">
        <v>-1.1399999999999999</v>
      </c>
      <c r="DP160" s="228">
        <v>0.74</v>
      </c>
      <c r="DQ160" s="228">
        <v>0.71</v>
      </c>
      <c r="DR160" s="228">
        <v>0.03</v>
      </c>
      <c r="DS160" s="229">
        <v>4.2299999999999997E-2</v>
      </c>
      <c r="DT160" s="231">
        <v>3300</v>
      </c>
      <c r="DU160" s="231">
        <v>3200</v>
      </c>
      <c r="DV160" s="228">
        <v>0.18</v>
      </c>
      <c r="DW160" s="228">
        <v>0.21</v>
      </c>
      <c r="DX160" s="228">
        <v>-0.03</v>
      </c>
      <c r="DY160" s="229">
        <v>-0.1429</v>
      </c>
      <c r="DZ160" s="229">
        <v>4.36E-2</v>
      </c>
      <c r="EA160" s="230">
        <v>83125</v>
      </c>
      <c r="EB160" s="229">
        <v>-8.9999999999999998E-4</v>
      </c>
      <c r="EC160" s="229">
        <v>4.36E-2</v>
      </c>
      <c r="ED160" s="228">
        <v>-7.96</v>
      </c>
      <c r="EE160" s="229">
        <v>-2.3999999999999998E-3</v>
      </c>
      <c r="EF160" s="230">
        <v>87205</v>
      </c>
      <c r="EG160" s="230">
        <v>106929</v>
      </c>
      <c r="EH160" s="229">
        <v>-0.1845</v>
      </c>
      <c r="EI160" s="229">
        <v>0.57469999999999999</v>
      </c>
      <c r="EJ160" s="231">
        <v>38454.959999999999</v>
      </c>
      <c r="EK160" s="231">
        <v>6744.13</v>
      </c>
      <c r="EL160" s="231">
        <v>11362.76</v>
      </c>
      <c r="EM160" s="231">
        <v>1430</v>
      </c>
      <c r="EN160" s="231">
        <v>56561.85</v>
      </c>
      <c r="EO160" s="231">
        <v>58462.06</v>
      </c>
      <c r="EP160" s="231">
        <v>-1900.21</v>
      </c>
      <c r="EQ160" s="229">
        <v>-3.2500000000000001E-2</v>
      </c>
      <c r="ER160" s="231">
        <v>19720</v>
      </c>
      <c r="ES160" s="231">
        <v>14037</v>
      </c>
      <c r="ET160" s="231">
        <v>77982</v>
      </c>
      <c r="EU160" s="231">
        <v>10712372</v>
      </c>
      <c r="EV160" s="231">
        <v>111739</v>
      </c>
      <c r="EW160" s="231">
        <v>111225</v>
      </c>
      <c r="EX160" s="228">
        <v>514</v>
      </c>
      <c r="EY160" s="229">
        <v>4.5999999999999999E-3</v>
      </c>
      <c r="EZ160" s="229">
        <v>0.31559999999999999</v>
      </c>
      <c r="FA160" s="227" t="s">
        <v>555</v>
      </c>
      <c r="FB160" s="161">
        <f t="shared" si="3"/>
        <v>0</v>
      </c>
    </row>
    <row r="161" spans="1:158" ht="17.25" thickBot="1" x14ac:dyDescent="0.3">
      <c r="A161" s="226">
        <v>46029</v>
      </c>
      <c r="B161" s="227" t="s">
        <v>172</v>
      </c>
      <c r="C161" s="227" t="s">
        <v>275</v>
      </c>
      <c r="D161" s="228">
        <v>8000</v>
      </c>
      <c r="E161" s="228">
        <v>126.03</v>
      </c>
      <c r="F161" s="228">
        <v>125.79</v>
      </c>
      <c r="G161" s="228">
        <v>0.24</v>
      </c>
      <c r="H161" s="229">
        <v>1.9E-3</v>
      </c>
      <c r="I161" s="228">
        <v>125.68</v>
      </c>
      <c r="J161" s="228">
        <v>125.47</v>
      </c>
      <c r="K161" s="228">
        <v>0.21</v>
      </c>
      <c r="L161" s="229">
        <v>1.6999999999999999E-3</v>
      </c>
      <c r="M161" s="228">
        <v>126.03</v>
      </c>
      <c r="N161" s="228">
        <v>125.79</v>
      </c>
      <c r="O161" s="228">
        <v>0.24</v>
      </c>
      <c r="P161" s="229">
        <v>1.9E-3</v>
      </c>
      <c r="Q161" s="228">
        <v>126.78</v>
      </c>
      <c r="R161" s="228">
        <v>126.56</v>
      </c>
      <c r="S161" s="228">
        <v>0.22</v>
      </c>
      <c r="T161" s="229">
        <v>1.6999999999999999E-3</v>
      </c>
      <c r="U161" s="228">
        <v>127.42</v>
      </c>
      <c r="V161" s="228">
        <v>127.3</v>
      </c>
      <c r="W161" s="228">
        <v>0.12</v>
      </c>
      <c r="X161" s="229">
        <v>8.9999999999999998E-4</v>
      </c>
      <c r="Y161" s="228">
        <v>0.35</v>
      </c>
      <c r="Z161" s="228">
        <v>0.32</v>
      </c>
      <c r="AA161" s="228">
        <v>0.03</v>
      </c>
      <c r="AB161" s="229">
        <v>2.8E-3</v>
      </c>
      <c r="AC161" s="228">
        <v>0.35</v>
      </c>
      <c r="AD161" s="228">
        <v>0.32</v>
      </c>
      <c r="AE161" s="228">
        <v>0.03</v>
      </c>
      <c r="AF161" s="229">
        <v>2.8E-3</v>
      </c>
      <c r="AG161" s="228">
        <v>1.1000000000000001</v>
      </c>
      <c r="AH161" s="228">
        <v>1.0900000000000001</v>
      </c>
      <c r="AI161" s="228">
        <v>0.01</v>
      </c>
      <c r="AJ161" s="229">
        <v>8.8000000000000005E-3</v>
      </c>
      <c r="AK161" s="228">
        <v>1.74</v>
      </c>
      <c r="AL161" s="228">
        <v>1.83</v>
      </c>
      <c r="AM161" s="228">
        <v>-0.09</v>
      </c>
      <c r="AN161" s="229">
        <v>1.38E-2</v>
      </c>
      <c r="AO161" s="228">
        <v>126.29</v>
      </c>
      <c r="AP161" s="228">
        <v>127.1</v>
      </c>
      <c r="AQ161" s="228">
        <v>0</v>
      </c>
      <c r="AR161" s="230">
        <v>33648000</v>
      </c>
      <c r="AS161" s="230">
        <v>31824000</v>
      </c>
      <c r="AT161" s="230">
        <v>1824000</v>
      </c>
      <c r="AU161" s="229">
        <v>5.7299999999999997E-2</v>
      </c>
      <c r="AV161" s="230">
        <v>30536000</v>
      </c>
      <c r="AW161" s="230">
        <v>29088000</v>
      </c>
      <c r="AX161" s="230">
        <v>1448000</v>
      </c>
      <c r="AY161" s="229">
        <v>4.9799999999999997E-2</v>
      </c>
      <c r="AZ161" s="230">
        <v>2616000</v>
      </c>
      <c r="BA161" s="230">
        <v>2464000</v>
      </c>
      <c r="BB161" s="230">
        <v>152000</v>
      </c>
      <c r="BC161" s="229">
        <v>6.1699999999999998E-2</v>
      </c>
      <c r="BD161" s="230">
        <v>496000</v>
      </c>
      <c r="BE161" s="230">
        <v>272000</v>
      </c>
      <c r="BF161" s="230">
        <v>224000</v>
      </c>
      <c r="BG161" s="229">
        <v>0.82350000000000001</v>
      </c>
      <c r="BH161" s="230">
        <v>64680000</v>
      </c>
      <c r="BI161" s="230">
        <v>53896000</v>
      </c>
      <c r="BJ161" s="230">
        <v>10784000</v>
      </c>
      <c r="BK161" s="229">
        <v>0.2001</v>
      </c>
      <c r="BL161" s="230">
        <v>52568000</v>
      </c>
      <c r="BM161" s="230">
        <v>32920000</v>
      </c>
      <c r="BN161" s="230">
        <v>19648000</v>
      </c>
      <c r="BO161" s="229">
        <v>0.5968</v>
      </c>
      <c r="BP161" s="230">
        <v>150896000</v>
      </c>
      <c r="BQ161" s="230">
        <v>118640000</v>
      </c>
      <c r="BR161" s="230">
        <v>32256000</v>
      </c>
      <c r="BS161" s="229">
        <v>0.27189999999999998</v>
      </c>
      <c r="BT161" s="230">
        <v>11328644</v>
      </c>
      <c r="BU161" s="230">
        <v>11257971</v>
      </c>
      <c r="BV161" s="230">
        <v>70673</v>
      </c>
      <c r="BW161" s="229">
        <v>6.3E-3</v>
      </c>
      <c r="BX161" s="230">
        <v>239360000</v>
      </c>
      <c r="BY161" s="230">
        <v>242496000</v>
      </c>
      <c r="BZ161" s="230">
        <v>-3136000</v>
      </c>
      <c r="CA161" s="229">
        <v>-1.29E-2</v>
      </c>
      <c r="CB161" s="230">
        <v>230048000</v>
      </c>
      <c r="CC161" s="230">
        <v>234072000</v>
      </c>
      <c r="CD161" s="230">
        <v>-4024000</v>
      </c>
      <c r="CE161" s="229">
        <v>-1.72E-2</v>
      </c>
      <c r="CF161" s="230">
        <v>8224000</v>
      </c>
      <c r="CG161" s="230">
        <v>7504000</v>
      </c>
      <c r="CH161" s="230">
        <v>720000</v>
      </c>
      <c r="CI161" s="229">
        <v>9.5899999999999999E-2</v>
      </c>
      <c r="CJ161" s="230">
        <v>1088000</v>
      </c>
      <c r="CK161" s="230">
        <v>920000</v>
      </c>
      <c r="CL161" s="230">
        <v>168000</v>
      </c>
      <c r="CM161" s="229">
        <v>0.18260000000000001</v>
      </c>
      <c r="CN161" s="230">
        <v>75600000</v>
      </c>
      <c r="CO161" s="230">
        <v>70344000</v>
      </c>
      <c r="CP161" s="230">
        <v>5256000</v>
      </c>
      <c r="CQ161" s="229">
        <v>7.4700000000000003E-2</v>
      </c>
      <c r="CR161" s="230">
        <v>72640000</v>
      </c>
      <c r="CS161" s="230">
        <v>66880000</v>
      </c>
      <c r="CT161" s="230">
        <v>5760000</v>
      </c>
      <c r="CU161" s="229">
        <v>8.6099999999999996E-2</v>
      </c>
      <c r="CV161" s="230">
        <v>387600000</v>
      </c>
      <c r="CW161" s="230">
        <v>379720000</v>
      </c>
      <c r="CX161" s="230">
        <v>7880000</v>
      </c>
      <c r="CY161" s="229">
        <v>2.0799999999999999E-2</v>
      </c>
      <c r="CZ161" s="228">
        <v>26.12</v>
      </c>
      <c r="DA161" s="228">
        <v>26.31</v>
      </c>
      <c r="DB161" s="228">
        <v>-0.19</v>
      </c>
      <c r="DC161" s="228">
        <v>-0.19</v>
      </c>
      <c r="DD161" s="228">
        <v>34.869999999999997</v>
      </c>
      <c r="DE161" s="228">
        <v>34.96</v>
      </c>
      <c r="DF161" s="228">
        <v>-8.75</v>
      </c>
      <c r="DG161" s="228">
        <v>-0.09</v>
      </c>
      <c r="DH161" s="228">
        <v>25.73</v>
      </c>
      <c r="DI161" s="228">
        <v>25.89</v>
      </c>
      <c r="DJ161" s="228">
        <v>-0.16</v>
      </c>
      <c r="DK161" s="228">
        <v>-0.16</v>
      </c>
      <c r="DL161" s="228">
        <v>26.6</v>
      </c>
      <c r="DM161" s="228">
        <v>27.01</v>
      </c>
      <c r="DN161" s="228">
        <v>-0.41</v>
      </c>
      <c r="DO161" s="228">
        <v>-0.41</v>
      </c>
      <c r="DP161" s="228">
        <v>0.96</v>
      </c>
      <c r="DQ161" s="228">
        <v>0.95</v>
      </c>
      <c r="DR161" s="228">
        <v>0.01</v>
      </c>
      <c r="DS161" s="229">
        <v>1.0500000000000001E-2</v>
      </c>
      <c r="DT161" s="228">
        <v>130</v>
      </c>
      <c r="DU161" s="228">
        <v>120</v>
      </c>
      <c r="DV161" s="228">
        <v>0.81</v>
      </c>
      <c r="DW161" s="228">
        <v>0.61</v>
      </c>
      <c r="DX161" s="228">
        <v>0.2</v>
      </c>
      <c r="DY161" s="229">
        <v>0.32790000000000002</v>
      </c>
      <c r="DZ161" s="229">
        <v>3.8899999999999997E-2</v>
      </c>
      <c r="EA161" s="230">
        <v>8424000</v>
      </c>
      <c r="EB161" s="229">
        <v>6.0000000000000001E-3</v>
      </c>
      <c r="EC161" s="229">
        <v>3.8899999999999997E-2</v>
      </c>
      <c r="ED161" s="228">
        <v>0.81</v>
      </c>
      <c r="EE161" s="229">
        <v>6.4000000000000003E-3</v>
      </c>
      <c r="EF161" s="230">
        <v>4977325</v>
      </c>
      <c r="EG161" s="230">
        <v>4575558</v>
      </c>
      <c r="EH161" s="229">
        <v>8.7800000000000003E-2</v>
      </c>
      <c r="EI161" s="229">
        <v>0.43940000000000001</v>
      </c>
      <c r="EJ161" s="231">
        <v>85340.52</v>
      </c>
      <c r="EK161" s="231">
        <v>65049.18</v>
      </c>
      <c r="EL161" s="231">
        <v>42522.39</v>
      </c>
      <c r="EM161" s="231">
        <v>5454</v>
      </c>
      <c r="EN161" s="231">
        <v>192912.09</v>
      </c>
      <c r="EO161" s="231">
        <v>151414.94</v>
      </c>
      <c r="EP161" s="231">
        <v>41497.15</v>
      </c>
      <c r="EQ161" s="229">
        <v>0.27410000000000001</v>
      </c>
      <c r="ER161" s="231">
        <v>97247</v>
      </c>
      <c r="ES161" s="231">
        <v>86897</v>
      </c>
      <c r="ET161" s="231">
        <v>301742</v>
      </c>
      <c r="EU161" s="231">
        <v>515822637</v>
      </c>
      <c r="EV161" s="231">
        <v>485886</v>
      </c>
      <c r="EW161" s="231">
        <v>475263</v>
      </c>
      <c r="EX161" s="231">
        <v>10623</v>
      </c>
      <c r="EY161" s="229">
        <v>2.24E-2</v>
      </c>
      <c r="EZ161" s="229">
        <v>0.75139999999999996</v>
      </c>
      <c r="FA161" s="227" t="s">
        <v>556</v>
      </c>
      <c r="FB161" s="161">
        <f t="shared" si="3"/>
        <v>0</v>
      </c>
    </row>
    <row r="162" spans="1:158" ht="17.25" thickBot="1" x14ac:dyDescent="0.3">
      <c r="A162" s="226">
        <v>46029</v>
      </c>
      <c r="B162" s="227" t="s">
        <v>175</v>
      </c>
      <c r="C162" s="227" t="s">
        <v>670</v>
      </c>
      <c r="D162" s="228">
        <v>650</v>
      </c>
      <c r="E162" s="231">
        <v>1006.5</v>
      </c>
      <c r="F162" s="231">
        <v>1011</v>
      </c>
      <c r="G162" s="228">
        <v>-4.5</v>
      </c>
      <c r="H162" s="229">
        <v>-4.4999999999999997E-3</v>
      </c>
      <c r="I162" s="231">
        <v>1004.4</v>
      </c>
      <c r="J162" s="231">
        <v>1007.85</v>
      </c>
      <c r="K162" s="228">
        <v>-3.45</v>
      </c>
      <c r="L162" s="229">
        <v>-3.3999999999999998E-3</v>
      </c>
      <c r="M162" s="231">
        <v>1006.5</v>
      </c>
      <c r="N162" s="231">
        <v>1011</v>
      </c>
      <c r="O162" s="228">
        <v>-4.5</v>
      </c>
      <c r="P162" s="229">
        <v>-4.4999999999999997E-3</v>
      </c>
      <c r="Q162" s="231">
        <v>1012.55</v>
      </c>
      <c r="R162" s="231">
        <v>1018.15</v>
      </c>
      <c r="S162" s="228">
        <v>-5.6</v>
      </c>
      <c r="T162" s="229">
        <v>-5.4999999999999997E-3</v>
      </c>
      <c r="U162" s="231">
        <v>1018.55</v>
      </c>
      <c r="V162" s="231">
        <v>1022.1</v>
      </c>
      <c r="W162" s="228">
        <v>-3.55</v>
      </c>
      <c r="X162" s="229">
        <v>-3.5000000000000001E-3</v>
      </c>
      <c r="Y162" s="228">
        <v>2.1</v>
      </c>
      <c r="Z162" s="228">
        <v>3.15</v>
      </c>
      <c r="AA162" s="228">
        <v>-1.05</v>
      </c>
      <c r="AB162" s="229">
        <v>2.0999999999999999E-3</v>
      </c>
      <c r="AC162" s="228">
        <v>2.1</v>
      </c>
      <c r="AD162" s="228">
        <v>3.15</v>
      </c>
      <c r="AE162" s="228">
        <v>-1.05</v>
      </c>
      <c r="AF162" s="229">
        <v>2.0999999999999999E-3</v>
      </c>
      <c r="AG162" s="228">
        <v>8.15</v>
      </c>
      <c r="AH162" s="228">
        <v>10.3</v>
      </c>
      <c r="AI162" s="228">
        <v>-2.15</v>
      </c>
      <c r="AJ162" s="229">
        <v>8.0999999999999996E-3</v>
      </c>
      <c r="AK162" s="228">
        <v>14.15</v>
      </c>
      <c r="AL162" s="228">
        <v>14.25</v>
      </c>
      <c r="AM162" s="228">
        <v>-0.1</v>
      </c>
      <c r="AN162" s="229">
        <v>1.41E-2</v>
      </c>
      <c r="AO162" s="231">
        <v>1000.46</v>
      </c>
      <c r="AP162" s="231">
        <v>1005.39</v>
      </c>
      <c r="AQ162" s="228">
        <v>0</v>
      </c>
      <c r="AR162" s="230">
        <v>2667600</v>
      </c>
      <c r="AS162" s="230">
        <v>1833000</v>
      </c>
      <c r="AT162" s="230">
        <v>834600</v>
      </c>
      <c r="AU162" s="229">
        <v>0.45529999999999998</v>
      </c>
      <c r="AV162" s="230">
        <v>2595450</v>
      </c>
      <c r="AW162" s="230">
        <v>1788800</v>
      </c>
      <c r="AX162" s="230">
        <v>806650</v>
      </c>
      <c r="AY162" s="229">
        <v>0.45090000000000002</v>
      </c>
      <c r="AZ162" s="230">
        <v>66950</v>
      </c>
      <c r="BA162" s="230">
        <v>38350</v>
      </c>
      <c r="BB162" s="230">
        <v>28600</v>
      </c>
      <c r="BC162" s="229">
        <v>0.74580000000000002</v>
      </c>
      <c r="BD162" s="230">
        <v>5200</v>
      </c>
      <c r="BE162" s="230">
        <v>5850</v>
      </c>
      <c r="BF162" s="228">
        <v>-650</v>
      </c>
      <c r="BG162" s="229">
        <v>-0.1111</v>
      </c>
      <c r="BH162" s="230">
        <v>2094950</v>
      </c>
      <c r="BI162" s="230">
        <v>1268800</v>
      </c>
      <c r="BJ162" s="230">
        <v>826150</v>
      </c>
      <c r="BK162" s="229">
        <v>0.65110000000000001</v>
      </c>
      <c r="BL162" s="230">
        <v>1331200</v>
      </c>
      <c r="BM162" s="230">
        <v>509600</v>
      </c>
      <c r="BN162" s="230">
        <v>821600</v>
      </c>
      <c r="BO162" s="229">
        <v>1.6122000000000001</v>
      </c>
      <c r="BP162" s="230">
        <v>6093750</v>
      </c>
      <c r="BQ162" s="230">
        <v>3611400</v>
      </c>
      <c r="BR162" s="230">
        <v>2482350</v>
      </c>
      <c r="BS162" s="229">
        <v>0.68740000000000001</v>
      </c>
      <c r="BT162" s="230">
        <v>1403438</v>
      </c>
      <c r="BU162" s="230">
        <v>1029531</v>
      </c>
      <c r="BV162" s="230">
        <v>373907</v>
      </c>
      <c r="BW162" s="229">
        <v>0.36320000000000002</v>
      </c>
      <c r="BX162" s="230">
        <v>14610700</v>
      </c>
      <c r="BY162" s="230">
        <v>14937000</v>
      </c>
      <c r="BZ162" s="230">
        <v>-326300</v>
      </c>
      <c r="CA162" s="229">
        <v>-2.18E-2</v>
      </c>
      <c r="CB162" s="230">
        <v>14490450</v>
      </c>
      <c r="CC162" s="230">
        <v>14812850</v>
      </c>
      <c r="CD162" s="230">
        <v>-322400</v>
      </c>
      <c r="CE162" s="229">
        <v>-2.18E-2</v>
      </c>
      <c r="CF162" s="230">
        <v>96850</v>
      </c>
      <c r="CG162" s="230">
        <v>103350</v>
      </c>
      <c r="CH162" s="230">
        <v>-6500</v>
      </c>
      <c r="CI162" s="229">
        <v>-6.2899999999999998E-2</v>
      </c>
      <c r="CJ162" s="230">
        <v>23400</v>
      </c>
      <c r="CK162" s="230">
        <v>20800</v>
      </c>
      <c r="CL162" s="230">
        <v>2600</v>
      </c>
      <c r="CM162" s="229">
        <v>0.125</v>
      </c>
      <c r="CN162" s="230">
        <v>2998450</v>
      </c>
      <c r="CO162" s="230">
        <v>2635750</v>
      </c>
      <c r="CP162" s="230">
        <v>362700</v>
      </c>
      <c r="CQ162" s="229">
        <v>0.1376</v>
      </c>
      <c r="CR162" s="230">
        <v>2065700</v>
      </c>
      <c r="CS162" s="230">
        <v>2068950</v>
      </c>
      <c r="CT162" s="230">
        <v>-3250</v>
      </c>
      <c r="CU162" s="229">
        <v>-1.6000000000000001E-3</v>
      </c>
      <c r="CV162" s="230">
        <v>19674850</v>
      </c>
      <c r="CW162" s="230">
        <v>19641700</v>
      </c>
      <c r="CX162" s="230">
        <v>33150</v>
      </c>
      <c r="CY162" s="229">
        <v>1.6999999999999999E-3</v>
      </c>
      <c r="CZ162" s="228">
        <v>27.6</v>
      </c>
      <c r="DA162" s="228">
        <v>28.81</v>
      </c>
      <c r="DB162" s="228">
        <v>-1.21</v>
      </c>
      <c r="DC162" s="228">
        <v>-1.21</v>
      </c>
      <c r="DD162" s="228">
        <v>45.7</v>
      </c>
      <c r="DE162" s="228">
        <v>45.81</v>
      </c>
      <c r="DF162" s="228">
        <v>-18.100000000000001</v>
      </c>
      <c r="DG162" s="228">
        <v>-0.11</v>
      </c>
      <c r="DH162" s="228">
        <v>27.24</v>
      </c>
      <c r="DI162" s="228">
        <v>28.59</v>
      </c>
      <c r="DJ162" s="228">
        <v>-1.35</v>
      </c>
      <c r="DK162" s="228">
        <v>-1.35</v>
      </c>
      <c r="DL162" s="228">
        <v>28.18</v>
      </c>
      <c r="DM162" s="228">
        <v>29.37</v>
      </c>
      <c r="DN162" s="228">
        <v>-1.19</v>
      </c>
      <c r="DO162" s="228">
        <v>-1.19</v>
      </c>
      <c r="DP162" s="228">
        <v>0.69</v>
      </c>
      <c r="DQ162" s="228">
        <v>0.78</v>
      </c>
      <c r="DR162" s="228">
        <v>-0.09</v>
      </c>
      <c r="DS162" s="229">
        <v>-0.1154</v>
      </c>
      <c r="DT162" s="231">
        <v>1050</v>
      </c>
      <c r="DU162" s="228">
        <v>950</v>
      </c>
      <c r="DV162" s="228">
        <v>0.64</v>
      </c>
      <c r="DW162" s="228">
        <v>0.4</v>
      </c>
      <c r="DX162" s="228">
        <v>0.24</v>
      </c>
      <c r="DY162" s="229">
        <v>0.6</v>
      </c>
      <c r="DZ162" s="229">
        <v>8.2000000000000007E-3</v>
      </c>
      <c r="EA162" s="230">
        <v>124150</v>
      </c>
      <c r="EB162" s="229">
        <v>6.0000000000000001E-3</v>
      </c>
      <c r="EC162" s="229">
        <v>8.2000000000000007E-3</v>
      </c>
      <c r="ED162" s="228">
        <v>4.93</v>
      </c>
      <c r="EE162" s="229">
        <v>4.8999999999999998E-3</v>
      </c>
      <c r="EF162" s="230">
        <v>768426</v>
      </c>
      <c r="EG162" s="230">
        <v>549876</v>
      </c>
      <c r="EH162" s="229">
        <v>0.39750000000000002</v>
      </c>
      <c r="EI162" s="229">
        <v>0.54749999999999999</v>
      </c>
      <c r="EJ162" s="231">
        <v>22136.43</v>
      </c>
      <c r="EK162" s="231">
        <v>13164.05</v>
      </c>
      <c r="EL162" s="231">
        <v>26692.37</v>
      </c>
      <c r="EM162" s="231">
        <v>3616</v>
      </c>
      <c r="EN162" s="231">
        <v>61992.85</v>
      </c>
      <c r="EO162" s="231">
        <v>36649.33</v>
      </c>
      <c r="EP162" s="231">
        <v>25343.52</v>
      </c>
      <c r="EQ162" s="229">
        <v>0.6915</v>
      </c>
      <c r="ER162" s="231">
        <v>30534</v>
      </c>
      <c r="ES162" s="231">
        <v>19485</v>
      </c>
      <c r="ET162" s="231">
        <v>147065</v>
      </c>
      <c r="EU162" s="231">
        <v>28118603</v>
      </c>
      <c r="EV162" s="231">
        <v>197085</v>
      </c>
      <c r="EW162" s="231">
        <v>197126</v>
      </c>
      <c r="EX162" s="228">
        <v>-41</v>
      </c>
      <c r="EY162" s="229">
        <v>-2.0000000000000001E-4</v>
      </c>
      <c r="EZ162" s="229">
        <v>0.69969999999999999</v>
      </c>
      <c r="FA162" s="227" t="s">
        <v>568</v>
      </c>
      <c r="FB162" s="161">
        <f t="shared" ref="FB162:FB194" si="4">BX228-CB228</f>
        <v>0</v>
      </c>
    </row>
    <row r="163" spans="1:158" ht="17.25" thickBot="1" x14ac:dyDescent="0.3">
      <c r="A163" s="226">
        <v>46029</v>
      </c>
      <c r="B163" s="227" t="s">
        <v>615</v>
      </c>
      <c r="C163" s="227" t="s">
        <v>573</v>
      </c>
      <c r="D163" s="228">
        <v>350</v>
      </c>
      <c r="E163" s="231">
        <v>1726.4</v>
      </c>
      <c r="F163" s="231">
        <v>1748.8</v>
      </c>
      <c r="G163" s="228">
        <v>-22.4</v>
      </c>
      <c r="H163" s="229">
        <v>-1.2800000000000001E-2</v>
      </c>
      <c r="I163" s="231">
        <v>1719.5</v>
      </c>
      <c r="J163" s="231">
        <v>1743.8</v>
      </c>
      <c r="K163" s="228">
        <v>-24.3</v>
      </c>
      <c r="L163" s="229">
        <v>-1.3899999999999999E-2</v>
      </c>
      <c r="M163" s="231">
        <v>1726.4</v>
      </c>
      <c r="N163" s="231">
        <v>1748.8</v>
      </c>
      <c r="O163" s="228">
        <v>-22.4</v>
      </c>
      <c r="P163" s="229">
        <v>-1.2800000000000001E-2</v>
      </c>
      <c r="Q163" s="231">
        <v>1736.7</v>
      </c>
      <c r="R163" s="231">
        <v>1759.4</v>
      </c>
      <c r="S163" s="228">
        <v>-22.7</v>
      </c>
      <c r="T163" s="229">
        <v>-1.29E-2</v>
      </c>
      <c r="U163" s="231">
        <v>1747.1</v>
      </c>
      <c r="V163" s="231">
        <v>1769</v>
      </c>
      <c r="W163" s="228">
        <v>-21.9</v>
      </c>
      <c r="X163" s="229">
        <v>-1.24E-2</v>
      </c>
      <c r="Y163" s="228">
        <v>6.9</v>
      </c>
      <c r="Z163" s="228">
        <v>5</v>
      </c>
      <c r="AA163" s="228">
        <v>1.9</v>
      </c>
      <c r="AB163" s="229">
        <v>4.0000000000000001E-3</v>
      </c>
      <c r="AC163" s="228">
        <v>6.9</v>
      </c>
      <c r="AD163" s="228">
        <v>5</v>
      </c>
      <c r="AE163" s="228">
        <v>1.9</v>
      </c>
      <c r="AF163" s="229">
        <v>4.0000000000000001E-3</v>
      </c>
      <c r="AG163" s="228">
        <v>17.2</v>
      </c>
      <c r="AH163" s="228">
        <v>15.6</v>
      </c>
      <c r="AI163" s="228">
        <v>1.6</v>
      </c>
      <c r="AJ163" s="229">
        <v>0.01</v>
      </c>
      <c r="AK163" s="228">
        <v>27.6</v>
      </c>
      <c r="AL163" s="228">
        <v>25.2</v>
      </c>
      <c r="AM163" s="228">
        <v>2.4</v>
      </c>
      <c r="AN163" s="229">
        <v>1.61E-2</v>
      </c>
      <c r="AO163" s="231">
        <v>1731.59</v>
      </c>
      <c r="AP163" s="231">
        <v>1739.96</v>
      </c>
      <c r="AQ163" s="228">
        <v>0</v>
      </c>
      <c r="AR163" s="230">
        <v>1318450</v>
      </c>
      <c r="AS163" s="230">
        <v>1521450</v>
      </c>
      <c r="AT163" s="230">
        <v>-203000</v>
      </c>
      <c r="AU163" s="229">
        <v>-0.13339999999999999</v>
      </c>
      <c r="AV163" s="230">
        <v>1257900</v>
      </c>
      <c r="AW163" s="230">
        <v>1480150</v>
      </c>
      <c r="AX163" s="230">
        <v>-222250</v>
      </c>
      <c r="AY163" s="229">
        <v>-0.1502</v>
      </c>
      <c r="AZ163" s="230">
        <v>50750</v>
      </c>
      <c r="BA163" s="230">
        <v>37100</v>
      </c>
      <c r="BB163" s="230">
        <v>13650</v>
      </c>
      <c r="BC163" s="229">
        <v>0.3679</v>
      </c>
      <c r="BD163" s="230">
        <v>9800</v>
      </c>
      <c r="BE163" s="230">
        <v>4200</v>
      </c>
      <c r="BF163" s="230">
        <v>5600</v>
      </c>
      <c r="BG163" s="229">
        <v>1.3332999999999999</v>
      </c>
      <c r="BH163" s="230">
        <v>2376850</v>
      </c>
      <c r="BI163" s="230">
        <v>2474150</v>
      </c>
      <c r="BJ163" s="230">
        <v>-97300</v>
      </c>
      <c r="BK163" s="229">
        <v>-3.9300000000000002E-2</v>
      </c>
      <c r="BL163" s="230">
        <v>1530550</v>
      </c>
      <c r="BM163" s="230">
        <v>1040550</v>
      </c>
      <c r="BN163" s="230">
        <v>490000</v>
      </c>
      <c r="BO163" s="229">
        <v>0.47089999999999999</v>
      </c>
      <c r="BP163" s="230">
        <v>5225850</v>
      </c>
      <c r="BQ163" s="230">
        <v>5036150</v>
      </c>
      <c r="BR163" s="230">
        <v>189700</v>
      </c>
      <c r="BS163" s="229">
        <v>3.7699999999999997E-2</v>
      </c>
      <c r="BT163" s="230">
        <v>1012184</v>
      </c>
      <c r="BU163" s="230">
        <v>1739525</v>
      </c>
      <c r="BV163" s="230">
        <v>-727341</v>
      </c>
      <c r="BW163" s="229">
        <v>-0.41810000000000003</v>
      </c>
      <c r="BX163" s="230">
        <v>6737850</v>
      </c>
      <c r="BY163" s="230">
        <v>6690600</v>
      </c>
      <c r="BZ163" s="230">
        <v>47250</v>
      </c>
      <c r="CA163" s="229">
        <v>7.1000000000000004E-3</v>
      </c>
      <c r="CB163" s="230">
        <v>6655950</v>
      </c>
      <c r="CC163" s="230">
        <v>6628300</v>
      </c>
      <c r="CD163" s="230">
        <v>27650</v>
      </c>
      <c r="CE163" s="229">
        <v>4.1999999999999997E-3</v>
      </c>
      <c r="CF163" s="230">
        <v>63700</v>
      </c>
      <c r="CG163" s="230">
        <v>51100</v>
      </c>
      <c r="CH163" s="230">
        <v>12600</v>
      </c>
      <c r="CI163" s="229">
        <v>0.24660000000000001</v>
      </c>
      <c r="CJ163" s="230">
        <v>18200</v>
      </c>
      <c r="CK163" s="230">
        <v>11200</v>
      </c>
      <c r="CL163" s="230">
        <v>7000</v>
      </c>
      <c r="CM163" s="229">
        <v>0.625</v>
      </c>
      <c r="CN163" s="230">
        <v>2174900</v>
      </c>
      <c r="CO163" s="230">
        <v>1804250</v>
      </c>
      <c r="CP163" s="230">
        <v>370650</v>
      </c>
      <c r="CQ163" s="229">
        <v>0.2054</v>
      </c>
      <c r="CR163" s="230">
        <v>1246350</v>
      </c>
      <c r="CS163" s="230">
        <v>1119650</v>
      </c>
      <c r="CT163" s="230">
        <v>126700</v>
      </c>
      <c r="CU163" s="229">
        <v>0.1132</v>
      </c>
      <c r="CV163" s="230">
        <v>10159100</v>
      </c>
      <c r="CW163" s="230">
        <v>9614500</v>
      </c>
      <c r="CX163" s="230">
        <v>544600</v>
      </c>
      <c r="CY163" s="229">
        <v>5.6599999999999998E-2</v>
      </c>
      <c r="CZ163" s="228">
        <v>32.03</v>
      </c>
      <c r="DA163" s="228">
        <v>31.76</v>
      </c>
      <c r="DB163" s="228">
        <v>0.27</v>
      </c>
      <c r="DC163" s="228">
        <v>0.27</v>
      </c>
      <c r="DD163" s="228">
        <v>46.1</v>
      </c>
      <c r="DE163" s="228">
        <v>46.18</v>
      </c>
      <c r="DF163" s="228">
        <v>-14.07</v>
      </c>
      <c r="DG163" s="228">
        <v>-0.08</v>
      </c>
      <c r="DH163" s="228">
        <v>31.99</v>
      </c>
      <c r="DI163" s="228">
        <v>31.84</v>
      </c>
      <c r="DJ163" s="228">
        <v>0.15</v>
      </c>
      <c r="DK163" s="228">
        <v>0.15</v>
      </c>
      <c r="DL163" s="228">
        <v>32.1</v>
      </c>
      <c r="DM163" s="228">
        <v>31.57</v>
      </c>
      <c r="DN163" s="228">
        <v>0.53</v>
      </c>
      <c r="DO163" s="228">
        <v>0.53</v>
      </c>
      <c r="DP163" s="228">
        <v>0.56999999999999995</v>
      </c>
      <c r="DQ163" s="228">
        <v>0.62</v>
      </c>
      <c r="DR163" s="228">
        <v>-0.05</v>
      </c>
      <c r="DS163" s="229">
        <v>-8.0600000000000005E-2</v>
      </c>
      <c r="DT163" s="231">
        <v>1900</v>
      </c>
      <c r="DU163" s="231">
        <v>1740</v>
      </c>
      <c r="DV163" s="228">
        <v>0.64</v>
      </c>
      <c r="DW163" s="228">
        <v>0.42</v>
      </c>
      <c r="DX163" s="228">
        <v>0.22</v>
      </c>
      <c r="DY163" s="229">
        <v>0.52380000000000004</v>
      </c>
      <c r="DZ163" s="229">
        <v>1.2200000000000001E-2</v>
      </c>
      <c r="EA163" s="230">
        <v>62300</v>
      </c>
      <c r="EB163" s="229">
        <v>6.0000000000000001E-3</v>
      </c>
      <c r="EC163" s="229">
        <v>1.2200000000000001E-2</v>
      </c>
      <c r="ED163" s="228">
        <v>8.3699999999999992</v>
      </c>
      <c r="EE163" s="229">
        <v>4.7999999999999996E-3</v>
      </c>
      <c r="EF163" s="230">
        <v>544552</v>
      </c>
      <c r="EG163" s="230">
        <v>1074008</v>
      </c>
      <c r="EH163" s="229">
        <v>-0.49299999999999999</v>
      </c>
      <c r="EI163" s="229">
        <v>0.53800000000000003</v>
      </c>
      <c r="EJ163" s="231">
        <v>43619.79</v>
      </c>
      <c r="EK163" s="231">
        <v>26734.54</v>
      </c>
      <c r="EL163" s="231">
        <v>22837.58</v>
      </c>
      <c r="EM163" s="231">
        <v>4282</v>
      </c>
      <c r="EN163" s="231">
        <v>93191.91</v>
      </c>
      <c r="EO163" s="231">
        <v>91183.5</v>
      </c>
      <c r="EP163" s="231">
        <v>2008.41</v>
      </c>
      <c r="EQ163" s="229">
        <v>2.1999999999999999E-2</v>
      </c>
      <c r="ER163" s="231">
        <v>40862</v>
      </c>
      <c r="ES163" s="231">
        <v>21611</v>
      </c>
      <c r="ET163" s="231">
        <v>116333</v>
      </c>
      <c r="EU163" s="231">
        <v>60642005</v>
      </c>
      <c r="EV163" s="231">
        <v>178806</v>
      </c>
      <c r="EW163" s="231">
        <v>170723</v>
      </c>
      <c r="EX163" s="231">
        <v>8083</v>
      </c>
      <c r="EY163" s="229">
        <v>4.7300000000000002E-2</v>
      </c>
      <c r="EZ163" s="229">
        <v>0.16750000000000001</v>
      </c>
      <c r="FA163" s="227" t="s">
        <v>567</v>
      </c>
      <c r="FB163" s="161">
        <f t="shared" si="4"/>
        <v>0</v>
      </c>
    </row>
    <row r="164" spans="1:158" ht="17.25" thickBot="1" x14ac:dyDescent="0.3">
      <c r="A164" s="226">
        <v>46029</v>
      </c>
      <c r="B164" s="227" t="s">
        <v>184</v>
      </c>
      <c r="C164" s="227" t="s">
        <v>519</v>
      </c>
      <c r="D164" s="228">
        <v>125</v>
      </c>
      <c r="E164" s="231">
        <v>7936.5</v>
      </c>
      <c r="F164" s="231">
        <v>7836</v>
      </c>
      <c r="G164" s="228">
        <v>100.5</v>
      </c>
      <c r="H164" s="229">
        <v>1.2800000000000001E-2</v>
      </c>
      <c r="I164" s="231">
        <v>7897</v>
      </c>
      <c r="J164" s="231">
        <v>7795.5</v>
      </c>
      <c r="K164" s="228">
        <v>101.5</v>
      </c>
      <c r="L164" s="229">
        <v>1.2999999999999999E-2</v>
      </c>
      <c r="M164" s="231">
        <v>7936.5</v>
      </c>
      <c r="N164" s="231">
        <v>7836</v>
      </c>
      <c r="O164" s="228">
        <v>100.5</v>
      </c>
      <c r="P164" s="229">
        <v>1.2800000000000001E-2</v>
      </c>
      <c r="Q164" s="231">
        <v>7975.5</v>
      </c>
      <c r="R164" s="231">
        <v>7882.5</v>
      </c>
      <c r="S164" s="228">
        <v>93</v>
      </c>
      <c r="T164" s="229">
        <v>1.18E-2</v>
      </c>
      <c r="U164" s="231">
        <v>8034.5</v>
      </c>
      <c r="V164" s="231">
        <v>7911</v>
      </c>
      <c r="W164" s="228">
        <v>123.5</v>
      </c>
      <c r="X164" s="229">
        <v>1.5599999999999999E-2</v>
      </c>
      <c r="Y164" s="228">
        <v>39.5</v>
      </c>
      <c r="Z164" s="228">
        <v>40.5</v>
      </c>
      <c r="AA164" s="228">
        <v>-1</v>
      </c>
      <c r="AB164" s="229">
        <v>5.0000000000000001E-3</v>
      </c>
      <c r="AC164" s="228">
        <v>39.5</v>
      </c>
      <c r="AD164" s="228">
        <v>40.5</v>
      </c>
      <c r="AE164" s="228">
        <v>-1</v>
      </c>
      <c r="AF164" s="229">
        <v>5.0000000000000001E-3</v>
      </c>
      <c r="AG164" s="228">
        <v>78.5</v>
      </c>
      <c r="AH164" s="228">
        <v>87</v>
      </c>
      <c r="AI164" s="228">
        <v>-8.5</v>
      </c>
      <c r="AJ164" s="229">
        <v>9.9000000000000008E-3</v>
      </c>
      <c r="AK164" s="228">
        <v>137.5</v>
      </c>
      <c r="AL164" s="228">
        <v>115.5</v>
      </c>
      <c r="AM164" s="228">
        <v>22</v>
      </c>
      <c r="AN164" s="229">
        <v>1.7399999999999999E-2</v>
      </c>
      <c r="AO164" s="231">
        <v>7926.76</v>
      </c>
      <c r="AP164" s="231">
        <v>7973.71</v>
      </c>
      <c r="AQ164" s="228">
        <v>0</v>
      </c>
      <c r="AR164" s="230">
        <v>843375</v>
      </c>
      <c r="AS164" s="230">
        <v>660125</v>
      </c>
      <c r="AT164" s="230">
        <v>183250</v>
      </c>
      <c r="AU164" s="229">
        <v>0.27760000000000001</v>
      </c>
      <c r="AV164" s="230">
        <v>811875</v>
      </c>
      <c r="AW164" s="230">
        <v>639125</v>
      </c>
      <c r="AX164" s="230">
        <v>172750</v>
      </c>
      <c r="AY164" s="229">
        <v>0.27029999999999998</v>
      </c>
      <c r="AZ164" s="230">
        <v>25375</v>
      </c>
      <c r="BA164" s="230">
        <v>19500</v>
      </c>
      <c r="BB164" s="230">
        <v>5875</v>
      </c>
      <c r="BC164" s="229">
        <v>0.30130000000000001</v>
      </c>
      <c r="BD164" s="230">
        <v>6125</v>
      </c>
      <c r="BE164" s="230">
        <v>1500</v>
      </c>
      <c r="BF164" s="230">
        <v>4625</v>
      </c>
      <c r="BG164" s="229">
        <v>3.0832999999999999</v>
      </c>
      <c r="BH164" s="230">
        <v>2757875</v>
      </c>
      <c r="BI164" s="230">
        <v>1281125</v>
      </c>
      <c r="BJ164" s="230">
        <v>1476750</v>
      </c>
      <c r="BK164" s="229">
        <v>1.1527000000000001</v>
      </c>
      <c r="BL164" s="230">
        <v>935500</v>
      </c>
      <c r="BM164" s="230">
        <v>591000</v>
      </c>
      <c r="BN164" s="230">
        <v>344500</v>
      </c>
      <c r="BO164" s="229">
        <v>0.58289999999999997</v>
      </c>
      <c r="BP164" s="230">
        <v>4536750</v>
      </c>
      <c r="BQ164" s="230">
        <v>2532250</v>
      </c>
      <c r="BR164" s="230">
        <v>2004500</v>
      </c>
      <c r="BS164" s="229">
        <v>0.79159999999999997</v>
      </c>
      <c r="BT164" s="230">
        <v>379651</v>
      </c>
      <c r="BU164" s="230">
        <v>372943</v>
      </c>
      <c r="BV164" s="230">
        <v>6708</v>
      </c>
      <c r="BW164" s="229">
        <v>1.7999999999999999E-2</v>
      </c>
      <c r="BX164" s="230">
        <v>3305875</v>
      </c>
      <c r="BY164" s="230">
        <v>3195375</v>
      </c>
      <c r="BZ164" s="230">
        <v>110500</v>
      </c>
      <c r="CA164" s="229">
        <v>3.4599999999999999E-2</v>
      </c>
      <c r="CB164" s="230">
        <v>3256250</v>
      </c>
      <c r="CC164" s="230">
        <v>3152625</v>
      </c>
      <c r="CD164" s="230">
        <v>103625</v>
      </c>
      <c r="CE164" s="229">
        <v>3.2899999999999999E-2</v>
      </c>
      <c r="CF164" s="230">
        <v>45500</v>
      </c>
      <c r="CG164" s="230">
        <v>38250</v>
      </c>
      <c r="CH164" s="230">
        <v>7250</v>
      </c>
      <c r="CI164" s="229">
        <v>0.1895</v>
      </c>
      <c r="CJ164" s="230">
        <v>4125</v>
      </c>
      <c r="CK164" s="230">
        <v>4500</v>
      </c>
      <c r="CL164" s="228">
        <v>-375</v>
      </c>
      <c r="CM164" s="229">
        <v>-8.3299999999999999E-2</v>
      </c>
      <c r="CN164" s="230">
        <v>704500</v>
      </c>
      <c r="CO164" s="230">
        <v>485625</v>
      </c>
      <c r="CP164" s="230">
        <v>218875</v>
      </c>
      <c r="CQ164" s="229">
        <v>0.45069999999999999</v>
      </c>
      <c r="CR164" s="230">
        <v>479375</v>
      </c>
      <c r="CS164" s="230">
        <v>424875</v>
      </c>
      <c r="CT164" s="230">
        <v>54500</v>
      </c>
      <c r="CU164" s="229">
        <v>0.1283</v>
      </c>
      <c r="CV164" s="230">
        <v>4489750</v>
      </c>
      <c r="CW164" s="230">
        <v>4105875</v>
      </c>
      <c r="CX164" s="230">
        <v>383875</v>
      </c>
      <c r="CY164" s="229">
        <v>9.35E-2</v>
      </c>
      <c r="CZ164" s="228">
        <v>31.44</v>
      </c>
      <c r="DA164" s="228">
        <v>29.33</v>
      </c>
      <c r="DB164" s="228">
        <v>2.11</v>
      </c>
      <c r="DC164" s="228">
        <v>2.11</v>
      </c>
      <c r="DD164" s="228">
        <v>38.29</v>
      </c>
      <c r="DE164" s="228">
        <v>38.340000000000003</v>
      </c>
      <c r="DF164" s="228">
        <v>-6.85</v>
      </c>
      <c r="DG164" s="228">
        <v>-0.05</v>
      </c>
      <c r="DH164" s="228">
        <v>31.38</v>
      </c>
      <c r="DI164" s="228">
        <v>29.19</v>
      </c>
      <c r="DJ164" s="228">
        <v>2.19</v>
      </c>
      <c r="DK164" s="228">
        <v>2.19</v>
      </c>
      <c r="DL164" s="228">
        <v>31.61</v>
      </c>
      <c r="DM164" s="228">
        <v>29.62</v>
      </c>
      <c r="DN164" s="228">
        <v>1.99</v>
      </c>
      <c r="DO164" s="228">
        <v>1.99</v>
      </c>
      <c r="DP164" s="228">
        <v>0.68</v>
      </c>
      <c r="DQ164" s="228">
        <v>0.87</v>
      </c>
      <c r="DR164" s="228">
        <v>-0.19</v>
      </c>
      <c r="DS164" s="229">
        <v>-0.21840000000000001</v>
      </c>
      <c r="DT164" s="231">
        <v>8100</v>
      </c>
      <c r="DU164" s="231">
        <v>7000</v>
      </c>
      <c r="DV164" s="228">
        <v>0.34</v>
      </c>
      <c r="DW164" s="228">
        <v>0.46</v>
      </c>
      <c r="DX164" s="228">
        <v>-0.12</v>
      </c>
      <c r="DY164" s="229">
        <v>-0.26090000000000002</v>
      </c>
      <c r="DZ164" s="229">
        <v>1.4999999999999999E-2</v>
      </c>
      <c r="EA164" s="230">
        <v>42750</v>
      </c>
      <c r="EB164" s="229">
        <v>4.8999999999999998E-3</v>
      </c>
      <c r="EC164" s="229">
        <v>1.4999999999999999E-2</v>
      </c>
      <c r="ED164" s="228">
        <v>46.95</v>
      </c>
      <c r="EE164" s="229">
        <v>5.8999999999999999E-3</v>
      </c>
      <c r="EF164" s="230">
        <v>213886</v>
      </c>
      <c r="EG164" s="230">
        <v>218846</v>
      </c>
      <c r="EH164" s="229">
        <v>-2.2700000000000001E-2</v>
      </c>
      <c r="EI164" s="229">
        <v>0.56340000000000001</v>
      </c>
      <c r="EJ164" s="231">
        <v>228571.3</v>
      </c>
      <c r="EK164" s="231">
        <v>72184.56</v>
      </c>
      <c r="EL164" s="231">
        <v>66868.97</v>
      </c>
      <c r="EM164" s="231">
        <v>4193</v>
      </c>
      <c r="EN164" s="231">
        <v>367624.83</v>
      </c>
      <c r="EO164" s="231">
        <v>201787.97</v>
      </c>
      <c r="EP164" s="231">
        <v>165836.85999999999</v>
      </c>
      <c r="EQ164" s="229">
        <v>0.82179999999999997</v>
      </c>
      <c r="ER164" s="231">
        <v>56802</v>
      </c>
      <c r="ES164" s="231">
        <v>35616</v>
      </c>
      <c r="ET164" s="231">
        <v>262393</v>
      </c>
      <c r="EU164" s="231">
        <v>8688405</v>
      </c>
      <c r="EV164" s="231">
        <v>354811</v>
      </c>
      <c r="EW164" s="231">
        <v>320592</v>
      </c>
      <c r="EX164" s="231">
        <v>34219</v>
      </c>
      <c r="EY164" s="229">
        <v>0.1067</v>
      </c>
      <c r="EZ164" s="229">
        <v>0.51680000000000004</v>
      </c>
      <c r="FA164" s="227" t="s">
        <v>555</v>
      </c>
      <c r="FB164" s="161">
        <f t="shared" si="4"/>
        <v>0</v>
      </c>
    </row>
    <row r="165" spans="1:158" ht="17.25" thickBot="1" x14ac:dyDescent="0.3">
      <c r="A165" s="226">
        <v>46029</v>
      </c>
      <c r="B165" s="227" t="s">
        <v>161</v>
      </c>
      <c r="C165" s="227" t="s">
        <v>276</v>
      </c>
      <c r="D165" s="228">
        <v>1900</v>
      </c>
      <c r="E165" s="228">
        <v>265.39999999999998</v>
      </c>
      <c r="F165" s="228">
        <v>269.85000000000002</v>
      </c>
      <c r="G165" s="228">
        <v>-4.45</v>
      </c>
      <c r="H165" s="229">
        <v>-1.6500000000000001E-2</v>
      </c>
      <c r="I165" s="228">
        <v>264.10000000000002</v>
      </c>
      <c r="J165" s="228">
        <v>268.55</v>
      </c>
      <c r="K165" s="228">
        <v>-4.45</v>
      </c>
      <c r="L165" s="229">
        <v>-1.66E-2</v>
      </c>
      <c r="M165" s="228">
        <v>265.39999999999998</v>
      </c>
      <c r="N165" s="228">
        <v>269.85000000000002</v>
      </c>
      <c r="O165" s="228">
        <v>-4.45</v>
      </c>
      <c r="P165" s="229">
        <v>-1.6500000000000001E-2</v>
      </c>
      <c r="Q165" s="228">
        <v>264.10000000000002</v>
      </c>
      <c r="R165" s="228">
        <v>268.25</v>
      </c>
      <c r="S165" s="228">
        <v>-4.1500000000000004</v>
      </c>
      <c r="T165" s="229">
        <v>-1.55E-2</v>
      </c>
      <c r="U165" s="228">
        <v>265.75</v>
      </c>
      <c r="V165" s="228">
        <v>270.2</v>
      </c>
      <c r="W165" s="228">
        <v>-4.45</v>
      </c>
      <c r="X165" s="229">
        <v>-1.6500000000000001E-2</v>
      </c>
      <c r="Y165" s="228">
        <v>1.3</v>
      </c>
      <c r="Z165" s="228">
        <v>1.3</v>
      </c>
      <c r="AA165" s="228">
        <v>0</v>
      </c>
      <c r="AB165" s="229">
        <v>4.8999999999999998E-3</v>
      </c>
      <c r="AC165" s="228">
        <v>1.3</v>
      </c>
      <c r="AD165" s="228">
        <v>1.3</v>
      </c>
      <c r="AE165" s="228">
        <v>0</v>
      </c>
      <c r="AF165" s="229">
        <v>4.8999999999999998E-3</v>
      </c>
      <c r="AG165" s="228">
        <v>0</v>
      </c>
      <c r="AH165" s="228">
        <v>-0.3</v>
      </c>
      <c r="AI165" s="228">
        <v>0.3</v>
      </c>
      <c r="AJ165" s="229">
        <v>0</v>
      </c>
      <c r="AK165" s="228">
        <v>1.65</v>
      </c>
      <c r="AL165" s="228">
        <v>1.65</v>
      </c>
      <c r="AM165" s="228">
        <v>0</v>
      </c>
      <c r="AN165" s="229">
        <v>6.1999999999999998E-3</v>
      </c>
      <c r="AO165" s="228">
        <v>266.18</v>
      </c>
      <c r="AP165" s="228">
        <v>264.61</v>
      </c>
      <c r="AQ165" s="228">
        <v>0</v>
      </c>
      <c r="AR165" s="230">
        <v>12692000</v>
      </c>
      <c r="AS165" s="230">
        <v>9503800</v>
      </c>
      <c r="AT165" s="230">
        <v>3188200</v>
      </c>
      <c r="AU165" s="229">
        <v>0.33550000000000002</v>
      </c>
      <c r="AV165" s="230">
        <v>11080800</v>
      </c>
      <c r="AW165" s="230">
        <v>8519600</v>
      </c>
      <c r="AX165" s="230">
        <v>2561200</v>
      </c>
      <c r="AY165" s="229">
        <v>0.30059999999999998</v>
      </c>
      <c r="AZ165" s="230">
        <v>1483900</v>
      </c>
      <c r="BA165" s="230">
        <v>902500</v>
      </c>
      <c r="BB165" s="230">
        <v>581400</v>
      </c>
      <c r="BC165" s="229">
        <v>0.64419999999999999</v>
      </c>
      <c r="BD165" s="230">
        <v>127300</v>
      </c>
      <c r="BE165" s="230">
        <v>81700</v>
      </c>
      <c r="BF165" s="230">
        <v>45600</v>
      </c>
      <c r="BG165" s="229">
        <v>0.55810000000000004</v>
      </c>
      <c r="BH165" s="230">
        <v>26784300</v>
      </c>
      <c r="BI165" s="230">
        <v>32073900</v>
      </c>
      <c r="BJ165" s="230">
        <v>-5289600</v>
      </c>
      <c r="BK165" s="229">
        <v>-0.16489999999999999</v>
      </c>
      <c r="BL165" s="230">
        <v>10818600</v>
      </c>
      <c r="BM165" s="230">
        <v>10106100</v>
      </c>
      <c r="BN165" s="230">
        <v>712500</v>
      </c>
      <c r="BO165" s="229">
        <v>7.0499999999999993E-2</v>
      </c>
      <c r="BP165" s="230">
        <v>50294900</v>
      </c>
      <c r="BQ165" s="230">
        <v>51683800</v>
      </c>
      <c r="BR165" s="230">
        <v>-1388900</v>
      </c>
      <c r="BS165" s="229">
        <v>-2.69E-2</v>
      </c>
      <c r="BT165" s="230">
        <v>15034137</v>
      </c>
      <c r="BU165" s="230">
        <v>11954360</v>
      </c>
      <c r="BV165" s="230">
        <v>3079777</v>
      </c>
      <c r="BW165" s="229">
        <v>0.2576</v>
      </c>
      <c r="BX165" s="230">
        <v>102045200</v>
      </c>
      <c r="BY165" s="230">
        <v>98235700</v>
      </c>
      <c r="BZ165" s="230">
        <v>3809500</v>
      </c>
      <c r="CA165" s="229">
        <v>3.8800000000000001E-2</v>
      </c>
      <c r="CB165" s="230">
        <v>92281100</v>
      </c>
      <c r="CC165" s="230">
        <v>89484300</v>
      </c>
      <c r="CD165" s="230">
        <v>2796800</v>
      </c>
      <c r="CE165" s="229">
        <v>3.1300000000000001E-2</v>
      </c>
      <c r="CF165" s="230">
        <v>9399300</v>
      </c>
      <c r="CG165" s="230">
        <v>8481600</v>
      </c>
      <c r="CH165" s="230">
        <v>917700</v>
      </c>
      <c r="CI165" s="229">
        <v>0.1082</v>
      </c>
      <c r="CJ165" s="230">
        <v>364800</v>
      </c>
      <c r="CK165" s="230">
        <v>269800</v>
      </c>
      <c r="CL165" s="230">
        <v>95000</v>
      </c>
      <c r="CM165" s="229">
        <v>0.35210000000000002</v>
      </c>
      <c r="CN165" s="230">
        <v>33755400</v>
      </c>
      <c r="CO165" s="230">
        <v>29064300</v>
      </c>
      <c r="CP165" s="230">
        <v>4691100</v>
      </c>
      <c r="CQ165" s="229">
        <v>0.16139999999999999</v>
      </c>
      <c r="CR165" s="230">
        <v>21361700</v>
      </c>
      <c r="CS165" s="230">
        <v>19237500</v>
      </c>
      <c r="CT165" s="230">
        <v>2124200</v>
      </c>
      <c r="CU165" s="229">
        <v>0.1104</v>
      </c>
      <c r="CV165" s="230">
        <v>157162300</v>
      </c>
      <c r="CW165" s="230">
        <v>146537500</v>
      </c>
      <c r="CX165" s="230">
        <v>10624800</v>
      </c>
      <c r="CY165" s="229">
        <v>7.2499999999999995E-2</v>
      </c>
      <c r="CZ165" s="228">
        <v>20.9</v>
      </c>
      <c r="DA165" s="228">
        <v>19.36</v>
      </c>
      <c r="DB165" s="228">
        <v>1.54</v>
      </c>
      <c r="DC165" s="228">
        <v>1.54</v>
      </c>
      <c r="DD165" s="228">
        <v>27.5</v>
      </c>
      <c r="DE165" s="228">
        <v>27.47</v>
      </c>
      <c r="DF165" s="228">
        <v>-6.6</v>
      </c>
      <c r="DG165" s="228">
        <v>0.03</v>
      </c>
      <c r="DH165" s="228">
        <v>21.3</v>
      </c>
      <c r="DI165" s="228">
        <v>19.420000000000002</v>
      </c>
      <c r="DJ165" s="228">
        <v>1.88</v>
      </c>
      <c r="DK165" s="228">
        <v>1.88</v>
      </c>
      <c r="DL165" s="228">
        <v>19.88</v>
      </c>
      <c r="DM165" s="228">
        <v>19.18</v>
      </c>
      <c r="DN165" s="228">
        <v>0.7</v>
      </c>
      <c r="DO165" s="228">
        <v>0.7</v>
      </c>
      <c r="DP165" s="228">
        <v>0.63</v>
      </c>
      <c r="DQ165" s="228">
        <v>0.66</v>
      </c>
      <c r="DR165" s="228">
        <v>-0.03</v>
      </c>
      <c r="DS165" s="229">
        <v>-4.5499999999999999E-2</v>
      </c>
      <c r="DT165" s="228">
        <v>280</v>
      </c>
      <c r="DU165" s="228">
        <v>250</v>
      </c>
      <c r="DV165" s="228">
        <v>0.4</v>
      </c>
      <c r="DW165" s="228">
        <v>0.32</v>
      </c>
      <c r="DX165" s="228">
        <v>0.08</v>
      </c>
      <c r="DY165" s="229">
        <v>0.25</v>
      </c>
      <c r="DZ165" s="229">
        <v>9.5699999999999993E-2</v>
      </c>
      <c r="EA165" s="230">
        <v>8751400</v>
      </c>
      <c r="EB165" s="229">
        <v>-4.8999999999999998E-3</v>
      </c>
      <c r="EC165" s="229">
        <v>9.5699999999999993E-2</v>
      </c>
      <c r="ED165" s="228">
        <v>-1.57</v>
      </c>
      <c r="EE165" s="229">
        <v>-5.8999999999999999E-3</v>
      </c>
      <c r="EF165" s="230">
        <v>11493662</v>
      </c>
      <c r="EG165" s="230">
        <v>8318291</v>
      </c>
      <c r="EH165" s="229">
        <v>0.38169999999999998</v>
      </c>
      <c r="EI165" s="229">
        <v>0.76449999999999996</v>
      </c>
      <c r="EJ165" s="231">
        <v>74528.61</v>
      </c>
      <c r="EK165" s="231">
        <v>28664.3</v>
      </c>
      <c r="EL165" s="231">
        <v>33760.97</v>
      </c>
      <c r="EM165" s="231">
        <v>5166</v>
      </c>
      <c r="EN165" s="231">
        <v>136953.88</v>
      </c>
      <c r="EO165" s="231">
        <v>142555.34</v>
      </c>
      <c r="EP165" s="231">
        <v>-5601.46</v>
      </c>
      <c r="EQ165" s="229">
        <v>-3.9300000000000002E-2</v>
      </c>
      <c r="ER165" s="231">
        <v>94325</v>
      </c>
      <c r="ES165" s="231">
        <v>56520</v>
      </c>
      <c r="ET165" s="231">
        <v>270707</v>
      </c>
      <c r="EU165" s="231">
        <v>678857930</v>
      </c>
      <c r="EV165" s="231">
        <v>421551</v>
      </c>
      <c r="EW165" s="231">
        <v>397445</v>
      </c>
      <c r="EX165" s="231">
        <v>24106</v>
      </c>
      <c r="EY165" s="229">
        <v>6.0699999999999997E-2</v>
      </c>
      <c r="EZ165" s="229">
        <v>0.23150000000000001</v>
      </c>
      <c r="FA165" s="227" t="s">
        <v>567</v>
      </c>
      <c r="FB165" s="161">
        <f t="shared" si="4"/>
        <v>0</v>
      </c>
    </row>
    <row r="166" spans="1:158" ht="17.25" thickBot="1" x14ac:dyDescent="0.3">
      <c r="A166" s="226">
        <v>46029</v>
      </c>
      <c r="B166" s="227" t="s">
        <v>184</v>
      </c>
      <c r="C166" s="227" t="s">
        <v>687</v>
      </c>
      <c r="D166" s="228">
        <v>50</v>
      </c>
      <c r="E166" s="231">
        <v>19628</v>
      </c>
      <c r="F166" s="231">
        <v>18867</v>
      </c>
      <c r="G166" s="228">
        <v>761</v>
      </c>
      <c r="H166" s="229">
        <v>4.0300000000000002E-2</v>
      </c>
      <c r="I166" s="231">
        <v>19582</v>
      </c>
      <c r="J166" s="231">
        <v>18847</v>
      </c>
      <c r="K166" s="228">
        <v>735</v>
      </c>
      <c r="L166" s="229">
        <v>3.9E-2</v>
      </c>
      <c r="M166" s="231">
        <v>19628</v>
      </c>
      <c r="N166" s="231">
        <v>18867</v>
      </c>
      <c r="O166" s="228">
        <v>761</v>
      </c>
      <c r="P166" s="229">
        <v>4.0300000000000002E-2</v>
      </c>
      <c r="Q166" s="231">
        <v>19727</v>
      </c>
      <c r="R166" s="231">
        <v>18940</v>
      </c>
      <c r="S166" s="228">
        <v>787</v>
      </c>
      <c r="T166" s="229">
        <v>4.1599999999999998E-2</v>
      </c>
      <c r="U166" s="231">
        <v>19918</v>
      </c>
      <c r="V166" s="231">
        <v>19088</v>
      </c>
      <c r="W166" s="228">
        <v>830</v>
      </c>
      <c r="X166" s="229">
        <v>4.3499999999999997E-2</v>
      </c>
      <c r="Y166" s="228">
        <v>46</v>
      </c>
      <c r="Z166" s="228">
        <v>20</v>
      </c>
      <c r="AA166" s="228">
        <v>26</v>
      </c>
      <c r="AB166" s="229">
        <v>2.3E-3</v>
      </c>
      <c r="AC166" s="228">
        <v>46</v>
      </c>
      <c r="AD166" s="228">
        <v>20</v>
      </c>
      <c r="AE166" s="228">
        <v>26</v>
      </c>
      <c r="AF166" s="229">
        <v>2.3E-3</v>
      </c>
      <c r="AG166" s="228">
        <v>145</v>
      </c>
      <c r="AH166" s="228">
        <v>93</v>
      </c>
      <c r="AI166" s="228">
        <v>52</v>
      </c>
      <c r="AJ166" s="229">
        <v>7.4000000000000003E-3</v>
      </c>
      <c r="AK166" s="228">
        <v>336</v>
      </c>
      <c r="AL166" s="228">
        <v>241</v>
      </c>
      <c r="AM166" s="228">
        <v>95</v>
      </c>
      <c r="AN166" s="229">
        <v>1.72E-2</v>
      </c>
      <c r="AO166" s="231">
        <v>19524.919999999998</v>
      </c>
      <c r="AP166" s="231">
        <v>19555.93</v>
      </c>
      <c r="AQ166" s="228">
        <v>0</v>
      </c>
      <c r="AR166" s="230">
        <v>178300</v>
      </c>
      <c r="AS166" s="230">
        <v>54300</v>
      </c>
      <c r="AT166" s="230">
        <v>124000</v>
      </c>
      <c r="AU166" s="229">
        <v>2.2835999999999999</v>
      </c>
      <c r="AV166" s="230">
        <v>166200</v>
      </c>
      <c r="AW166" s="230">
        <v>51300</v>
      </c>
      <c r="AX166" s="230">
        <v>114900</v>
      </c>
      <c r="AY166" s="229">
        <v>2.2397999999999998</v>
      </c>
      <c r="AZ166" s="230">
        <v>10800</v>
      </c>
      <c r="BA166" s="230">
        <v>2750</v>
      </c>
      <c r="BB166" s="230">
        <v>8050</v>
      </c>
      <c r="BC166" s="229">
        <v>2.9272999999999998</v>
      </c>
      <c r="BD166" s="230">
        <v>1300</v>
      </c>
      <c r="BE166" s="228">
        <v>250</v>
      </c>
      <c r="BF166" s="230">
        <v>1050</v>
      </c>
      <c r="BG166" s="229">
        <v>4.2</v>
      </c>
      <c r="BH166" s="230">
        <v>1281350</v>
      </c>
      <c r="BI166" s="230">
        <v>114350</v>
      </c>
      <c r="BJ166" s="230">
        <v>1167000</v>
      </c>
      <c r="BK166" s="229">
        <v>10.205500000000001</v>
      </c>
      <c r="BL166" s="230">
        <v>232100</v>
      </c>
      <c r="BM166" s="230">
        <v>47800</v>
      </c>
      <c r="BN166" s="230">
        <v>184300</v>
      </c>
      <c r="BO166" s="229">
        <v>3.8555999999999999</v>
      </c>
      <c r="BP166" s="230">
        <v>1691750</v>
      </c>
      <c r="BQ166" s="230">
        <v>216450</v>
      </c>
      <c r="BR166" s="230">
        <v>1475300</v>
      </c>
      <c r="BS166" s="229">
        <v>6.8159000000000001</v>
      </c>
      <c r="BT166" s="230">
        <v>178067</v>
      </c>
      <c r="BU166" s="230">
        <v>65677</v>
      </c>
      <c r="BV166" s="230">
        <v>112390</v>
      </c>
      <c r="BW166" s="229">
        <v>1.7113</v>
      </c>
      <c r="BX166" s="230">
        <v>257300</v>
      </c>
      <c r="BY166" s="230">
        <v>259050</v>
      </c>
      <c r="BZ166" s="230">
        <v>-1750</v>
      </c>
      <c r="CA166" s="229">
        <v>-6.7999999999999996E-3</v>
      </c>
      <c r="CB166" s="230">
        <v>249950</v>
      </c>
      <c r="CC166" s="230">
        <v>251700</v>
      </c>
      <c r="CD166" s="230">
        <v>-1750</v>
      </c>
      <c r="CE166" s="229">
        <v>-7.0000000000000001E-3</v>
      </c>
      <c r="CF166" s="230">
        <v>7000</v>
      </c>
      <c r="CG166" s="230">
        <v>6050</v>
      </c>
      <c r="CH166" s="228">
        <v>950</v>
      </c>
      <c r="CI166" s="229">
        <v>0.157</v>
      </c>
      <c r="CJ166" s="228">
        <v>350</v>
      </c>
      <c r="CK166" s="230">
        <v>1300</v>
      </c>
      <c r="CL166" s="228">
        <v>-950</v>
      </c>
      <c r="CM166" s="229">
        <v>-0.73080000000000001</v>
      </c>
      <c r="CN166" s="230">
        <v>134400</v>
      </c>
      <c r="CO166" s="230">
        <v>84050</v>
      </c>
      <c r="CP166" s="230">
        <v>50350</v>
      </c>
      <c r="CQ166" s="229">
        <v>0.59899999999999998</v>
      </c>
      <c r="CR166" s="230">
        <v>65950</v>
      </c>
      <c r="CS166" s="230">
        <v>41600</v>
      </c>
      <c r="CT166" s="230">
        <v>24350</v>
      </c>
      <c r="CU166" s="229">
        <v>0.58530000000000004</v>
      </c>
      <c r="CV166" s="230">
        <v>457650</v>
      </c>
      <c r="CW166" s="230">
        <v>384700</v>
      </c>
      <c r="CX166" s="230">
        <v>72950</v>
      </c>
      <c r="CY166" s="229">
        <v>0.18959999999999999</v>
      </c>
      <c r="CZ166" s="228">
        <v>37.369999999999997</v>
      </c>
      <c r="DA166" s="228">
        <v>34.770000000000003</v>
      </c>
      <c r="DB166" s="228">
        <v>2.6</v>
      </c>
      <c r="DC166" s="228">
        <v>2.6</v>
      </c>
      <c r="DD166" s="228">
        <v>57.13</v>
      </c>
      <c r="DE166" s="228">
        <v>57.04</v>
      </c>
      <c r="DF166" s="228">
        <v>-19.760000000000002</v>
      </c>
      <c r="DG166" s="228">
        <v>0.09</v>
      </c>
      <c r="DH166" s="228">
        <v>37.17</v>
      </c>
      <c r="DI166" s="228">
        <v>33.92</v>
      </c>
      <c r="DJ166" s="228">
        <v>3.25</v>
      </c>
      <c r="DK166" s="228">
        <v>3.25</v>
      </c>
      <c r="DL166" s="228">
        <v>38.47</v>
      </c>
      <c r="DM166" s="228">
        <v>36.799999999999997</v>
      </c>
      <c r="DN166" s="228">
        <v>1.67</v>
      </c>
      <c r="DO166" s="228">
        <v>1.67</v>
      </c>
      <c r="DP166" s="228">
        <v>0.49</v>
      </c>
      <c r="DQ166" s="228">
        <v>0.49</v>
      </c>
      <c r="DR166" s="228">
        <v>0</v>
      </c>
      <c r="DS166" s="229">
        <v>0</v>
      </c>
      <c r="DT166" s="231">
        <v>20000</v>
      </c>
      <c r="DU166" s="231">
        <v>17000</v>
      </c>
      <c r="DV166" s="228">
        <v>0.18</v>
      </c>
      <c r="DW166" s="228">
        <v>0.42</v>
      </c>
      <c r="DX166" s="228">
        <v>-0.24</v>
      </c>
      <c r="DY166" s="229">
        <v>-0.57140000000000002</v>
      </c>
      <c r="DZ166" s="229">
        <v>2.86E-2</v>
      </c>
      <c r="EA166" s="230">
        <v>7350</v>
      </c>
      <c r="EB166" s="229">
        <v>5.0000000000000001E-3</v>
      </c>
      <c r="EC166" s="229">
        <v>2.86E-2</v>
      </c>
      <c r="ED166" s="228">
        <v>31.01</v>
      </c>
      <c r="EE166" s="229">
        <v>1.6000000000000001E-3</v>
      </c>
      <c r="EF166" s="230">
        <v>46276</v>
      </c>
      <c r="EG166" s="230">
        <v>25513</v>
      </c>
      <c r="EH166" s="229">
        <v>0.81379999999999997</v>
      </c>
      <c r="EI166" s="229">
        <v>0.25990000000000002</v>
      </c>
      <c r="EJ166" s="231">
        <v>269313.57</v>
      </c>
      <c r="EK166" s="231">
        <v>43687.07</v>
      </c>
      <c r="EL166" s="231">
        <v>34815.160000000003</v>
      </c>
      <c r="EM166" s="231">
        <v>1137</v>
      </c>
      <c r="EN166" s="231">
        <v>347815.8</v>
      </c>
      <c r="EO166" s="231">
        <v>41954.29</v>
      </c>
      <c r="EP166" s="231">
        <v>305861.51</v>
      </c>
      <c r="EQ166" s="229">
        <v>7.2904</v>
      </c>
      <c r="ER166" s="231">
        <v>27711</v>
      </c>
      <c r="ES166" s="231">
        <v>12141</v>
      </c>
      <c r="ET166" s="231">
        <v>50511</v>
      </c>
      <c r="EU166" s="231">
        <v>1917916</v>
      </c>
      <c r="EV166" s="231">
        <v>90363</v>
      </c>
      <c r="EW166" s="231">
        <v>73216</v>
      </c>
      <c r="EX166" s="231">
        <v>17147</v>
      </c>
      <c r="EY166" s="229">
        <v>0.23419999999999999</v>
      </c>
      <c r="EZ166" s="229">
        <v>0.23860000000000001</v>
      </c>
      <c r="FA166" s="227" t="s">
        <v>556</v>
      </c>
      <c r="FB166" s="161">
        <f t="shared" si="4"/>
        <v>0</v>
      </c>
    </row>
    <row r="167" spans="1:158" ht="17.25" thickBot="1" x14ac:dyDescent="0.3">
      <c r="A167" s="226">
        <v>46029</v>
      </c>
      <c r="B167" s="227" t="s">
        <v>170</v>
      </c>
      <c r="C167" s="227" t="s">
        <v>678</v>
      </c>
      <c r="D167" s="228">
        <v>2625</v>
      </c>
      <c r="E167" s="228">
        <v>181.82</v>
      </c>
      <c r="F167" s="228">
        <v>180.88</v>
      </c>
      <c r="G167" s="228">
        <v>0.94</v>
      </c>
      <c r="H167" s="229">
        <v>5.1999999999999998E-3</v>
      </c>
      <c r="I167" s="228">
        <v>180.81</v>
      </c>
      <c r="J167" s="228">
        <v>180</v>
      </c>
      <c r="K167" s="228">
        <v>0.81</v>
      </c>
      <c r="L167" s="229">
        <v>4.4999999999999997E-3</v>
      </c>
      <c r="M167" s="228">
        <v>181.82</v>
      </c>
      <c r="N167" s="228">
        <v>180.88</v>
      </c>
      <c r="O167" s="228">
        <v>0.94</v>
      </c>
      <c r="P167" s="229">
        <v>5.1999999999999998E-3</v>
      </c>
      <c r="Q167" s="228">
        <v>182.59</v>
      </c>
      <c r="R167" s="228">
        <v>181.7</v>
      </c>
      <c r="S167" s="228">
        <v>0.89</v>
      </c>
      <c r="T167" s="229">
        <v>4.8999999999999998E-3</v>
      </c>
      <c r="U167" s="228">
        <v>183.86</v>
      </c>
      <c r="V167" s="228">
        <v>180.68</v>
      </c>
      <c r="W167" s="228">
        <v>3.18</v>
      </c>
      <c r="X167" s="229">
        <v>1.7600000000000001E-2</v>
      </c>
      <c r="Y167" s="228">
        <v>1.01</v>
      </c>
      <c r="Z167" s="228">
        <v>0.88</v>
      </c>
      <c r="AA167" s="228">
        <v>0.13</v>
      </c>
      <c r="AB167" s="229">
        <v>5.5999999999999999E-3</v>
      </c>
      <c r="AC167" s="228">
        <v>1.01</v>
      </c>
      <c r="AD167" s="228">
        <v>0.88</v>
      </c>
      <c r="AE167" s="228">
        <v>0.13</v>
      </c>
      <c r="AF167" s="229">
        <v>5.5999999999999999E-3</v>
      </c>
      <c r="AG167" s="228">
        <v>1.78</v>
      </c>
      <c r="AH167" s="228">
        <v>1.7</v>
      </c>
      <c r="AI167" s="228">
        <v>0.08</v>
      </c>
      <c r="AJ167" s="229">
        <v>9.7999999999999997E-3</v>
      </c>
      <c r="AK167" s="228">
        <v>3.05</v>
      </c>
      <c r="AL167" s="228">
        <v>0.68</v>
      </c>
      <c r="AM167" s="228">
        <v>2.37</v>
      </c>
      <c r="AN167" s="229">
        <v>1.6899999999999998E-2</v>
      </c>
      <c r="AO167" s="228">
        <v>183.05</v>
      </c>
      <c r="AP167" s="228">
        <v>184.06</v>
      </c>
      <c r="AQ167" s="228">
        <v>0</v>
      </c>
      <c r="AR167" s="230">
        <v>11788875</v>
      </c>
      <c r="AS167" s="230">
        <v>4147500</v>
      </c>
      <c r="AT167" s="230">
        <v>7641375</v>
      </c>
      <c r="AU167" s="229">
        <v>1.8424</v>
      </c>
      <c r="AV167" s="230">
        <v>11145750</v>
      </c>
      <c r="AW167" s="230">
        <v>3882375</v>
      </c>
      <c r="AX167" s="230">
        <v>7263375</v>
      </c>
      <c r="AY167" s="229">
        <v>1.8709</v>
      </c>
      <c r="AZ167" s="230">
        <v>593250</v>
      </c>
      <c r="BA167" s="230">
        <v>254625</v>
      </c>
      <c r="BB167" s="230">
        <v>338625</v>
      </c>
      <c r="BC167" s="229">
        <v>1.3299000000000001</v>
      </c>
      <c r="BD167" s="230">
        <v>49875</v>
      </c>
      <c r="BE167" s="230">
        <v>10500</v>
      </c>
      <c r="BF167" s="230">
        <v>39375</v>
      </c>
      <c r="BG167" s="229">
        <v>3.75</v>
      </c>
      <c r="BH167" s="230">
        <v>31838625</v>
      </c>
      <c r="BI167" s="230">
        <v>9114000</v>
      </c>
      <c r="BJ167" s="230">
        <v>22724625</v>
      </c>
      <c r="BK167" s="229">
        <v>2.4933999999999998</v>
      </c>
      <c r="BL167" s="230">
        <v>5344500</v>
      </c>
      <c r="BM167" s="230">
        <v>3690750</v>
      </c>
      <c r="BN167" s="230">
        <v>1653750</v>
      </c>
      <c r="BO167" s="229">
        <v>0.4481</v>
      </c>
      <c r="BP167" s="230">
        <v>48972000</v>
      </c>
      <c r="BQ167" s="230">
        <v>16952250</v>
      </c>
      <c r="BR167" s="230">
        <v>32019750</v>
      </c>
      <c r="BS167" s="229">
        <v>1.8888</v>
      </c>
      <c r="BT167" s="230">
        <v>6800096</v>
      </c>
      <c r="BU167" s="230">
        <v>3152009</v>
      </c>
      <c r="BV167" s="230">
        <v>3648087</v>
      </c>
      <c r="BW167" s="229">
        <v>1.1574</v>
      </c>
      <c r="BX167" s="230">
        <v>26131875</v>
      </c>
      <c r="BY167" s="230">
        <v>25205250</v>
      </c>
      <c r="BZ167" s="230">
        <v>926625</v>
      </c>
      <c r="CA167" s="229">
        <v>3.6799999999999999E-2</v>
      </c>
      <c r="CB167" s="230">
        <v>24808875</v>
      </c>
      <c r="CC167" s="230">
        <v>23989875</v>
      </c>
      <c r="CD167" s="230">
        <v>819000</v>
      </c>
      <c r="CE167" s="229">
        <v>3.4099999999999998E-2</v>
      </c>
      <c r="CF167" s="230">
        <v>1241625</v>
      </c>
      <c r="CG167" s="230">
        <v>1155000</v>
      </c>
      <c r="CH167" s="230">
        <v>86625</v>
      </c>
      <c r="CI167" s="229">
        <v>7.4999999999999997E-2</v>
      </c>
      <c r="CJ167" s="230">
        <v>81375</v>
      </c>
      <c r="CK167" s="230">
        <v>60375</v>
      </c>
      <c r="CL167" s="230">
        <v>21000</v>
      </c>
      <c r="CM167" s="229">
        <v>0.3478</v>
      </c>
      <c r="CN167" s="230">
        <v>11200875</v>
      </c>
      <c r="CO167" s="230">
        <v>9681000</v>
      </c>
      <c r="CP167" s="230">
        <v>1519875</v>
      </c>
      <c r="CQ167" s="229">
        <v>0.157</v>
      </c>
      <c r="CR167" s="230">
        <v>6552000</v>
      </c>
      <c r="CS167" s="230">
        <v>6118875</v>
      </c>
      <c r="CT167" s="230">
        <v>433125</v>
      </c>
      <c r="CU167" s="229">
        <v>7.0800000000000002E-2</v>
      </c>
      <c r="CV167" s="230">
        <v>43884750</v>
      </c>
      <c r="CW167" s="230">
        <v>41005125</v>
      </c>
      <c r="CX167" s="230">
        <v>2879625</v>
      </c>
      <c r="CY167" s="229">
        <v>7.0199999999999999E-2</v>
      </c>
      <c r="CZ167" s="228">
        <v>32.49</v>
      </c>
      <c r="DA167" s="228">
        <v>33.01</v>
      </c>
      <c r="DB167" s="228">
        <v>-0.52</v>
      </c>
      <c r="DC167" s="228">
        <v>-0.52</v>
      </c>
      <c r="DD167" s="228">
        <v>43.26</v>
      </c>
      <c r="DE167" s="228">
        <v>43.37</v>
      </c>
      <c r="DF167" s="228">
        <v>-10.77</v>
      </c>
      <c r="DG167" s="228">
        <v>-0.11</v>
      </c>
      <c r="DH167" s="228">
        <v>32.49</v>
      </c>
      <c r="DI167" s="228">
        <v>32.57</v>
      </c>
      <c r="DJ167" s="228">
        <v>-0.08</v>
      </c>
      <c r="DK167" s="228">
        <v>-0.08</v>
      </c>
      <c r="DL167" s="228">
        <v>32.53</v>
      </c>
      <c r="DM167" s="228">
        <v>34.11</v>
      </c>
      <c r="DN167" s="228">
        <v>-1.58</v>
      </c>
      <c r="DO167" s="228">
        <v>-1.58</v>
      </c>
      <c r="DP167" s="228">
        <v>0.57999999999999996</v>
      </c>
      <c r="DQ167" s="228">
        <v>0.63</v>
      </c>
      <c r="DR167" s="228">
        <v>-0.05</v>
      </c>
      <c r="DS167" s="229">
        <v>-7.9399999999999998E-2</v>
      </c>
      <c r="DT167" s="228">
        <v>200</v>
      </c>
      <c r="DU167" s="228">
        <v>165</v>
      </c>
      <c r="DV167" s="228">
        <v>0.17</v>
      </c>
      <c r="DW167" s="228">
        <v>0.4</v>
      </c>
      <c r="DX167" s="228">
        <v>-0.23</v>
      </c>
      <c r="DY167" s="229">
        <v>-0.57499999999999996</v>
      </c>
      <c r="DZ167" s="229">
        <v>5.0599999999999999E-2</v>
      </c>
      <c r="EA167" s="230">
        <v>1215375</v>
      </c>
      <c r="EB167" s="229">
        <v>4.1999999999999997E-3</v>
      </c>
      <c r="EC167" s="229">
        <v>5.0599999999999999E-2</v>
      </c>
      <c r="ED167" s="228">
        <v>1.01</v>
      </c>
      <c r="EE167" s="229">
        <v>5.4999999999999997E-3</v>
      </c>
      <c r="EF167" s="230">
        <v>1843476</v>
      </c>
      <c r="EG167" s="230">
        <v>1071952</v>
      </c>
      <c r="EH167" s="229">
        <v>0.71970000000000001</v>
      </c>
      <c r="EI167" s="229">
        <v>0.27110000000000001</v>
      </c>
      <c r="EJ167" s="231">
        <v>61206.58</v>
      </c>
      <c r="EK167" s="231">
        <v>9678.11</v>
      </c>
      <c r="EL167" s="231">
        <v>21586.23</v>
      </c>
      <c r="EM167" s="231">
        <v>1694</v>
      </c>
      <c r="EN167" s="231">
        <v>92470.92</v>
      </c>
      <c r="EO167" s="231">
        <v>31460.14</v>
      </c>
      <c r="EP167" s="231">
        <v>61010.78</v>
      </c>
      <c r="EQ167" s="229">
        <v>1.9393</v>
      </c>
      <c r="ER167" s="231">
        <v>21362</v>
      </c>
      <c r="ES167" s="231">
        <v>11409</v>
      </c>
      <c r="ET167" s="231">
        <v>47524</v>
      </c>
      <c r="EU167" s="231">
        <v>107697729</v>
      </c>
      <c r="EV167" s="231">
        <v>80296</v>
      </c>
      <c r="EW167" s="231">
        <v>74736</v>
      </c>
      <c r="EX167" s="231">
        <v>5560</v>
      </c>
      <c r="EY167" s="229">
        <v>7.4399999999999994E-2</v>
      </c>
      <c r="EZ167" s="229">
        <v>0.40749999999999997</v>
      </c>
      <c r="FA167" s="227" t="s">
        <v>555</v>
      </c>
      <c r="FB167" s="161">
        <f t="shared" si="4"/>
        <v>0</v>
      </c>
    </row>
    <row r="168" spans="1:158" ht="17.25" thickBot="1" x14ac:dyDescent="0.3">
      <c r="A168" s="226">
        <v>46029</v>
      </c>
      <c r="B168" s="227" t="s">
        <v>184</v>
      </c>
      <c r="C168" s="227" t="s">
        <v>690</v>
      </c>
      <c r="D168" s="228">
        <v>575</v>
      </c>
      <c r="E168" s="228">
        <v>755.55</v>
      </c>
      <c r="F168" s="228">
        <v>763.75</v>
      </c>
      <c r="G168" s="228">
        <v>-8.1999999999999993</v>
      </c>
      <c r="H168" s="229">
        <v>-1.0699999999999999E-2</v>
      </c>
      <c r="I168" s="228">
        <v>752.05</v>
      </c>
      <c r="J168" s="228">
        <v>762.1</v>
      </c>
      <c r="K168" s="228">
        <v>-10.050000000000001</v>
      </c>
      <c r="L168" s="229">
        <v>-1.32E-2</v>
      </c>
      <c r="M168" s="228">
        <v>755.55</v>
      </c>
      <c r="N168" s="228">
        <v>763.75</v>
      </c>
      <c r="O168" s="228">
        <v>-8.1999999999999993</v>
      </c>
      <c r="P168" s="229">
        <v>-1.0699999999999999E-2</v>
      </c>
      <c r="Q168" s="228">
        <v>753.8</v>
      </c>
      <c r="R168" s="228">
        <v>762.75</v>
      </c>
      <c r="S168" s="228">
        <v>-8.9499999999999993</v>
      </c>
      <c r="T168" s="229">
        <v>-1.17E-2</v>
      </c>
      <c r="U168" s="228">
        <v>753.9</v>
      </c>
      <c r="V168" s="228">
        <v>764.8</v>
      </c>
      <c r="W168" s="228">
        <v>-10.9</v>
      </c>
      <c r="X168" s="229">
        <v>-1.43E-2</v>
      </c>
      <c r="Y168" s="228">
        <v>3.5</v>
      </c>
      <c r="Z168" s="228">
        <v>1.65</v>
      </c>
      <c r="AA168" s="228">
        <v>1.85</v>
      </c>
      <c r="AB168" s="229">
        <v>4.7000000000000002E-3</v>
      </c>
      <c r="AC168" s="228">
        <v>3.5</v>
      </c>
      <c r="AD168" s="228">
        <v>1.65</v>
      </c>
      <c r="AE168" s="228">
        <v>1.85</v>
      </c>
      <c r="AF168" s="229">
        <v>4.7000000000000002E-3</v>
      </c>
      <c r="AG168" s="228">
        <v>1.75</v>
      </c>
      <c r="AH168" s="228">
        <v>0.65</v>
      </c>
      <c r="AI168" s="228">
        <v>1.1000000000000001</v>
      </c>
      <c r="AJ168" s="229">
        <v>2.3E-3</v>
      </c>
      <c r="AK168" s="228">
        <v>1.85</v>
      </c>
      <c r="AL168" s="228">
        <v>2.7</v>
      </c>
      <c r="AM168" s="228">
        <v>-0.85</v>
      </c>
      <c r="AN168" s="229">
        <v>2.5000000000000001E-3</v>
      </c>
      <c r="AO168" s="228">
        <v>754.89</v>
      </c>
      <c r="AP168" s="228">
        <v>754.5</v>
      </c>
      <c r="AQ168" s="228">
        <v>0</v>
      </c>
      <c r="AR168" s="230">
        <v>1631850</v>
      </c>
      <c r="AS168" s="230">
        <v>2956650</v>
      </c>
      <c r="AT168" s="230">
        <v>-1324800</v>
      </c>
      <c r="AU168" s="229">
        <v>-0.4481</v>
      </c>
      <c r="AV168" s="230">
        <v>1430600</v>
      </c>
      <c r="AW168" s="230">
        <v>2599575</v>
      </c>
      <c r="AX168" s="230">
        <v>-1168975</v>
      </c>
      <c r="AY168" s="229">
        <v>-0.44969999999999999</v>
      </c>
      <c r="AZ168" s="230">
        <v>181125</v>
      </c>
      <c r="BA168" s="230">
        <v>312225</v>
      </c>
      <c r="BB168" s="230">
        <v>-131100</v>
      </c>
      <c r="BC168" s="229">
        <v>-0.4199</v>
      </c>
      <c r="BD168" s="230">
        <v>20125</v>
      </c>
      <c r="BE168" s="230">
        <v>44850</v>
      </c>
      <c r="BF168" s="230">
        <v>-24725</v>
      </c>
      <c r="BG168" s="229">
        <v>-0.55130000000000001</v>
      </c>
      <c r="BH168" s="230">
        <v>3613875</v>
      </c>
      <c r="BI168" s="230">
        <v>5039875</v>
      </c>
      <c r="BJ168" s="230">
        <v>-1426000</v>
      </c>
      <c r="BK168" s="229">
        <v>-0.28289999999999998</v>
      </c>
      <c r="BL168" s="230">
        <v>2048725</v>
      </c>
      <c r="BM168" s="230">
        <v>7028225</v>
      </c>
      <c r="BN168" s="230">
        <v>-4979500</v>
      </c>
      <c r="BO168" s="229">
        <v>-0.70850000000000002</v>
      </c>
      <c r="BP168" s="230">
        <v>7294450</v>
      </c>
      <c r="BQ168" s="230">
        <v>15024750</v>
      </c>
      <c r="BR168" s="230">
        <v>-7730300</v>
      </c>
      <c r="BS168" s="229">
        <v>-0.51449999999999996</v>
      </c>
      <c r="BT168" s="230">
        <v>2417170</v>
      </c>
      <c r="BU168" s="230">
        <v>5498822</v>
      </c>
      <c r="BV168" s="230">
        <v>-3081652</v>
      </c>
      <c r="BW168" s="229">
        <v>-0.56040000000000001</v>
      </c>
      <c r="BX168" s="230">
        <v>3814550</v>
      </c>
      <c r="BY168" s="230">
        <v>3397675</v>
      </c>
      <c r="BZ168" s="230">
        <v>416875</v>
      </c>
      <c r="CA168" s="229">
        <v>0.1227</v>
      </c>
      <c r="CB168" s="230">
        <v>3299350</v>
      </c>
      <c r="CC168" s="230">
        <v>2940550</v>
      </c>
      <c r="CD168" s="230">
        <v>358800</v>
      </c>
      <c r="CE168" s="229">
        <v>0.122</v>
      </c>
      <c r="CF168" s="230">
        <v>419175</v>
      </c>
      <c r="CG168" s="230">
        <v>364550</v>
      </c>
      <c r="CH168" s="230">
        <v>54625</v>
      </c>
      <c r="CI168" s="229">
        <v>0.14979999999999999</v>
      </c>
      <c r="CJ168" s="230">
        <v>96025</v>
      </c>
      <c r="CK168" s="230">
        <v>92575</v>
      </c>
      <c r="CL168" s="230">
        <v>3450</v>
      </c>
      <c r="CM168" s="229">
        <v>3.73E-2</v>
      </c>
      <c r="CN168" s="230">
        <v>3643200</v>
      </c>
      <c r="CO168" s="230">
        <v>2808875</v>
      </c>
      <c r="CP168" s="230">
        <v>834325</v>
      </c>
      <c r="CQ168" s="229">
        <v>0.29699999999999999</v>
      </c>
      <c r="CR168" s="230">
        <v>2516775</v>
      </c>
      <c r="CS168" s="230">
        <v>2200525</v>
      </c>
      <c r="CT168" s="230">
        <v>316250</v>
      </c>
      <c r="CU168" s="229">
        <v>0.14369999999999999</v>
      </c>
      <c r="CV168" s="230">
        <v>9974525</v>
      </c>
      <c r="CW168" s="230">
        <v>8407075</v>
      </c>
      <c r="CX168" s="230">
        <v>1567450</v>
      </c>
      <c r="CY168" s="229">
        <v>0.18640000000000001</v>
      </c>
      <c r="CZ168" s="228">
        <v>45.14</v>
      </c>
      <c r="DA168" s="228">
        <v>44.31</v>
      </c>
      <c r="DB168" s="228">
        <v>0.83</v>
      </c>
      <c r="DC168" s="228">
        <v>0.83</v>
      </c>
      <c r="DD168" s="228">
        <v>45.71</v>
      </c>
      <c r="DE168" s="228">
        <v>45.8</v>
      </c>
      <c r="DF168" s="228">
        <v>-0.56999999999999995</v>
      </c>
      <c r="DG168" s="228">
        <v>-0.09</v>
      </c>
      <c r="DH168" s="228">
        <v>45.04</v>
      </c>
      <c r="DI168" s="228">
        <v>43.7</v>
      </c>
      <c r="DJ168" s="228">
        <v>1.34</v>
      </c>
      <c r="DK168" s="228">
        <v>1.34</v>
      </c>
      <c r="DL168" s="228">
        <v>45.31</v>
      </c>
      <c r="DM168" s="228">
        <v>44.76</v>
      </c>
      <c r="DN168" s="228">
        <v>0.55000000000000004</v>
      </c>
      <c r="DO168" s="228">
        <v>0.55000000000000004</v>
      </c>
      <c r="DP168" s="228">
        <v>0.69</v>
      </c>
      <c r="DQ168" s="228">
        <v>0.78</v>
      </c>
      <c r="DR168" s="228">
        <v>-0.09</v>
      </c>
      <c r="DS168" s="229">
        <v>-0.1154</v>
      </c>
      <c r="DT168" s="228">
        <v>800</v>
      </c>
      <c r="DU168" s="228">
        <v>700</v>
      </c>
      <c r="DV168" s="228">
        <v>0.56999999999999995</v>
      </c>
      <c r="DW168" s="228">
        <v>1.39</v>
      </c>
      <c r="DX168" s="228">
        <v>-0.82</v>
      </c>
      <c r="DY168" s="229">
        <v>-0.58989999999999998</v>
      </c>
      <c r="DZ168" s="229">
        <v>0.1351</v>
      </c>
      <c r="EA168" s="230">
        <v>457125</v>
      </c>
      <c r="EB168" s="229">
        <v>-2.3E-3</v>
      </c>
      <c r="EC168" s="229">
        <v>0.1351</v>
      </c>
      <c r="ED168" s="228">
        <v>-0.39</v>
      </c>
      <c r="EE168" s="229">
        <v>-5.0000000000000001E-4</v>
      </c>
      <c r="EF168" s="230">
        <v>731401</v>
      </c>
      <c r="EG168" s="230">
        <v>1780652</v>
      </c>
      <c r="EH168" s="229">
        <v>-0.58930000000000005</v>
      </c>
      <c r="EI168" s="229">
        <v>0.30259999999999998</v>
      </c>
      <c r="EJ168" s="231">
        <v>29931.94</v>
      </c>
      <c r="EK168" s="231">
        <v>15306.3</v>
      </c>
      <c r="EL168" s="231">
        <v>12318.04</v>
      </c>
      <c r="EM168" s="231">
        <v>3307</v>
      </c>
      <c r="EN168" s="231">
        <v>57556.28</v>
      </c>
      <c r="EO168" s="231">
        <v>118313.74</v>
      </c>
      <c r="EP168" s="231">
        <v>-60757.46</v>
      </c>
      <c r="EQ168" s="229">
        <v>-0.51349999999999996</v>
      </c>
      <c r="ER168" s="231">
        <v>30346</v>
      </c>
      <c r="ES168" s="231">
        <v>18425</v>
      </c>
      <c r="ET168" s="231">
        <v>28812</v>
      </c>
      <c r="EU168" s="231">
        <v>23923093</v>
      </c>
      <c r="EV168" s="231">
        <v>77583</v>
      </c>
      <c r="EW168" s="231">
        <v>65764</v>
      </c>
      <c r="EX168" s="231">
        <v>11819</v>
      </c>
      <c r="EY168" s="229">
        <v>0.1797</v>
      </c>
      <c r="EZ168" s="229">
        <v>0.41689999999999999</v>
      </c>
      <c r="FA168" s="227" t="s">
        <v>567</v>
      </c>
      <c r="FB168" s="161">
        <f t="shared" si="4"/>
        <v>0</v>
      </c>
    </row>
    <row r="169" spans="1:158" ht="17.25" thickBot="1" x14ac:dyDescent="0.3">
      <c r="A169" s="226">
        <v>46029</v>
      </c>
      <c r="B169" s="227" t="s">
        <v>206</v>
      </c>
      <c r="C169" s="227" t="s">
        <v>605</v>
      </c>
      <c r="D169" s="228">
        <v>450</v>
      </c>
      <c r="E169" s="231">
        <v>1623.8</v>
      </c>
      <c r="F169" s="231">
        <v>1662.2</v>
      </c>
      <c r="G169" s="228">
        <v>-38.4</v>
      </c>
      <c r="H169" s="229">
        <v>-2.3099999999999999E-2</v>
      </c>
      <c r="I169" s="231">
        <v>1619.5</v>
      </c>
      <c r="J169" s="231">
        <v>1653.2</v>
      </c>
      <c r="K169" s="228">
        <v>-33.700000000000003</v>
      </c>
      <c r="L169" s="229">
        <v>-2.0400000000000001E-2</v>
      </c>
      <c r="M169" s="231">
        <v>1623.8</v>
      </c>
      <c r="N169" s="231">
        <v>1662.2</v>
      </c>
      <c r="O169" s="228">
        <v>-38.4</v>
      </c>
      <c r="P169" s="229">
        <v>-2.3099999999999999E-2</v>
      </c>
      <c r="Q169" s="231">
        <v>1631.7</v>
      </c>
      <c r="R169" s="231">
        <v>1671.6</v>
      </c>
      <c r="S169" s="228">
        <v>-39.9</v>
      </c>
      <c r="T169" s="229">
        <v>-2.3900000000000001E-2</v>
      </c>
      <c r="U169" s="231">
        <v>1660.9</v>
      </c>
      <c r="V169" s="231">
        <v>1698.2</v>
      </c>
      <c r="W169" s="228">
        <v>-37.299999999999997</v>
      </c>
      <c r="X169" s="229">
        <v>-2.1999999999999999E-2</v>
      </c>
      <c r="Y169" s="228">
        <v>4.3</v>
      </c>
      <c r="Z169" s="228">
        <v>9</v>
      </c>
      <c r="AA169" s="228">
        <v>-4.7</v>
      </c>
      <c r="AB169" s="229">
        <v>2.7000000000000001E-3</v>
      </c>
      <c r="AC169" s="228">
        <v>4.3</v>
      </c>
      <c r="AD169" s="228">
        <v>9</v>
      </c>
      <c r="AE169" s="228">
        <v>-4.7</v>
      </c>
      <c r="AF169" s="229">
        <v>2.7000000000000001E-3</v>
      </c>
      <c r="AG169" s="228">
        <v>12.2</v>
      </c>
      <c r="AH169" s="228">
        <v>18.399999999999999</v>
      </c>
      <c r="AI169" s="228">
        <v>-6.2</v>
      </c>
      <c r="AJ169" s="229">
        <v>7.4999999999999997E-3</v>
      </c>
      <c r="AK169" s="228">
        <v>41.4</v>
      </c>
      <c r="AL169" s="228">
        <v>45</v>
      </c>
      <c r="AM169" s="228">
        <v>-3.6</v>
      </c>
      <c r="AN169" s="229">
        <v>2.5600000000000001E-2</v>
      </c>
      <c r="AO169" s="231">
        <v>1630.91</v>
      </c>
      <c r="AP169" s="231">
        <v>1641.97</v>
      </c>
      <c r="AQ169" s="228">
        <v>0</v>
      </c>
      <c r="AR169" s="230">
        <v>1008900</v>
      </c>
      <c r="AS169" s="230">
        <v>528750</v>
      </c>
      <c r="AT169" s="230">
        <v>480150</v>
      </c>
      <c r="AU169" s="229">
        <v>0.90810000000000002</v>
      </c>
      <c r="AV169" s="230">
        <v>984600</v>
      </c>
      <c r="AW169" s="230">
        <v>514350</v>
      </c>
      <c r="AX169" s="230">
        <v>470250</v>
      </c>
      <c r="AY169" s="229">
        <v>0.9143</v>
      </c>
      <c r="AZ169" s="230">
        <v>23850</v>
      </c>
      <c r="BA169" s="230">
        <v>13950</v>
      </c>
      <c r="BB169" s="230">
        <v>9900</v>
      </c>
      <c r="BC169" s="229">
        <v>0.7097</v>
      </c>
      <c r="BD169" s="228">
        <v>450</v>
      </c>
      <c r="BE169" s="228">
        <v>450</v>
      </c>
      <c r="BF169" s="228">
        <v>0</v>
      </c>
      <c r="BG169" s="229">
        <v>0</v>
      </c>
      <c r="BH169" s="230">
        <v>2244150</v>
      </c>
      <c r="BI169" s="230">
        <v>1709100</v>
      </c>
      <c r="BJ169" s="230">
        <v>535050</v>
      </c>
      <c r="BK169" s="229">
        <v>0.31309999999999999</v>
      </c>
      <c r="BL169" s="230">
        <v>1090800</v>
      </c>
      <c r="BM169" s="230">
        <v>572850</v>
      </c>
      <c r="BN169" s="230">
        <v>517950</v>
      </c>
      <c r="BO169" s="229">
        <v>0.9042</v>
      </c>
      <c r="BP169" s="230">
        <v>4343850</v>
      </c>
      <c r="BQ169" s="230">
        <v>2810700</v>
      </c>
      <c r="BR169" s="230">
        <v>1533150</v>
      </c>
      <c r="BS169" s="229">
        <v>0.54549999999999998</v>
      </c>
      <c r="BT169" s="230">
        <v>529600</v>
      </c>
      <c r="BU169" s="230">
        <v>462361</v>
      </c>
      <c r="BV169" s="230">
        <v>67239</v>
      </c>
      <c r="BW169" s="229">
        <v>0.1454</v>
      </c>
      <c r="BX169" s="230">
        <v>4163400</v>
      </c>
      <c r="BY169" s="230">
        <v>4003650</v>
      </c>
      <c r="BZ169" s="230">
        <v>159750</v>
      </c>
      <c r="CA169" s="229">
        <v>3.9899999999999998E-2</v>
      </c>
      <c r="CB169" s="230">
        <v>4126950</v>
      </c>
      <c r="CC169" s="230">
        <v>3971700</v>
      </c>
      <c r="CD169" s="230">
        <v>155250</v>
      </c>
      <c r="CE169" s="229">
        <v>3.9100000000000003E-2</v>
      </c>
      <c r="CF169" s="230">
        <v>35100</v>
      </c>
      <c r="CG169" s="230">
        <v>31050</v>
      </c>
      <c r="CH169" s="230">
        <v>4050</v>
      </c>
      <c r="CI169" s="229">
        <v>0.13039999999999999</v>
      </c>
      <c r="CJ169" s="230">
        <v>1350</v>
      </c>
      <c r="CK169" s="228">
        <v>900</v>
      </c>
      <c r="CL169" s="228">
        <v>450</v>
      </c>
      <c r="CM169" s="229">
        <v>0.5</v>
      </c>
      <c r="CN169" s="230">
        <v>1386900</v>
      </c>
      <c r="CO169" s="230">
        <v>962550</v>
      </c>
      <c r="CP169" s="230">
        <v>424350</v>
      </c>
      <c r="CQ169" s="229">
        <v>0.44090000000000001</v>
      </c>
      <c r="CR169" s="230">
        <v>868950</v>
      </c>
      <c r="CS169" s="230">
        <v>807300</v>
      </c>
      <c r="CT169" s="230">
        <v>61650</v>
      </c>
      <c r="CU169" s="229">
        <v>7.6399999999999996E-2</v>
      </c>
      <c r="CV169" s="230">
        <v>6419250</v>
      </c>
      <c r="CW169" s="230">
        <v>5773500</v>
      </c>
      <c r="CX169" s="230">
        <v>645750</v>
      </c>
      <c r="CY169" s="229">
        <v>0.1118</v>
      </c>
      <c r="CZ169" s="228">
        <v>30.66</v>
      </c>
      <c r="DA169" s="228">
        <v>29.65</v>
      </c>
      <c r="DB169" s="228">
        <v>1.01</v>
      </c>
      <c r="DC169" s="228">
        <v>1.01</v>
      </c>
      <c r="DD169" s="228">
        <v>43.77</v>
      </c>
      <c r="DE169" s="228">
        <v>43.77</v>
      </c>
      <c r="DF169" s="228">
        <v>-13.11</v>
      </c>
      <c r="DG169" s="228">
        <v>0</v>
      </c>
      <c r="DH169" s="228">
        <v>30.83</v>
      </c>
      <c r="DI169" s="228">
        <v>29.78</v>
      </c>
      <c r="DJ169" s="228">
        <v>1.05</v>
      </c>
      <c r="DK169" s="228">
        <v>1.05</v>
      </c>
      <c r="DL169" s="228">
        <v>30.3</v>
      </c>
      <c r="DM169" s="228">
        <v>29.26</v>
      </c>
      <c r="DN169" s="228">
        <v>1.04</v>
      </c>
      <c r="DO169" s="228">
        <v>1.04</v>
      </c>
      <c r="DP169" s="228">
        <v>0.63</v>
      </c>
      <c r="DQ169" s="228">
        <v>0.84</v>
      </c>
      <c r="DR169" s="228">
        <v>-0.21</v>
      </c>
      <c r="DS169" s="229">
        <v>-0.25</v>
      </c>
      <c r="DT169" s="231">
        <v>1640</v>
      </c>
      <c r="DU169" s="231">
        <v>1600</v>
      </c>
      <c r="DV169" s="228">
        <v>0.49</v>
      </c>
      <c r="DW169" s="228">
        <v>0.34</v>
      </c>
      <c r="DX169" s="228">
        <v>0.15</v>
      </c>
      <c r="DY169" s="229">
        <v>0.44119999999999998</v>
      </c>
      <c r="DZ169" s="229">
        <v>8.8000000000000005E-3</v>
      </c>
      <c r="EA169" s="230">
        <v>31950</v>
      </c>
      <c r="EB169" s="229">
        <v>4.8999999999999998E-3</v>
      </c>
      <c r="EC169" s="229">
        <v>8.8000000000000005E-3</v>
      </c>
      <c r="ED169" s="228">
        <v>11.06</v>
      </c>
      <c r="EE169" s="229">
        <v>6.7999999999999996E-3</v>
      </c>
      <c r="EF169" s="230">
        <v>219159</v>
      </c>
      <c r="EG169" s="230">
        <v>203804</v>
      </c>
      <c r="EH169" s="229">
        <v>7.5300000000000006E-2</v>
      </c>
      <c r="EI169" s="229">
        <v>0.4138</v>
      </c>
      <c r="EJ169" s="231">
        <v>38557.269999999997</v>
      </c>
      <c r="EK169" s="231">
        <v>17310.86</v>
      </c>
      <c r="EL169" s="231">
        <v>16456.990000000002</v>
      </c>
      <c r="EM169" s="231">
        <v>1308</v>
      </c>
      <c r="EN169" s="231">
        <v>72325.119999999995</v>
      </c>
      <c r="EO169" s="231">
        <v>47846.63</v>
      </c>
      <c r="EP169" s="231">
        <v>24478.49</v>
      </c>
      <c r="EQ169" s="229">
        <v>0.51160000000000005</v>
      </c>
      <c r="ER169" s="231">
        <v>23754</v>
      </c>
      <c r="ES169" s="231">
        <v>13547</v>
      </c>
      <c r="ET169" s="231">
        <v>67609</v>
      </c>
      <c r="EU169" s="231">
        <v>22697169</v>
      </c>
      <c r="EV169" s="231">
        <v>104910</v>
      </c>
      <c r="EW169" s="231">
        <v>95681</v>
      </c>
      <c r="EX169" s="231">
        <v>9229</v>
      </c>
      <c r="EY169" s="229">
        <v>9.6500000000000002E-2</v>
      </c>
      <c r="EZ169" s="229">
        <v>0.2828</v>
      </c>
      <c r="FA169" s="227" t="s">
        <v>567</v>
      </c>
      <c r="FB169" s="161">
        <f t="shared" si="4"/>
        <v>0</v>
      </c>
    </row>
    <row r="170" spans="1:158" ht="17.25" thickBot="1" x14ac:dyDescent="0.3">
      <c r="A170" s="226">
        <v>46029</v>
      </c>
      <c r="B170" s="227" t="s">
        <v>172</v>
      </c>
      <c r="C170" s="227" t="s">
        <v>279</v>
      </c>
      <c r="D170" s="228">
        <v>3175</v>
      </c>
      <c r="E170" s="228">
        <v>319.3</v>
      </c>
      <c r="F170" s="228">
        <v>320.89999999999998</v>
      </c>
      <c r="G170" s="228">
        <v>-1.6</v>
      </c>
      <c r="H170" s="229">
        <v>-5.0000000000000001E-3</v>
      </c>
      <c r="I170" s="228">
        <v>318.64999999999998</v>
      </c>
      <c r="J170" s="228">
        <v>320.25</v>
      </c>
      <c r="K170" s="228">
        <v>-1.6</v>
      </c>
      <c r="L170" s="229">
        <v>-5.0000000000000001E-3</v>
      </c>
      <c r="M170" s="228">
        <v>319.3</v>
      </c>
      <c r="N170" s="228">
        <v>320.89999999999998</v>
      </c>
      <c r="O170" s="228">
        <v>-1.6</v>
      </c>
      <c r="P170" s="229">
        <v>-5.0000000000000001E-3</v>
      </c>
      <c r="Q170" s="228">
        <v>321.05</v>
      </c>
      <c r="R170" s="228">
        <v>322.64999999999998</v>
      </c>
      <c r="S170" s="228">
        <v>-1.6</v>
      </c>
      <c r="T170" s="229">
        <v>-5.0000000000000001E-3</v>
      </c>
      <c r="U170" s="228">
        <v>318.2</v>
      </c>
      <c r="V170" s="228">
        <v>322.3</v>
      </c>
      <c r="W170" s="228">
        <v>-4.0999999999999996</v>
      </c>
      <c r="X170" s="229">
        <v>-1.2699999999999999E-2</v>
      </c>
      <c r="Y170" s="228">
        <v>0.65</v>
      </c>
      <c r="Z170" s="228">
        <v>0.65</v>
      </c>
      <c r="AA170" s="228">
        <v>0</v>
      </c>
      <c r="AB170" s="229">
        <v>2E-3</v>
      </c>
      <c r="AC170" s="228">
        <v>0.65</v>
      </c>
      <c r="AD170" s="228">
        <v>0.65</v>
      </c>
      <c r="AE170" s="228">
        <v>0</v>
      </c>
      <c r="AF170" s="229">
        <v>2E-3</v>
      </c>
      <c r="AG170" s="228">
        <v>2.4</v>
      </c>
      <c r="AH170" s="228">
        <v>2.4</v>
      </c>
      <c r="AI170" s="228">
        <v>0</v>
      </c>
      <c r="AJ170" s="229">
        <v>7.4999999999999997E-3</v>
      </c>
      <c r="AK170" s="228">
        <v>-0.45</v>
      </c>
      <c r="AL170" s="228">
        <v>2.0499999999999998</v>
      </c>
      <c r="AM170" s="228">
        <v>-2.5</v>
      </c>
      <c r="AN170" s="229">
        <v>-1.4E-3</v>
      </c>
      <c r="AO170" s="228">
        <v>318.68</v>
      </c>
      <c r="AP170" s="228">
        <v>319.36</v>
      </c>
      <c r="AQ170" s="228">
        <v>0</v>
      </c>
      <c r="AR170" s="230">
        <v>12484100</v>
      </c>
      <c r="AS170" s="230">
        <v>15011400</v>
      </c>
      <c r="AT170" s="230">
        <v>-2527300</v>
      </c>
      <c r="AU170" s="229">
        <v>-0.16839999999999999</v>
      </c>
      <c r="AV170" s="230">
        <v>12322175</v>
      </c>
      <c r="AW170" s="230">
        <v>14693900</v>
      </c>
      <c r="AX170" s="230">
        <v>-2371725</v>
      </c>
      <c r="AY170" s="229">
        <v>-0.16139999999999999</v>
      </c>
      <c r="AZ170" s="230">
        <v>158750</v>
      </c>
      <c r="BA170" s="230">
        <v>292100</v>
      </c>
      <c r="BB170" s="230">
        <v>-133350</v>
      </c>
      <c r="BC170" s="229">
        <v>-0.45650000000000002</v>
      </c>
      <c r="BD170" s="230">
        <v>3175</v>
      </c>
      <c r="BE170" s="230">
        <v>25400</v>
      </c>
      <c r="BF170" s="230">
        <v>-22225</v>
      </c>
      <c r="BG170" s="229">
        <v>-0.875</v>
      </c>
      <c r="BH170" s="230">
        <v>15043150</v>
      </c>
      <c r="BI170" s="230">
        <v>20789900</v>
      </c>
      <c r="BJ170" s="230">
        <v>-5746750</v>
      </c>
      <c r="BK170" s="229">
        <v>-0.27639999999999998</v>
      </c>
      <c r="BL170" s="230">
        <v>8921750</v>
      </c>
      <c r="BM170" s="230">
        <v>7124700</v>
      </c>
      <c r="BN170" s="230">
        <v>1797050</v>
      </c>
      <c r="BO170" s="229">
        <v>0.25219999999999998</v>
      </c>
      <c r="BP170" s="230">
        <v>36449000</v>
      </c>
      <c r="BQ170" s="230">
        <v>42926000</v>
      </c>
      <c r="BR170" s="230">
        <v>-6477000</v>
      </c>
      <c r="BS170" s="229">
        <v>-0.15090000000000001</v>
      </c>
      <c r="BT170" s="230">
        <v>10225900</v>
      </c>
      <c r="BU170" s="230">
        <v>11796399</v>
      </c>
      <c r="BV170" s="230">
        <v>-1570499</v>
      </c>
      <c r="BW170" s="229">
        <v>-0.1331</v>
      </c>
      <c r="BX170" s="230">
        <v>70186550</v>
      </c>
      <c r="BY170" s="230">
        <v>71424800</v>
      </c>
      <c r="BZ170" s="230">
        <v>-1238250</v>
      </c>
      <c r="CA170" s="229">
        <v>-1.7299999999999999E-2</v>
      </c>
      <c r="CB170" s="230">
        <v>69526150</v>
      </c>
      <c r="CC170" s="230">
        <v>70783450</v>
      </c>
      <c r="CD170" s="230">
        <v>-1257300</v>
      </c>
      <c r="CE170" s="229">
        <v>-1.78E-2</v>
      </c>
      <c r="CF170" s="230">
        <v>590550</v>
      </c>
      <c r="CG170" s="230">
        <v>568325</v>
      </c>
      <c r="CH170" s="230">
        <v>22225</v>
      </c>
      <c r="CI170" s="229">
        <v>3.9100000000000003E-2</v>
      </c>
      <c r="CJ170" s="230">
        <v>69850</v>
      </c>
      <c r="CK170" s="230">
        <v>73025</v>
      </c>
      <c r="CL170" s="230">
        <v>-3175</v>
      </c>
      <c r="CM170" s="229">
        <v>-4.3499999999999997E-2</v>
      </c>
      <c r="CN170" s="230">
        <v>17703800</v>
      </c>
      <c r="CO170" s="230">
        <v>18148300</v>
      </c>
      <c r="CP170" s="230">
        <v>-444500</v>
      </c>
      <c r="CQ170" s="229">
        <v>-2.4500000000000001E-2</v>
      </c>
      <c r="CR170" s="230">
        <v>11617325</v>
      </c>
      <c r="CS170" s="230">
        <v>11214100</v>
      </c>
      <c r="CT170" s="230">
        <v>403225</v>
      </c>
      <c r="CU170" s="229">
        <v>3.5999999999999997E-2</v>
      </c>
      <c r="CV170" s="230">
        <v>99507675</v>
      </c>
      <c r="CW170" s="230">
        <v>100787200</v>
      </c>
      <c r="CX170" s="230">
        <v>-1279525</v>
      </c>
      <c r="CY170" s="229">
        <v>-1.2699999999999999E-2</v>
      </c>
      <c r="CZ170" s="228">
        <v>30.42</v>
      </c>
      <c r="DA170" s="228">
        <v>29.18</v>
      </c>
      <c r="DB170" s="228">
        <v>1.24</v>
      </c>
      <c r="DC170" s="228">
        <v>1.24</v>
      </c>
      <c r="DD170" s="228">
        <v>43.55</v>
      </c>
      <c r="DE170" s="228">
        <v>43.66</v>
      </c>
      <c r="DF170" s="228">
        <v>-13.13</v>
      </c>
      <c r="DG170" s="228">
        <v>-0.11</v>
      </c>
      <c r="DH170" s="228">
        <v>30.12</v>
      </c>
      <c r="DI170" s="228">
        <v>28.73</v>
      </c>
      <c r="DJ170" s="228">
        <v>1.39</v>
      </c>
      <c r="DK170" s="228">
        <v>1.39</v>
      </c>
      <c r="DL170" s="228">
        <v>30.93</v>
      </c>
      <c r="DM170" s="228">
        <v>30.5</v>
      </c>
      <c r="DN170" s="228">
        <v>0.43</v>
      </c>
      <c r="DO170" s="228">
        <v>0.43</v>
      </c>
      <c r="DP170" s="228">
        <v>0.66</v>
      </c>
      <c r="DQ170" s="228">
        <v>0.62</v>
      </c>
      <c r="DR170" s="228">
        <v>0.04</v>
      </c>
      <c r="DS170" s="229">
        <v>6.4500000000000002E-2</v>
      </c>
      <c r="DT170" s="228">
        <v>320</v>
      </c>
      <c r="DU170" s="228">
        <v>300</v>
      </c>
      <c r="DV170" s="228">
        <v>0.59</v>
      </c>
      <c r="DW170" s="228">
        <v>0.34</v>
      </c>
      <c r="DX170" s="228">
        <v>0.25</v>
      </c>
      <c r="DY170" s="229">
        <v>0.73529999999999995</v>
      </c>
      <c r="DZ170" s="229">
        <v>9.4000000000000004E-3</v>
      </c>
      <c r="EA170" s="230">
        <v>641350</v>
      </c>
      <c r="EB170" s="229">
        <v>5.4999999999999997E-3</v>
      </c>
      <c r="EC170" s="229">
        <v>9.4000000000000004E-3</v>
      </c>
      <c r="ED170" s="228">
        <v>0.68</v>
      </c>
      <c r="EE170" s="229">
        <v>2.0999999999999999E-3</v>
      </c>
      <c r="EF170" s="230">
        <v>5989535</v>
      </c>
      <c r="EG170" s="230">
        <v>7590458</v>
      </c>
      <c r="EH170" s="229">
        <v>-0.2109</v>
      </c>
      <c r="EI170" s="229">
        <v>0.5857</v>
      </c>
      <c r="EJ170" s="231">
        <v>50181.4</v>
      </c>
      <c r="EK170" s="231">
        <v>27935.42</v>
      </c>
      <c r="EL170" s="231">
        <v>39785.089999999997</v>
      </c>
      <c r="EM170" s="231">
        <v>4864</v>
      </c>
      <c r="EN170" s="231">
        <v>117901.91</v>
      </c>
      <c r="EO170" s="231">
        <v>140033.92000000001</v>
      </c>
      <c r="EP170" s="231">
        <v>-22132.01</v>
      </c>
      <c r="EQ170" s="229">
        <v>-0.158</v>
      </c>
      <c r="ER170" s="231">
        <v>57501</v>
      </c>
      <c r="ES170" s="231">
        <v>35298</v>
      </c>
      <c r="ET170" s="231">
        <v>224115</v>
      </c>
      <c r="EU170" s="231">
        <v>91953095</v>
      </c>
      <c r="EV170" s="231">
        <v>316914</v>
      </c>
      <c r="EW170" s="231">
        <v>322134</v>
      </c>
      <c r="EX170" s="231">
        <v>-5220</v>
      </c>
      <c r="EY170" s="229">
        <v>-1.6199999999999999E-2</v>
      </c>
      <c r="EZ170" s="229">
        <v>1.0822000000000001</v>
      </c>
      <c r="FA170" s="227" t="s">
        <v>568</v>
      </c>
      <c r="FB170" s="161">
        <f t="shared" si="4"/>
        <v>0</v>
      </c>
    </row>
    <row r="171" spans="1:158" ht="17.25" thickBot="1" x14ac:dyDescent="0.3">
      <c r="A171" s="226">
        <v>46029</v>
      </c>
      <c r="B171" s="227" t="s">
        <v>175</v>
      </c>
      <c r="C171" s="227" t="s">
        <v>280</v>
      </c>
      <c r="D171" s="228">
        <v>1400</v>
      </c>
      <c r="E171" s="228">
        <v>385.45</v>
      </c>
      <c r="F171" s="228">
        <v>383.2</v>
      </c>
      <c r="G171" s="228">
        <v>2.25</v>
      </c>
      <c r="H171" s="229">
        <v>5.8999999999999999E-3</v>
      </c>
      <c r="I171" s="228">
        <v>385.25</v>
      </c>
      <c r="J171" s="228">
        <v>382.85</v>
      </c>
      <c r="K171" s="228">
        <v>2.4</v>
      </c>
      <c r="L171" s="229">
        <v>6.3E-3</v>
      </c>
      <c r="M171" s="228">
        <v>385.45</v>
      </c>
      <c r="N171" s="228">
        <v>383.2</v>
      </c>
      <c r="O171" s="228">
        <v>2.25</v>
      </c>
      <c r="P171" s="229">
        <v>5.8999999999999999E-3</v>
      </c>
      <c r="Q171" s="228">
        <v>385.95</v>
      </c>
      <c r="R171" s="228">
        <v>383.45</v>
      </c>
      <c r="S171" s="228">
        <v>2.5</v>
      </c>
      <c r="T171" s="229">
        <v>6.4999999999999997E-3</v>
      </c>
      <c r="U171" s="228">
        <v>386.25</v>
      </c>
      <c r="V171" s="228">
        <v>384.3</v>
      </c>
      <c r="W171" s="228">
        <v>1.95</v>
      </c>
      <c r="X171" s="229">
        <v>5.1000000000000004E-3</v>
      </c>
      <c r="Y171" s="228">
        <v>0.2</v>
      </c>
      <c r="Z171" s="228">
        <v>0.35</v>
      </c>
      <c r="AA171" s="228">
        <v>-0.15</v>
      </c>
      <c r="AB171" s="229">
        <v>5.0000000000000001E-4</v>
      </c>
      <c r="AC171" s="228">
        <v>0.2</v>
      </c>
      <c r="AD171" s="228">
        <v>0.35</v>
      </c>
      <c r="AE171" s="228">
        <v>-0.15</v>
      </c>
      <c r="AF171" s="229">
        <v>5.0000000000000001E-4</v>
      </c>
      <c r="AG171" s="228">
        <v>0.7</v>
      </c>
      <c r="AH171" s="228">
        <v>0.6</v>
      </c>
      <c r="AI171" s="228">
        <v>0.1</v>
      </c>
      <c r="AJ171" s="229">
        <v>1.8E-3</v>
      </c>
      <c r="AK171" s="228">
        <v>1</v>
      </c>
      <c r="AL171" s="228">
        <v>1.45</v>
      </c>
      <c r="AM171" s="228">
        <v>-0.45</v>
      </c>
      <c r="AN171" s="229">
        <v>2.5999999999999999E-3</v>
      </c>
      <c r="AO171" s="228">
        <v>384.61</v>
      </c>
      <c r="AP171" s="228">
        <v>384.97</v>
      </c>
      <c r="AQ171" s="228">
        <v>0</v>
      </c>
      <c r="AR171" s="230">
        <v>15369200</v>
      </c>
      <c r="AS171" s="230">
        <v>17063200</v>
      </c>
      <c r="AT171" s="230">
        <v>-1694000</v>
      </c>
      <c r="AU171" s="229">
        <v>-9.9299999999999999E-2</v>
      </c>
      <c r="AV171" s="230">
        <v>12663000</v>
      </c>
      <c r="AW171" s="230">
        <v>15211000</v>
      </c>
      <c r="AX171" s="230">
        <v>-2548000</v>
      </c>
      <c r="AY171" s="229">
        <v>-0.16750000000000001</v>
      </c>
      <c r="AZ171" s="230">
        <v>2473800</v>
      </c>
      <c r="BA171" s="230">
        <v>1474200</v>
      </c>
      <c r="BB171" s="230">
        <v>999600</v>
      </c>
      <c r="BC171" s="229">
        <v>0.67810000000000004</v>
      </c>
      <c r="BD171" s="230">
        <v>232400</v>
      </c>
      <c r="BE171" s="230">
        <v>378000</v>
      </c>
      <c r="BF171" s="230">
        <v>-145600</v>
      </c>
      <c r="BG171" s="229">
        <v>-0.38519999999999999</v>
      </c>
      <c r="BH171" s="230">
        <v>42599200</v>
      </c>
      <c r="BI171" s="230">
        <v>63541800</v>
      </c>
      <c r="BJ171" s="230">
        <v>-20942600</v>
      </c>
      <c r="BK171" s="229">
        <v>-0.3296</v>
      </c>
      <c r="BL171" s="230">
        <v>20777400</v>
      </c>
      <c r="BM171" s="230">
        <v>22351000</v>
      </c>
      <c r="BN171" s="230">
        <v>-1573600</v>
      </c>
      <c r="BO171" s="229">
        <v>-7.0400000000000004E-2</v>
      </c>
      <c r="BP171" s="230">
        <v>78745800</v>
      </c>
      <c r="BQ171" s="230">
        <v>102956000</v>
      </c>
      <c r="BR171" s="230">
        <v>-24210200</v>
      </c>
      <c r="BS171" s="229">
        <v>-0.23519999999999999</v>
      </c>
      <c r="BT171" s="230">
        <v>9868963</v>
      </c>
      <c r="BU171" s="230">
        <v>10752363</v>
      </c>
      <c r="BV171" s="230">
        <v>-883400</v>
      </c>
      <c r="BW171" s="229">
        <v>-8.2199999999999995E-2</v>
      </c>
      <c r="BX171" s="230">
        <v>86368800</v>
      </c>
      <c r="BY171" s="230">
        <v>85199800</v>
      </c>
      <c r="BZ171" s="230">
        <v>1169000</v>
      </c>
      <c r="CA171" s="229">
        <v>1.37E-2</v>
      </c>
      <c r="CB171" s="230">
        <v>77221200</v>
      </c>
      <c r="CC171" s="230">
        <v>77518000</v>
      </c>
      <c r="CD171" s="230">
        <v>-296800</v>
      </c>
      <c r="CE171" s="229">
        <v>-3.8E-3</v>
      </c>
      <c r="CF171" s="230">
        <v>8209600</v>
      </c>
      <c r="CG171" s="230">
        <v>6795600</v>
      </c>
      <c r="CH171" s="230">
        <v>1414000</v>
      </c>
      <c r="CI171" s="229">
        <v>0.20810000000000001</v>
      </c>
      <c r="CJ171" s="230">
        <v>938000</v>
      </c>
      <c r="CK171" s="230">
        <v>886200</v>
      </c>
      <c r="CL171" s="230">
        <v>51800</v>
      </c>
      <c r="CM171" s="229">
        <v>5.8500000000000003E-2</v>
      </c>
      <c r="CN171" s="230">
        <v>38379600</v>
      </c>
      <c r="CO171" s="230">
        <v>37814000</v>
      </c>
      <c r="CP171" s="230">
        <v>565600</v>
      </c>
      <c r="CQ171" s="229">
        <v>1.4999999999999999E-2</v>
      </c>
      <c r="CR171" s="230">
        <v>30676800</v>
      </c>
      <c r="CS171" s="230">
        <v>28320600</v>
      </c>
      <c r="CT171" s="230">
        <v>2356200</v>
      </c>
      <c r="CU171" s="229">
        <v>8.3199999999999996E-2</v>
      </c>
      <c r="CV171" s="230">
        <v>155425200</v>
      </c>
      <c r="CW171" s="230">
        <v>151334400</v>
      </c>
      <c r="CX171" s="230">
        <v>4090800</v>
      </c>
      <c r="CY171" s="229">
        <v>2.7E-2</v>
      </c>
      <c r="CZ171" s="228">
        <v>27.05</v>
      </c>
      <c r="DA171" s="228">
        <v>27.52</v>
      </c>
      <c r="DB171" s="228">
        <v>-0.47</v>
      </c>
      <c r="DC171" s="228">
        <v>-0.47</v>
      </c>
      <c r="DD171" s="228">
        <v>41.44</v>
      </c>
      <c r="DE171" s="228">
        <v>41.54</v>
      </c>
      <c r="DF171" s="228">
        <v>-14.39</v>
      </c>
      <c r="DG171" s="228">
        <v>-0.1</v>
      </c>
      <c r="DH171" s="228">
        <v>26.98</v>
      </c>
      <c r="DI171" s="228">
        <v>27.54</v>
      </c>
      <c r="DJ171" s="228">
        <v>-0.56000000000000005</v>
      </c>
      <c r="DK171" s="228">
        <v>-0.56000000000000005</v>
      </c>
      <c r="DL171" s="228">
        <v>27.2</v>
      </c>
      <c r="DM171" s="228">
        <v>27.46</v>
      </c>
      <c r="DN171" s="228">
        <v>-0.26</v>
      </c>
      <c r="DO171" s="228">
        <v>-0.26</v>
      </c>
      <c r="DP171" s="228">
        <v>0.8</v>
      </c>
      <c r="DQ171" s="228">
        <v>0.75</v>
      </c>
      <c r="DR171" s="228">
        <v>0.05</v>
      </c>
      <c r="DS171" s="229">
        <v>6.6699999999999995E-2</v>
      </c>
      <c r="DT171" s="228">
        <v>400</v>
      </c>
      <c r="DU171" s="228">
        <v>360</v>
      </c>
      <c r="DV171" s="228">
        <v>0.49</v>
      </c>
      <c r="DW171" s="228">
        <v>0.35</v>
      </c>
      <c r="DX171" s="228">
        <v>0.14000000000000001</v>
      </c>
      <c r="DY171" s="229">
        <v>0.4</v>
      </c>
      <c r="DZ171" s="229">
        <v>0.10589999999999999</v>
      </c>
      <c r="EA171" s="230">
        <v>7681800</v>
      </c>
      <c r="EB171" s="229">
        <v>1.2999999999999999E-3</v>
      </c>
      <c r="EC171" s="229">
        <v>0.10589999999999999</v>
      </c>
      <c r="ED171" s="228">
        <v>0.36</v>
      </c>
      <c r="EE171" s="229">
        <v>8.9999999999999998E-4</v>
      </c>
      <c r="EF171" s="230">
        <v>5501182</v>
      </c>
      <c r="EG171" s="230">
        <v>5030679</v>
      </c>
      <c r="EH171" s="229">
        <v>9.35E-2</v>
      </c>
      <c r="EI171" s="229">
        <v>0.55740000000000001</v>
      </c>
      <c r="EJ171" s="231">
        <v>170432.13</v>
      </c>
      <c r="EK171" s="231">
        <v>78849.36</v>
      </c>
      <c r="EL171" s="231">
        <v>59122.57</v>
      </c>
      <c r="EM171" s="231">
        <v>15653</v>
      </c>
      <c r="EN171" s="231">
        <v>308404.06</v>
      </c>
      <c r="EO171" s="231">
        <v>405054.69</v>
      </c>
      <c r="EP171" s="231">
        <v>-96650.63</v>
      </c>
      <c r="EQ171" s="229">
        <v>-0.23860000000000001</v>
      </c>
      <c r="ER171" s="231">
        <v>148042</v>
      </c>
      <c r="ES171" s="231">
        <v>111877</v>
      </c>
      <c r="ET171" s="231">
        <v>332957</v>
      </c>
      <c r="EU171" s="231">
        <v>187084550</v>
      </c>
      <c r="EV171" s="231">
        <v>592876</v>
      </c>
      <c r="EW171" s="231">
        <v>575174</v>
      </c>
      <c r="EX171" s="231">
        <v>17702</v>
      </c>
      <c r="EY171" s="229">
        <v>3.0800000000000001E-2</v>
      </c>
      <c r="EZ171" s="229">
        <v>0.83079999999999998</v>
      </c>
      <c r="FA171" s="227" t="s">
        <v>555</v>
      </c>
      <c r="FB171" s="161">
        <f t="shared" si="4"/>
        <v>0</v>
      </c>
    </row>
    <row r="172" spans="1:158" ht="17.25" thickBot="1" x14ac:dyDescent="0.3">
      <c r="A172" s="226">
        <v>46029</v>
      </c>
      <c r="B172" s="227" t="s">
        <v>193</v>
      </c>
      <c r="C172" s="227" t="s">
        <v>281</v>
      </c>
      <c r="D172" s="228">
        <v>500</v>
      </c>
      <c r="E172" s="231">
        <v>1511.5</v>
      </c>
      <c r="F172" s="231">
        <v>1514.1</v>
      </c>
      <c r="G172" s="228">
        <v>-2.6</v>
      </c>
      <c r="H172" s="229">
        <v>-1.6999999999999999E-3</v>
      </c>
      <c r="I172" s="231">
        <v>1504.2</v>
      </c>
      <c r="J172" s="231">
        <v>1507.6</v>
      </c>
      <c r="K172" s="228">
        <v>-3.4</v>
      </c>
      <c r="L172" s="229">
        <v>-2.3E-3</v>
      </c>
      <c r="M172" s="231">
        <v>1511.5</v>
      </c>
      <c r="N172" s="231">
        <v>1514.1</v>
      </c>
      <c r="O172" s="228">
        <v>-2.6</v>
      </c>
      <c r="P172" s="229">
        <v>-1.6999999999999999E-3</v>
      </c>
      <c r="Q172" s="231">
        <v>1520.1</v>
      </c>
      <c r="R172" s="231">
        <v>1523.4</v>
      </c>
      <c r="S172" s="228">
        <v>-3.3</v>
      </c>
      <c r="T172" s="229">
        <v>-2.2000000000000001E-3</v>
      </c>
      <c r="U172" s="231">
        <v>1529.7</v>
      </c>
      <c r="V172" s="231">
        <v>1533.1</v>
      </c>
      <c r="W172" s="228">
        <v>-3.4</v>
      </c>
      <c r="X172" s="229">
        <v>-2.2000000000000001E-3</v>
      </c>
      <c r="Y172" s="228">
        <v>7.3</v>
      </c>
      <c r="Z172" s="228">
        <v>6.5</v>
      </c>
      <c r="AA172" s="228">
        <v>0.8</v>
      </c>
      <c r="AB172" s="229">
        <v>4.8999999999999998E-3</v>
      </c>
      <c r="AC172" s="228">
        <v>7.3</v>
      </c>
      <c r="AD172" s="228">
        <v>6.5</v>
      </c>
      <c r="AE172" s="228">
        <v>0.8</v>
      </c>
      <c r="AF172" s="229">
        <v>4.8999999999999998E-3</v>
      </c>
      <c r="AG172" s="228">
        <v>15.9</v>
      </c>
      <c r="AH172" s="228">
        <v>15.8</v>
      </c>
      <c r="AI172" s="228">
        <v>0.1</v>
      </c>
      <c r="AJ172" s="229">
        <v>1.06E-2</v>
      </c>
      <c r="AK172" s="228">
        <v>25.5</v>
      </c>
      <c r="AL172" s="228">
        <v>25.5</v>
      </c>
      <c r="AM172" s="228">
        <v>0</v>
      </c>
      <c r="AN172" s="229">
        <v>1.7000000000000001E-2</v>
      </c>
      <c r="AO172" s="231">
        <v>1513.61</v>
      </c>
      <c r="AP172" s="231">
        <v>1522.5</v>
      </c>
      <c r="AQ172" s="228">
        <v>0</v>
      </c>
      <c r="AR172" s="230">
        <v>14486500</v>
      </c>
      <c r="AS172" s="230">
        <v>44085500</v>
      </c>
      <c r="AT172" s="230">
        <v>-29599000</v>
      </c>
      <c r="AU172" s="229">
        <v>-0.6714</v>
      </c>
      <c r="AV172" s="230">
        <v>12454500</v>
      </c>
      <c r="AW172" s="230">
        <v>39810000</v>
      </c>
      <c r="AX172" s="230">
        <v>-27355500</v>
      </c>
      <c r="AY172" s="229">
        <v>-0.68720000000000003</v>
      </c>
      <c r="AZ172" s="230">
        <v>1318500</v>
      </c>
      <c r="BA172" s="230">
        <v>3396500</v>
      </c>
      <c r="BB172" s="230">
        <v>-2078000</v>
      </c>
      <c r="BC172" s="229">
        <v>-0.61180000000000001</v>
      </c>
      <c r="BD172" s="230">
        <v>713500</v>
      </c>
      <c r="BE172" s="230">
        <v>879000</v>
      </c>
      <c r="BF172" s="230">
        <v>-165500</v>
      </c>
      <c r="BG172" s="229">
        <v>-0.1883</v>
      </c>
      <c r="BH172" s="230">
        <v>80708000</v>
      </c>
      <c r="BI172" s="230">
        <v>227327000</v>
      </c>
      <c r="BJ172" s="230">
        <v>-146619000</v>
      </c>
      <c r="BK172" s="229">
        <v>-0.64500000000000002</v>
      </c>
      <c r="BL172" s="230">
        <v>45871500</v>
      </c>
      <c r="BM172" s="230">
        <v>152545500</v>
      </c>
      <c r="BN172" s="230">
        <v>-106674000</v>
      </c>
      <c r="BO172" s="229">
        <v>-0.69930000000000003</v>
      </c>
      <c r="BP172" s="230">
        <v>141066000</v>
      </c>
      <c r="BQ172" s="230">
        <v>423958000</v>
      </c>
      <c r="BR172" s="230">
        <v>-282892000</v>
      </c>
      <c r="BS172" s="229">
        <v>-0.6673</v>
      </c>
      <c r="BT172" s="230">
        <v>11909939</v>
      </c>
      <c r="BU172" s="230">
        <v>28373153</v>
      </c>
      <c r="BV172" s="230">
        <v>-16463214</v>
      </c>
      <c r="BW172" s="229">
        <v>-0.58020000000000005</v>
      </c>
      <c r="BX172" s="230">
        <v>108036500</v>
      </c>
      <c r="BY172" s="230">
        <v>105530000</v>
      </c>
      <c r="BZ172" s="230">
        <v>2506500</v>
      </c>
      <c r="CA172" s="229">
        <v>2.3800000000000002E-2</v>
      </c>
      <c r="CB172" s="230">
        <v>102560500</v>
      </c>
      <c r="CC172" s="230">
        <v>101243500</v>
      </c>
      <c r="CD172" s="230">
        <v>1317000</v>
      </c>
      <c r="CE172" s="229">
        <v>1.2999999999999999E-2</v>
      </c>
      <c r="CF172" s="230">
        <v>4168500</v>
      </c>
      <c r="CG172" s="230">
        <v>3513000</v>
      </c>
      <c r="CH172" s="230">
        <v>655500</v>
      </c>
      <c r="CI172" s="229">
        <v>0.18659999999999999</v>
      </c>
      <c r="CJ172" s="230">
        <v>1307500</v>
      </c>
      <c r="CK172" s="230">
        <v>773500</v>
      </c>
      <c r="CL172" s="230">
        <v>534000</v>
      </c>
      <c r="CM172" s="229">
        <v>0.69040000000000001</v>
      </c>
      <c r="CN172" s="230">
        <v>80809000</v>
      </c>
      <c r="CO172" s="230">
        <v>75622500</v>
      </c>
      <c r="CP172" s="230">
        <v>5186500</v>
      </c>
      <c r="CQ172" s="229">
        <v>6.8599999999999994E-2</v>
      </c>
      <c r="CR172" s="230">
        <v>33754500</v>
      </c>
      <c r="CS172" s="230">
        <v>31521000</v>
      </c>
      <c r="CT172" s="230">
        <v>2233500</v>
      </c>
      <c r="CU172" s="229">
        <v>7.0900000000000005E-2</v>
      </c>
      <c r="CV172" s="230">
        <v>222600000</v>
      </c>
      <c r="CW172" s="230">
        <v>212673500</v>
      </c>
      <c r="CX172" s="230">
        <v>9926500</v>
      </c>
      <c r="CY172" s="229">
        <v>4.6699999999999998E-2</v>
      </c>
      <c r="CZ172" s="228">
        <v>21.34</v>
      </c>
      <c r="DA172" s="228">
        <v>21.41</v>
      </c>
      <c r="DB172" s="228">
        <v>-7.0000000000000007E-2</v>
      </c>
      <c r="DC172" s="228">
        <v>-7.0000000000000007E-2</v>
      </c>
      <c r="DD172" s="228">
        <v>23.73</v>
      </c>
      <c r="DE172" s="228">
        <v>23.78</v>
      </c>
      <c r="DF172" s="228">
        <v>-2.39</v>
      </c>
      <c r="DG172" s="228">
        <v>-0.05</v>
      </c>
      <c r="DH172" s="228">
        <v>21.06</v>
      </c>
      <c r="DI172" s="228">
        <v>20.97</v>
      </c>
      <c r="DJ172" s="228">
        <v>0.09</v>
      </c>
      <c r="DK172" s="228">
        <v>0.09</v>
      </c>
      <c r="DL172" s="228">
        <v>21.84</v>
      </c>
      <c r="DM172" s="228">
        <v>22.07</v>
      </c>
      <c r="DN172" s="228">
        <v>-0.23</v>
      </c>
      <c r="DO172" s="228">
        <v>-0.23</v>
      </c>
      <c r="DP172" s="228">
        <v>0.42</v>
      </c>
      <c r="DQ172" s="228">
        <v>0.42</v>
      </c>
      <c r="DR172" s="228">
        <v>0</v>
      </c>
      <c r="DS172" s="229">
        <v>0</v>
      </c>
      <c r="DT172" s="231">
        <v>1600</v>
      </c>
      <c r="DU172" s="231">
        <v>1500</v>
      </c>
      <c r="DV172" s="228">
        <v>0.56999999999999995</v>
      </c>
      <c r="DW172" s="228">
        <v>0.67</v>
      </c>
      <c r="DX172" s="228">
        <v>-0.1</v>
      </c>
      <c r="DY172" s="229">
        <v>-0.14929999999999999</v>
      </c>
      <c r="DZ172" s="229">
        <v>5.0700000000000002E-2</v>
      </c>
      <c r="EA172" s="230">
        <v>4286500</v>
      </c>
      <c r="EB172" s="229">
        <v>5.7000000000000002E-3</v>
      </c>
      <c r="EC172" s="229">
        <v>5.0700000000000002E-2</v>
      </c>
      <c r="ED172" s="228">
        <v>8.89</v>
      </c>
      <c r="EE172" s="229">
        <v>5.8999999999999999E-3</v>
      </c>
      <c r="EF172" s="230">
        <v>7110841</v>
      </c>
      <c r="EG172" s="230">
        <v>14310714</v>
      </c>
      <c r="EH172" s="229">
        <v>-0.50309999999999999</v>
      </c>
      <c r="EI172" s="229">
        <v>0.59709999999999996</v>
      </c>
      <c r="EJ172" s="231">
        <v>1272116.07</v>
      </c>
      <c r="EK172" s="231">
        <v>685308.35</v>
      </c>
      <c r="EL172" s="231">
        <v>219503.78</v>
      </c>
      <c r="EM172" s="231">
        <v>34250</v>
      </c>
      <c r="EN172" s="231">
        <v>2176928.2000000002</v>
      </c>
      <c r="EO172" s="231">
        <v>6591096.96</v>
      </c>
      <c r="EP172" s="231">
        <v>-4414168.76</v>
      </c>
      <c r="EQ172" s="229">
        <v>-0.66969999999999996</v>
      </c>
      <c r="ER172" s="231">
        <v>1277736</v>
      </c>
      <c r="ES172" s="231">
        <v>507005</v>
      </c>
      <c r="ET172" s="231">
        <v>1633568</v>
      </c>
      <c r="EU172" s="231">
        <v>664266681</v>
      </c>
      <c r="EV172" s="231">
        <v>3418309</v>
      </c>
      <c r="EW172" s="231">
        <v>3270120</v>
      </c>
      <c r="EX172" s="231">
        <v>148189</v>
      </c>
      <c r="EY172" s="229">
        <v>4.53E-2</v>
      </c>
      <c r="EZ172" s="229">
        <v>0.33510000000000001</v>
      </c>
      <c r="FA172" s="227" t="s">
        <v>567</v>
      </c>
      <c r="FB172" s="161">
        <f t="shared" si="4"/>
        <v>0</v>
      </c>
    </row>
    <row r="173" spans="1:158" ht="17.25" thickBot="1" x14ac:dyDescent="0.3">
      <c r="A173" s="226">
        <v>46029</v>
      </c>
      <c r="B173" s="227" t="s">
        <v>215</v>
      </c>
      <c r="C173" s="227" t="s">
        <v>675</v>
      </c>
      <c r="D173" s="228">
        <v>1525</v>
      </c>
      <c r="E173" s="228">
        <v>357.65</v>
      </c>
      <c r="F173" s="228">
        <v>356.25</v>
      </c>
      <c r="G173" s="228">
        <v>1.4</v>
      </c>
      <c r="H173" s="229">
        <v>3.8999999999999998E-3</v>
      </c>
      <c r="I173" s="228">
        <v>357.4</v>
      </c>
      <c r="J173" s="228">
        <v>358.3</v>
      </c>
      <c r="K173" s="228">
        <v>-0.9</v>
      </c>
      <c r="L173" s="229">
        <v>-2.5000000000000001E-3</v>
      </c>
      <c r="M173" s="228">
        <v>357.65</v>
      </c>
      <c r="N173" s="228">
        <v>356.25</v>
      </c>
      <c r="O173" s="228">
        <v>1.4</v>
      </c>
      <c r="P173" s="229">
        <v>3.8999999999999998E-3</v>
      </c>
      <c r="Q173" s="228">
        <v>352.4</v>
      </c>
      <c r="R173" s="228">
        <v>350.3</v>
      </c>
      <c r="S173" s="228">
        <v>2.1</v>
      </c>
      <c r="T173" s="229">
        <v>6.0000000000000001E-3</v>
      </c>
      <c r="U173" s="228">
        <v>350.4</v>
      </c>
      <c r="V173" s="228">
        <v>347.4</v>
      </c>
      <c r="W173" s="228">
        <v>3</v>
      </c>
      <c r="X173" s="229">
        <v>8.6E-3</v>
      </c>
      <c r="Y173" s="228">
        <v>0.25</v>
      </c>
      <c r="Z173" s="228">
        <v>-2.0499999999999998</v>
      </c>
      <c r="AA173" s="228">
        <v>2.2999999999999998</v>
      </c>
      <c r="AB173" s="229">
        <v>6.9999999999999999E-4</v>
      </c>
      <c r="AC173" s="228">
        <v>0.25</v>
      </c>
      <c r="AD173" s="228">
        <v>-2.0499999999999998</v>
      </c>
      <c r="AE173" s="228">
        <v>2.2999999999999998</v>
      </c>
      <c r="AF173" s="229">
        <v>6.9999999999999999E-4</v>
      </c>
      <c r="AG173" s="228">
        <v>-5</v>
      </c>
      <c r="AH173" s="228">
        <v>-8</v>
      </c>
      <c r="AI173" s="228">
        <v>3</v>
      </c>
      <c r="AJ173" s="229">
        <v>-1.4E-2</v>
      </c>
      <c r="AK173" s="228">
        <v>-7</v>
      </c>
      <c r="AL173" s="228">
        <v>-10.9</v>
      </c>
      <c r="AM173" s="228">
        <v>3.9</v>
      </c>
      <c r="AN173" s="229">
        <v>-1.9599999999999999E-2</v>
      </c>
      <c r="AO173" s="228">
        <v>358.26</v>
      </c>
      <c r="AP173" s="228">
        <v>352.79</v>
      </c>
      <c r="AQ173" s="228">
        <v>0</v>
      </c>
      <c r="AR173" s="230">
        <v>8544575</v>
      </c>
      <c r="AS173" s="230">
        <v>6504125</v>
      </c>
      <c r="AT173" s="230">
        <v>2040450</v>
      </c>
      <c r="AU173" s="229">
        <v>0.31369999999999998</v>
      </c>
      <c r="AV173" s="230">
        <v>6461425</v>
      </c>
      <c r="AW173" s="230">
        <v>5416800</v>
      </c>
      <c r="AX173" s="230">
        <v>1044625</v>
      </c>
      <c r="AY173" s="229">
        <v>0.1928</v>
      </c>
      <c r="AZ173" s="230">
        <v>2000800</v>
      </c>
      <c r="BA173" s="230">
        <v>968375</v>
      </c>
      <c r="BB173" s="230">
        <v>1032425</v>
      </c>
      <c r="BC173" s="229">
        <v>1.0661</v>
      </c>
      <c r="BD173" s="230">
        <v>82350</v>
      </c>
      <c r="BE173" s="230">
        <v>118950</v>
      </c>
      <c r="BF173" s="230">
        <v>-36600</v>
      </c>
      <c r="BG173" s="229">
        <v>-0.30769999999999997</v>
      </c>
      <c r="BH173" s="230">
        <v>23317250</v>
      </c>
      <c r="BI173" s="230">
        <v>29450800</v>
      </c>
      <c r="BJ173" s="230">
        <v>-6133550</v>
      </c>
      <c r="BK173" s="229">
        <v>-0.20830000000000001</v>
      </c>
      <c r="BL173" s="230">
        <v>7030250</v>
      </c>
      <c r="BM173" s="230">
        <v>8483575</v>
      </c>
      <c r="BN173" s="230">
        <v>-1453325</v>
      </c>
      <c r="BO173" s="229">
        <v>-0.17130000000000001</v>
      </c>
      <c r="BP173" s="230">
        <v>38892075</v>
      </c>
      <c r="BQ173" s="230">
        <v>44438500</v>
      </c>
      <c r="BR173" s="230">
        <v>-5546425</v>
      </c>
      <c r="BS173" s="229">
        <v>-0.12479999999999999</v>
      </c>
      <c r="BT173" s="230">
        <v>8366544</v>
      </c>
      <c r="BU173" s="230">
        <v>5981059</v>
      </c>
      <c r="BV173" s="230">
        <v>2385485</v>
      </c>
      <c r="BW173" s="229">
        <v>0.39879999999999999</v>
      </c>
      <c r="BX173" s="230">
        <v>46029075</v>
      </c>
      <c r="BY173" s="230">
        <v>44197550</v>
      </c>
      <c r="BZ173" s="230">
        <v>1831525</v>
      </c>
      <c r="CA173" s="229">
        <v>4.1399999999999999E-2</v>
      </c>
      <c r="CB173" s="230">
        <v>41236000</v>
      </c>
      <c r="CC173" s="230">
        <v>40569575</v>
      </c>
      <c r="CD173" s="230">
        <v>666425</v>
      </c>
      <c r="CE173" s="229">
        <v>1.6400000000000001E-2</v>
      </c>
      <c r="CF173" s="230">
        <v>4410300</v>
      </c>
      <c r="CG173" s="230">
        <v>3283325</v>
      </c>
      <c r="CH173" s="230">
        <v>1126975</v>
      </c>
      <c r="CI173" s="229">
        <v>0.34320000000000001</v>
      </c>
      <c r="CJ173" s="230">
        <v>382775</v>
      </c>
      <c r="CK173" s="230">
        <v>344650</v>
      </c>
      <c r="CL173" s="230">
        <v>38125</v>
      </c>
      <c r="CM173" s="229">
        <v>0.1106</v>
      </c>
      <c r="CN173" s="230">
        <v>45481600</v>
      </c>
      <c r="CO173" s="230">
        <v>44722150</v>
      </c>
      <c r="CP173" s="230">
        <v>759450</v>
      </c>
      <c r="CQ173" s="229">
        <v>1.7000000000000001E-2</v>
      </c>
      <c r="CR173" s="230">
        <v>16238200</v>
      </c>
      <c r="CS173" s="230">
        <v>15853900</v>
      </c>
      <c r="CT173" s="230">
        <v>384300</v>
      </c>
      <c r="CU173" s="229">
        <v>2.4199999999999999E-2</v>
      </c>
      <c r="CV173" s="230">
        <v>107748875</v>
      </c>
      <c r="CW173" s="230">
        <v>104773600</v>
      </c>
      <c r="CX173" s="230">
        <v>2975275</v>
      </c>
      <c r="CY173" s="229">
        <v>2.8400000000000002E-2</v>
      </c>
      <c r="CZ173" s="228">
        <v>47.37</v>
      </c>
      <c r="DA173" s="228">
        <v>47.34</v>
      </c>
      <c r="DB173" s="228">
        <v>0.03</v>
      </c>
      <c r="DC173" s="228">
        <v>0.03</v>
      </c>
      <c r="DD173" s="228">
        <v>55.77</v>
      </c>
      <c r="DE173" s="228">
        <v>55.9</v>
      </c>
      <c r="DF173" s="228">
        <v>-8.4</v>
      </c>
      <c r="DG173" s="228">
        <v>-0.13</v>
      </c>
      <c r="DH173" s="228">
        <v>47.82</v>
      </c>
      <c r="DI173" s="228">
        <v>47.79</v>
      </c>
      <c r="DJ173" s="228">
        <v>0.03</v>
      </c>
      <c r="DK173" s="228">
        <v>0.03</v>
      </c>
      <c r="DL173" s="228">
        <v>45.86</v>
      </c>
      <c r="DM173" s="228">
        <v>45.76</v>
      </c>
      <c r="DN173" s="228">
        <v>0.1</v>
      </c>
      <c r="DO173" s="228">
        <v>0.1</v>
      </c>
      <c r="DP173" s="228">
        <v>0.36</v>
      </c>
      <c r="DQ173" s="228">
        <v>0.35</v>
      </c>
      <c r="DR173" s="228">
        <v>0.01</v>
      </c>
      <c r="DS173" s="229">
        <v>2.86E-2</v>
      </c>
      <c r="DT173" s="228">
        <v>400</v>
      </c>
      <c r="DU173" s="228">
        <v>340</v>
      </c>
      <c r="DV173" s="228">
        <v>0.3</v>
      </c>
      <c r="DW173" s="228">
        <v>0.28999999999999998</v>
      </c>
      <c r="DX173" s="228">
        <v>0.01</v>
      </c>
      <c r="DY173" s="229">
        <v>3.4500000000000003E-2</v>
      </c>
      <c r="DZ173" s="229">
        <v>0.1041</v>
      </c>
      <c r="EA173" s="230">
        <v>3627975</v>
      </c>
      <c r="EB173" s="229">
        <v>-1.47E-2</v>
      </c>
      <c r="EC173" s="229">
        <v>0.1041</v>
      </c>
      <c r="ED173" s="228">
        <v>-5.47</v>
      </c>
      <c r="EE173" s="229">
        <v>-1.5299999999999999E-2</v>
      </c>
      <c r="EF173" s="230">
        <v>2791379</v>
      </c>
      <c r="EG173" s="230">
        <v>1414720</v>
      </c>
      <c r="EH173" s="229">
        <v>0.97309999999999997</v>
      </c>
      <c r="EI173" s="229">
        <v>0.33360000000000001</v>
      </c>
      <c r="EJ173" s="231">
        <v>90896.320000000007</v>
      </c>
      <c r="EK173" s="231">
        <v>24759.73</v>
      </c>
      <c r="EL173" s="231">
        <v>30495.59</v>
      </c>
      <c r="EM173" s="231">
        <v>4758</v>
      </c>
      <c r="EN173" s="231">
        <v>146151.64000000001</v>
      </c>
      <c r="EO173" s="231">
        <v>168113.6</v>
      </c>
      <c r="EP173" s="231">
        <v>-21961.96</v>
      </c>
      <c r="EQ173" s="229">
        <v>-0.13059999999999999</v>
      </c>
      <c r="ER173" s="231">
        <v>176455</v>
      </c>
      <c r="ES173" s="231">
        <v>55024</v>
      </c>
      <c r="ET173" s="231">
        <v>164364</v>
      </c>
      <c r="EU173" s="231">
        <v>84941460</v>
      </c>
      <c r="EV173" s="231">
        <v>395843</v>
      </c>
      <c r="EW173" s="231">
        <v>384505</v>
      </c>
      <c r="EX173" s="231">
        <v>11338</v>
      </c>
      <c r="EY173" s="229">
        <v>2.9499999999999998E-2</v>
      </c>
      <c r="EZ173" s="229">
        <v>1.2685</v>
      </c>
      <c r="FA173" s="227" t="s">
        <v>555</v>
      </c>
      <c r="FB173" s="161">
        <f t="shared" si="4"/>
        <v>0</v>
      </c>
    </row>
    <row r="174" spans="1:158" ht="17.25" thickBot="1" x14ac:dyDescent="0.3">
      <c r="A174" s="226">
        <v>46029</v>
      </c>
      <c r="B174" s="227" t="s">
        <v>227</v>
      </c>
      <c r="C174" s="227" t="s">
        <v>282</v>
      </c>
      <c r="D174" s="228">
        <v>4700</v>
      </c>
      <c r="E174" s="228">
        <v>150.61000000000001</v>
      </c>
      <c r="F174" s="228">
        <v>147.87</v>
      </c>
      <c r="G174" s="228">
        <v>2.74</v>
      </c>
      <c r="H174" s="229">
        <v>1.8499999999999999E-2</v>
      </c>
      <c r="I174" s="228">
        <v>150.37</v>
      </c>
      <c r="J174" s="228">
        <v>146.44</v>
      </c>
      <c r="K174" s="228">
        <v>3.93</v>
      </c>
      <c r="L174" s="229">
        <v>2.6800000000000001E-2</v>
      </c>
      <c r="M174" s="228">
        <v>150.61000000000001</v>
      </c>
      <c r="N174" s="228">
        <v>147.87</v>
      </c>
      <c r="O174" s="228">
        <v>2.74</v>
      </c>
      <c r="P174" s="229">
        <v>1.8499999999999999E-2</v>
      </c>
      <c r="Q174" s="228">
        <v>149.04</v>
      </c>
      <c r="R174" s="228">
        <v>147.82</v>
      </c>
      <c r="S174" s="228">
        <v>1.22</v>
      </c>
      <c r="T174" s="229">
        <v>8.3000000000000001E-3</v>
      </c>
      <c r="U174" s="228">
        <v>149.66</v>
      </c>
      <c r="V174" s="228">
        <v>148.80000000000001</v>
      </c>
      <c r="W174" s="228">
        <v>0.86</v>
      </c>
      <c r="X174" s="229">
        <v>5.7999999999999996E-3</v>
      </c>
      <c r="Y174" s="228">
        <v>0.24</v>
      </c>
      <c r="Z174" s="228">
        <v>1.43</v>
      </c>
      <c r="AA174" s="228">
        <v>-1.19</v>
      </c>
      <c r="AB174" s="229">
        <v>1.6000000000000001E-3</v>
      </c>
      <c r="AC174" s="228">
        <v>0.24</v>
      </c>
      <c r="AD174" s="228">
        <v>1.43</v>
      </c>
      <c r="AE174" s="228">
        <v>-1.19</v>
      </c>
      <c r="AF174" s="229">
        <v>1.6000000000000001E-3</v>
      </c>
      <c r="AG174" s="228">
        <v>-1.33</v>
      </c>
      <c r="AH174" s="228">
        <v>1.38</v>
      </c>
      <c r="AI174" s="228">
        <v>-2.71</v>
      </c>
      <c r="AJ174" s="229">
        <v>-8.8000000000000005E-3</v>
      </c>
      <c r="AK174" s="228">
        <v>-0.71</v>
      </c>
      <c r="AL174" s="228">
        <v>2.36</v>
      </c>
      <c r="AM174" s="228">
        <v>-3.07</v>
      </c>
      <c r="AN174" s="229">
        <v>-4.7000000000000002E-3</v>
      </c>
      <c r="AO174" s="228">
        <v>149.94999999999999</v>
      </c>
      <c r="AP174" s="228">
        <v>148.47999999999999</v>
      </c>
      <c r="AQ174" s="228">
        <v>0</v>
      </c>
      <c r="AR174" s="230">
        <v>2016300</v>
      </c>
      <c r="AS174" s="230">
        <v>2711900</v>
      </c>
      <c r="AT174" s="230">
        <v>-695600</v>
      </c>
      <c r="AU174" s="229">
        <v>-0.25650000000000001</v>
      </c>
      <c r="AV174" s="230">
        <v>1936400</v>
      </c>
      <c r="AW174" s="230">
        <v>2476900</v>
      </c>
      <c r="AX174" s="230">
        <v>-540500</v>
      </c>
      <c r="AY174" s="229">
        <v>-0.21820000000000001</v>
      </c>
      <c r="AZ174" s="230">
        <v>75200</v>
      </c>
      <c r="BA174" s="230">
        <v>197400</v>
      </c>
      <c r="BB174" s="230">
        <v>-122200</v>
      </c>
      <c r="BC174" s="229">
        <v>-0.61899999999999999</v>
      </c>
      <c r="BD174" s="230">
        <v>4700</v>
      </c>
      <c r="BE174" s="230">
        <v>37600</v>
      </c>
      <c r="BF174" s="230">
        <v>-32900</v>
      </c>
      <c r="BG174" s="229">
        <v>-0.875</v>
      </c>
      <c r="BH174" s="230">
        <v>968200</v>
      </c>
      <c r="BI174" s="230">
        <v>2335900</v>
      </c>
      <c r="BJ174" s="230">
        <v>-1367700</v>
      </c>
      <c r="BK174" s="229">
        <v>-0.58550000000000002</v>
      </c>
      <c r="BL174" s="230">
        <v>921200</v>
      </c>
      <c r="BM174" s="230">
        <v>2397000</v>
      </c>
      <c r="BN174" s="230">
        <v>-1475800</v>
      </c>
      <c r="BO174" s="229">
        <v>-0.61570000000000003</v>
      </c>
      <c r="BP174" s="230">
        <v>3905700</v>
      </c>
      <c r="BQ174" s="230">
        <v>7444800</v>
      </c>
      <c r="BR174" s="230">
        <v>-3539100</v>
      </c>
      <c r="BS174" s="229">
        <v>-0.47539999999999999</v>
      </c>
      <c r="BT174" s="230">
        <v>17283462</v>
      </c>
      <c r="BU174" s="230">
        <v>29792602</v>
      </c>
      <c r="BV174" s="230">
        <v>-12509140</v>
      </c>
      <c r="BW174" s="229">
        <v>-0.4199</v>
      </c>
      <c r="BX174" s="230">
        <v>195379000</v>
      </c>
      <c r="BY174" s="230">
        <v>196826600</v>
      </c>
      <c r="BZ174" s="230">
        <v>-1447600</v>
      </c>
      <c r="CA174" s="229">
        <v>-7.4000000000000003E-3</v>
      </c>
      <c r="CB174" s="230">
        <v>188582800</v>
      </c>
      <c r="CC174" s="230">
        <v>189974000</v>
      </c>
      <c r="CD174" s="230">
        <v>-1391200</v>
      </c>
      <c r="CE174" s="229">
        <v>-7.3000000000000001E-3</v>
      </c>
      <c r="CF174" s="230">
        <v>6095900</v>
      </c>
      <c r="CG174" s="230">
        <v>6147600</v>
      </c>
      <c r="CH174" s="230">
        <v>-51700</v>
      </c>
      <c r="CI174" s="229">
        <v>-8.3999999999999995E-3</v>
      </c>
      <c r="CJ174" s="230">
        <v>700300</v>
      </c>
      <c r="CK174" s="230">
        <v>705000</v>
      </c>
      <c r="CL174" s="230">
        <v>-4700</v>
      </c>
      <c r="CM174" s="229">
        <v>-6.7000000000000002E-3</v>
      </c>
      <c r="CN174" s="230">
        <v>47460600</v>
      </c>
      <c r="CO174" s="230">
        <v>47888300</v>
      </c>
      <c r="CP174" s="230">
        <v>-427700</v>
      </c>
      <c r="CQ174" s="229">
        <v>-8.8999999999999999E-3</v>
      </c>
      <c r="CR174" s="230">
        <v>36580100</v>
      </c>
      <c r="CS174" s="230">
        <v>37045400</v>
      </c>
      <c r="CT174" s="230">
        <v>-465300</v>
      </c>
      <c r="CU174" s="229">
        <v>-1.26E-2</v>
      </c>
      <c r="CV174" s="230">
        <v>279419700</v>
      </c>
      <c r="CW174" s="230">
        <v>281760300</v>
      </c>
      <c r="CX174" s="230">
        <v>-2340600</v>
      </c>
      <c r="CY174" s="229">
        <v>-8.3000000000000001E-3</v>
      </c>
      <c r="CZ174" s="228">
        <v>31.87</v>
      </c>
      <c r="DA174" s="228">
        <v>30.21</v>
      </c>
      <c r="DB174" s="228">
        <v>1.66</v>
      </c>
      <c r="DC174" s="228">
        <v>1.66</v>
      </c>
      <c r="DD174" s="228">
        <v>43.42</v>
      </c>
      <c r="DE174" s="228">
        <v>43.46</v>
      </c>
      <c r="DF174" s="228">
        <v>-11.55</v>
      </c>
      <c r="DG174" s="228">
        <v>-0.04</v>
      </c>
      <c r="DH174" s="228">
        <v>31.1</v>
      </c>
      <c r="DI174" s="228">
        <v>30.35</v>
      </c>
      <c r="DJ174" s="228">
        <v>0.75</v>
      </c>
      <c r="DK174" s="228">
        <v>0.75</v>
      </c>
      <c r="DL174" s="228">
        <v>32.68</v>
      </c>
      <c r="DM174" s="228">
        <v>30.06</v>
      </c>
      <c r="DN174" s="228">
        <v>2.62</v>
      </c>
      <c r="DO174" s="228">
        <v>2.62</v>
      </c>
      <c r="DP174" s="228">
        <v>0.77</v>
      </c>
      <c r="DQ174" s="228">
        <v>0.77</v>
      </c>
      <c r="DR174" s="228">
        <v>0</v>
      </c>
      <c r="DS174" s="229">
        <v>0</v>
      </c>
      <c r="DT174" s="228">
        <v>150</v>
      </c>
      <c r="DU174" s="228">
        <v>140</v>
      </c>
      <c r="DV174" s="228">
        <v>0.95</v>
      </c>
      <c r="DW174" s="228">
        <v>1.03</v>
      </c>
      <c r="DX174" s="228">
        <v>-0.08</v>
      </c>
      <c r="DY174" s="229">
        <v>-7.7700000000000005E-2</v>
      </c>
      <c r="DZ174" s="229">
        <v>3.4799999999999998E-2</v>
      </c>
      <c r="EA174" s="230">
        <v>6852600</v>
      </c>
      <c r="EB174" s="229">
        <v>-1.04E-2</v>
      </c>
      <c r="EC174" s="229">
        <v>3.4799999999999998E-2</v>
      </c>
      <c r="ED174" s="228">
        <v>-1.47</v>
      </c>
      <c r="EE174" s="229">
        <v>-9.7999999999999997E-3</v>
      </c>
      <c r="EF174" s="230">
        <v>6424254</v>
      </c>
      <c r="EG174" s="230">
        <v>13827603</v>
      </c>
      <c r="EH174" s="229">
        <v>-0.53539999999999999</v>
      </c>
      <c r="EI174" s="229">
        <v>0.37169999999999997</v>
      </c>
      <c r="EJ174" s="231">
        <v>1497.97</v>
      </c>
      <c r="EK174" s="231">
        <v>1255.93</v>
      </c>
      <c r="EL174" s="231">
        <v>3022.31</v>
      </c>
      <c r="EM174" s="231">
        <v>6609</v>
      </c>
      <c r="EN174" s="231">
        <v>5776.21</v>
      </c>
      <c r="EO174" s="231">
        <v>10979.55</v>
      </c>
      <c r="EP174" s="231">
        <v>-5203.34</v>
      </c>
      <c r="EQ174" s="229">
        <v>-0.47389999999999999</v>
      </c>
      <c r="ER174" s="231">
        <v>70466</v>
      </c>
      <c r="ES174" s="231">
        <v>49510</v>
      </c>
      <c r="ET174" s="231">
        <v>294158</v>
      </c>
      <c r="EU174" s="231">
        <v>216861410</v>
      </c>
      <c r="EV174" s="231">
        <v>414134</v>
      </c>
      <c r="EW174" s="231">
        <v>412295</v>
      </c>
      <c r="EX174" s="231">
        <v>1839</v>
      </c>
      <c r="EY174" s="229">
        <v>4.4999999999999997E-3</v>
      </c>
      <c r="EZ174" s="229">
        <v>1.2885</v>
      </c>
      <c r="FA174" s="227" t="s">
        <v>556</v>
      </c>
      <c r="FB174" s="161">
        <f t="shared" si="4"/>
        <v>0</v>
      </c>
    </row>
    <row r="175" spans="1:158" ht="17.25" thickBot="1" x14ac:dyDescent="0.3">
      <c r="A175" s="226">
        <v>46029</v>
      </c>
      <c r="B175" s="227" t="s">
        <v>175</v>
      </c>
      <c r="C175" s="227" t="s">
        <v>686</v>
      </c>
      <c r="D175" s="228">
        <v>4300</v>
      </c>
      <c r="E175" s="228">
        <v>150.74</v>
      </c>
      <c r="F175" s="228">
        <v>150.51</v>
      </c>
      <c r="G175" s="228">
        <v>0.23</v>
      </c>
      <c r="H175" s="229">
        <v>1.5E-3</v>
      </c>
      <c r="I175" s="228">
        <v>149.94999999999999</v>
      </c>
      <c r="J175" s="228">
        <v>149.1</v>
      </c>
      <c r="K175" s="228">
        <v>0.85</v>
      </c>
      <c r="L175" s="229">
        <v>5.7000000000000002E-3</v>
      </c>
      <c r="M175" s="228">
        <v>150.74</v>
      </c>
      <c r="N175" s="228">
        <v>150.51</v>
      </c>
      <c r="O175" s="228">
        <v>0.23</v>
      </c>
      <c r="P175" s="229">
        <v>1.5E-3</v>
      </c>
      <c r="Q175" s="228">
        <v>151.27000000000001</v>
      </c>
      <c r="R175" s="228">
        <v>149.59</v>
      </c>
      <c r="S175" s="228">
        <v>1.68</v>
      </c>
      <c r="T175" s="229">
        <v>1.12E-2</v>
      </c>
      <c r="U175" s="228">
        <v>152.56</v>
      </c>
      <c r="V175" s="228">
        <v>152.84</v>
      </c>
      <c r="W175" s="228">
        <v>-0.28000000000000003</v>
      </c>
      <c r="X175" s="229">
        <v>-1.8E-3</v>
      </c>
      <c r="Y175" s="228">
        <v>0.79</v>
      </c>
      <c r="Z175" s="228">
        <v>1.41</v>
      </c>
      <c r="AA175" s="228">
        <v>-0.62</v>
      </c>
      <c r="AB175" s="229">
        <v>5.3E-3</v>
      </c>
      <c r="AC175" s="228">
        <v>0.79</v>
      </c>
      <c r="AD175" s="228">
        <v>1.41</v>
      </c>
      <c r="AE175" s="228">
        <v>-0.62</v>
      </c>
      <c r="AF175" s="229">
        <v>5.3E-3</v>
      </c>
      <c r="AG175" s="228">
        <v>1.32</v>
      </c>
      <c r="AH175" s="228">
        <v>0.49</v>
      </c>
      <c r="AI175" s="228">
        <v>0.83</v>
      </c>
      <c r="AJ175" s="229">
        <v>8.8000000000000005E-3</v>
      </c>
      <c r="AK175" s="228">
        <v>2.61</v>
      </c>
      <c r="AL175" s="228">
        <v>3.74</v>
      </c>
      <c r="AM175" s="228">
        <v>-1.1299999999999999</v>
      </c>
      <c r="AN175" s="229">
        <v>1.7399999999999999E-2</v>
      </c>
      <c r="AO175" s="228">
        <v>150.24</v>
      </c>
      <c r="AP175" s="228">
        <v>150.6</v>
      </c>
      <c r="AQ175" s="228">
        <v>0</v>
      </c>
      <c r="AR175" s="230">
        <v>683700</v>
      </c>
      <c r="AS175" s="230">
        <v>2700400</v>
      </c>
      <c r="AT175" s="230">
        <v>-2016700</v>
      </c>
      <c r="AU175" s="229">
        <v>-0.74680000000000002</v>
      </c>
      <c r="AV175" s="230">
        <v>649300</v>
      </c>
      <c r="AW175" s="230">
        <v>2567100</v>
      </c>
      <c r="AX175" s="230">
        <v>-1917800</v>
      </c>
      <c r="AY175" s="229">
        <v>-0.74709999999999999</v>
      </c>
      <c r="AZ175" s="230">
        <v>30100</v>
      </c>
      <c r="BA175" s="230">
        <v>116100</v>
      </c>
      <c r="BB175" s="230">
        <v>-86000</v>
      </c>
      <c r="BC175" s="229">
        <v>-0.74070000000000003</v>
      </c>
      <c r="BD175" s="230">
        <v>4300</v>
      </c>
      <c r="BE175" s="230">
        <v>17200</v>
      </c>
      <c r="BF175" s="230">
        <v>-12900</v>
      </c>
      <c r="BG175" s="229">
        <v>-0.75</v>
      </c>
      <c r="BH175" s="230">
        <v>348300</v>
      </c>
      <c r="BI175" s="230">
        <v>1870500</v>
      </c>
      <c r="BJ175" s="230">
        <v>-1522200</v>
      </c>
      <c r="BK175" s="229">
        <v>-0.81379999999999997</v>
      </c>
      <c r="BL175" s="230">
        <v>184900</v>
      </c>
      <c r="BM175" s="230">
        <v>774000</v>
      </c>
      <c r="BN175" s="230">
        <v>-589100</v>
      </c>
      <c r="BO175" s="229">
        <v>-0.7611</v>
      </c>
      <c r="BP175" s="230">
        <v>1216900</v>
      </c>
      <c r="BQ175" s="230">
        <v>5344900</v>
      </c>
      <c r="BR175" s="230">
        <v>-4128000</v>
      </c>
      <c r="BS175" s="229">
        <v>-0.77229999999999999</v>
      </c>
      <c r="BT175" s="230">
        <v>6524194</v>
      </c>
      <c r="BU175" s="230">
        <v>6811573</v>
      </c>
      <c r="BV175" s="230">
        <v>-287379</v>
      </c>
      <c r="BW175" s="229">
        <v>-4.2200000000000001E-2</v>
      </c>
      <c r="BX175" s="230">
        <v>123646500</v>
      </c>
      <c r="BY175" s="230">
        <v>124106600</v>
      </c>
      <c r="BZ175" s="230">
        <v>-460100</v>
      </c>
      <c r="CA175" s="229">
        <v>-3.7000000000000002E-3</v>
      </c>
      <c r="CB175" s="230">
        <v>116379500</v>
      </c>
      <c r="CC175" s="230">
        <v>116813800</v>
      </c>
      <c r="CD175" s="230">
        <v>-434300</v>
      </c>
      <c r="CE175" s="229">
        <v>-3.7000000000000002E-3</v>
      </c>
      <c r="CF175" s="230">
        <v>6841300</v>
      </c>
      <c r="CG175" s="230">
        <v>6867100</v>
      </c>
      <c r="CH175" s="230">
        <v>-25800</v>
      </c>
      <c r="CI175" s="229">
        <v>-3.8E-3</v>
      </c>
      <c r="CJ175" s="230">
        <v>425700</v>
      </c>
      <c r="CK175" s="230">
        <v>425700</v>
      </c>
      <c r="CL175" s="228">
        <v>0</v>
      </c>
      <c r="CM175" s="229">
        <v>0</v>
      </c>
      <c r="CN175" s="230">
        <v>32662800</v>
      </c>
      <c r="CO175" s="230">
        <v>32955200</v>
      </c>
      <c r="CP175" s="230">
        <v>-292400</v>
      </c>
      <c r="CQ175" s="229">
        <v>-8.8999999999999999E-3</v>
      </c>
      <c r="CR175" s="230">
        <v>23783300</v>
      </c>
      <c r="CS175" s="230">
        <v>23869300</v>
      </c>
      <c r="CT175" s="230">
        <v>-86000</v>
      </c>
      <c r="CU175" s="229">
        <v>-3.5999999999999999E-3</v>
      </c>
      <c r="CV175" s="230">
        <v>180092600</v>
      </c>
      <c r="CW175" s="230">
        <v>180931100</v>
      </c>
      <c r="CX175" s="230">
        <v>-838500</v>
      </c>
      <c r="CY175" s="229">
        <v>-4.5999999999999999E-3</v>
      </c>
      <c r="CZ175" s="228">
        <v>36.07</v>
      </c>
      <c r="DA175" s="228">
        <v>39.22</v>
      </c>
      <c r="DB175" s="228">
        <v>-3.15</v>
      </c>
      <c r="DC175" s="228">
        <v>-3.15</v>
      </c>
      <c r="DD175" s="228">
        <v>56.15</v>
      </c>
      <c r="DE175" s="228">
        <v>56.28</v>
      </c>
      <c r="DF175" s="228">
        <v>-20.079999999999998</v>
      </c>
      <c r="DG175" s="228">
        <v>-0.13</v>
      </c>
      <c r="DH175" s="228">
        <v>34.869999999999997</v>
      </c>
      <c r="DI175" s="228">
        <v>39.130000000000003</v>
      </c>
      <c r="DJ175" s="228">
        <v>-4.26</v>
      </c>
      <c r="DK175" s="228">
        <v>-4.26</v>
      </c>
      <c r="DL175" s="228">
        <v>38.33</v>
      </c>
      <c r="DM175" s="228">
        <v>39.44</v>
      </c>
      <c r="DN175" s="228">
        <v>-1.1100000000000001</v>
      </c>
      <c r="DO175" s="228">
        <v>-1.1100000000000001</v>
      </c>
      <c r="DP175" s="228">
        <v>0.73</v>
      </c>
      <c r="DQ175" s="228">
        <v>0.72</v>
      </c>
      <c r="DR175" s="228">
        <v>0.01</v>
      </c>
      <c r="DS175" s="229">
        <v>1.3899999999999999E-2</v>
      </c>
      <c r="DT175" s="228">
        <v>160</v>
      </c>
      <c r="DU175" s="228">
        <v>140</v>
      </c>
      <c r="DV175" s="228">
        <v>0.53</v>
      </c>
      <c r="DW175" s="228">
        <v>0.41</v>
      </c>
      <c r="DX175" s="228">
        <v>0.12</v>
      </c>
      <c r="DY175" s="229">
        <v>0.29270000000000002</v>
      </c>
      <c r="DZ175" s="229">
        <v>5.8799999999999998E-2</v>
      </c>
      <c r="EA175" s="230">
        <v>7292800</v>
      </c>
      <c r="EB175" s="229">
        <v>3.5000000000000001E-3</v>
      </c>
      <c r="EC175" s="229">
        <v>5.8799999999999998E-2</v>
      </c>
      <c r="ED175" s="228">
        <v>0.36</v>
      </c>
      <c r="EE175" s="229">
        <v>2.3999999999999998E-3</v>
      </c>
      <c r="EF175" s="230">
        <v>2864647</v>
      </c>
      <c r="EG175" s="230">
        <v>2400785</v>
      </c>
      <c r="EH175" s="229">
        <v>0.19320000000000001</v>
      </c>
      <c r="EI175" s="229">
        <v>0.43909999999999999</v>
      </c>
      <c r="EJ175" s="228">
        <v>550.94000000000005</v>
      </c>
      <c r="EK175" s="228">
        <v>266.83</v>
      </c>
      <c r="EL175" s="231">
        <v>1027.4000000000001</v>
      </c>
      <c r="EM175" s="231">
        <v>5932</v>
      </c>
      <c r="EN175" s="231">
        <v>1845.17</v>
      </c>
      <c r="EO175" s="231">
        <v>8189.08</v>
      </c>
      <c r="EP175" s="231">
        <v>-6343.91</v>
      </c>
      <c r="EQ175" s="229">
        <v>-0.77470000000000006</v>
      </c>
      <c r="ER175" s="231">
        <v>51329</v>
      </c>
      <c r="ES175" s="231">
        <v>34056</v>
      </c>
      <c r="ET175" s="231">
        <v>186429</v>
      </c>
      <c r="EU175" s="231">
        <v>122326971</v>
      </c>
      <c r="EV175" s="231">
        <v>271814</v>
      </c>
      <c r="EW175" s="231">
        <v>272698</v>
      </c>
      <c r="EX175" s="228">
        <v>-884</v>
      </c>
      <c r="EY175" s="229">
        <v>-3.2000000000000002E-3</v>
      </c>
      <c r="EZ175" s="229">
        <v>1.4722</v>
      </c>
      <c r="FA175" s="227" t="s">
        <v>556</v>
      </c>
      <c r="FB175" s="161">
        <f t="shared" si="4"/>
        <v>0</v>
      </c>
    </row>
    <row r="176" spans="1:158" ht="17.25" thickBot="1" x14ac:dyDescent="0.3">
      <c r="A176" s="226">
        <v>46029</v>
      </c>
      <c r="B176" s="227" t="s">
        <v>175</v>
      </c>
      <c r="C176" s="227" t="s">
        <v>536</v>
      </c>
      <c r="D176" s="228">
        <v>800</v>
      </c>
      <c r="E176" s="228">
        <v>886.9</v>
      </c>
      <c r="F176" s="228">
        <v>902.55</v>
      </c>
      <c r="G176" s="228">
        <v>-15.65</v>
      </c>
      <c r="H176" s="229">
        <v>-1.7299999999999999E-2</v>
      </c>
      <c r="I176" s="228">
        <v>885.6</v>
      </c>
      <c r="J176" s="228">
        <v>901.55</v>
      </c>
      <c r="K176" s="228">
        <v>-15.95</v>
      </c>
      <c r="L176" s="229">
        <v>-1.77E-2</v>
      </c>
      <c r="M176" s="228">
        <v>886.9</v>
      </c>
      <c r="N176" s="228">
        <v>902.55</v>
      </c>
      <c r="O176" s="228">
        <v>-15.65</v>
      </c>
      <c r="P176" s="229">
        <v>-1.7299999999999999E-2</v>
      </c>
      <c r="Q176" s="228">
        <v>884.35</v>
      </c>
      <c r="R176" s="228">
        <v>896.25</v>
      </c>
      <c r="S176" s="228">
        <v>-11.9</v>
      </c>
      <c r="T176" s="229">
        <v>-1.3299999999999999E-2</v>
      </c>
      <c r="U176" s="228">
        <v>882.85</v>
      </c>
      <c r="V176" s="228">
        <v>898.6</v>
      </c>
      <c r="W176" s="228">
        <v>-15.75</v>
      </c>
      <c r="X176" s="229">
        <v>-1.7500000000000002E-2</v>
      </c>
      <c r="Y176" s="228">
        <v>1.3</v>
      </c>
      <c r="Z176" s="228">
        <v>1</v>
      </c>
      <c r="AA176" s="228">
        <v>0.3</v>
      </c>
      <c r="AB176" s="229">
        <v>1.5E-3</v>
      </c>
      <c r="AC176" s="228">
        <v>1.3</v>
      </c>
      <c r="AD176" s="228">
        <v>1</v>
      </c>
      <c r="AE176" s="228">
        <v>0.3</v>
      </c>
      <c r="AF176" s="229">
        <v>1.5E-3</v>
      </c>
      <c r="AG176" s="228">
        <v>-1.25</v>
      </c>
      <c r="AH176" s="228">
        <v>-5.3</v>
      </c>
      <c r="AI176" s="228">
        <v>4.05</v>
      </c>
      <c r="AJ176" s="229">
        <v>-1.4E-3</v>
      </c>
      <c r="AK176" s="228">
        <v>-2.75</v>
      </c>
      <c r="AL176" s="228">
        <v>-2.95</v>
      </c>
      <c r="AM176" s="228">
        <v>0.2</v>
      </c>
      <c r="AN176" s="229">
        <v>-3.0999999999999999E-3</v>
      </c>
      <c r="AO176" s="228">
        <v>892.95</v>
      </c>
      <c r="AP176" s="228">
        <v>889.69</v>
      </c>
      <c r="AQ176" s="228">
        <v>0</v>
      </c>
      <c r="AR176" s="230">
        <v>2699200</v>
      </c>
      <c r="AS176" s="230">
        <v>6167200</v>
      </c>
      <c r="AT176" s="230">
        <v>-3468000</v>
      </c>
      <c r="AU176" s="229">
        <v>-0.56230000000000002</v>
      </c>
      <c r="AV176" s="230">
        <v>2437600</v>
      </c>
      <c r="AW176" s="230">
        <v>5838400</v>
      </c>
      <c r="AX176" s="230">
        <v>-3400800</v>
      </c>
      <c r="AY176" s="229">
        <v>-0.58250000000000002</v>
      </c>
      <c r="AZ176" s="230">
        <v>238400</v>
      </c>
      <c r="BA176" s="230">
        <v>291200</v>
      </c>
      <c r="BB176" s="230">
        <v>-52800</v>
      </c>
      <c r="BC176" s="229">
        <v>-0.18129999999999999</v>
      </c>
      <c r="BD176" s="230">
        <v>23200</v>
      </c>
      <c r="BE176" s="230">
        <v>37600</v>
      </c>
      <c r="BF176" s="230">
        <v>-14400</v>
      </c>
      <c r="BG176" s="229">
        <v>-0.38300000000000001</v>
      </c>
      <c r="BH176" s="230">
        <v>7166400</v>
      </c>
      <c r="BI176" s="230">
        <v>15193600</v>
      </c>
      <c r="BJ176" s="230">
        <v>-8027200</v>
      </c>
      <c r="BK176" s="229">
        <v>-0.52829999999999999</v>
      </c>
      <c r="BL176" s="230">
        <v>3470400</v>
      </c>
      <c r="BM176" s="230">
        <v>6010400</v>
      </c>
      <c r="BN176" s="230">
        <v>-2540000</v>
      </c>
      <c r="BO176" s="229">
        <v>-0.42259999999999998</v>
      </c>
      <c r="BP176" s="230">
        <v>13336000</v>
      </c>
      <c r="BQ176" s="230">
        <v>27371200</v>
      </c>
      <c r="BR176" s="230">
        <v>-14035200</v>
      </c>
      <c r="BS176" s="229">
        <v>-0.51280000000000003</v>
      </c>
      <c r="BT176" s="230">
        <v>888952</v>
      </c>
      <c r="BU176" s="230">
        <v>1772445</v>
      </c>
      <c r="BV176" s="230">
        <v>-883493</v>
      </c>
      <c r="BW176" s="229">
        <v>-0.4985</v>
      </c>
      <c r="BX176" s="230">
        <v>17044800</v>
      </c>
      <c r="BY176" s="230">
        <v>16503200</v>
      </c>
      <c r="BZ176" s="230">
        <v>541600</v>
      </c>
      <c r="CA176" s="229">
        <v>3.2800000000000003E-2</v>
      </c>
      <c r="CB176" s="230">
        <v>16380000</v>
      </c>
      <c r="CC176" s="230">
        <v>15882400</v>
      </c>
      <c r="CD176" s="230">
        <v>497600</v>
      </c>
      <c r="CE176" s="229">
        <v>3.1300000000000001E-2</v>
      </c>
      <c r="CF176" s="230">
        <v>572000</v>
      </c>
      <c r="CG176" s="230">
        <v>540800</v>
      </c>
      <c r="CH176" s="230">
        <v>31200</v>
      </c>
      <c r="CI176" s="229">
        <v>5.7700000000000001E-2</v>
      </c>
      <c r="CJ176" s="230">
        <v>92800</v>
      </c>
      <c r="CK176" s="230">
        <v>80000</v>
      </c>
      <c r="CL176" s="230">
        <v>12800</v>
      </c>
      <c r="CM176" s="229">
        <v>0.16</v>
      </c>
      <c r="CN176" s="230">
        <v>5376000</v>
      </c>
      <c r="CO176" s="230">
        <v>4684000</v>
      </c>
      <c r="CP176" s="230">
        <v>692000</v>
      </c>
      <c r="CQ176" s="229">
        <v>0.1477</v>
      </c>
      <c r="CR176" s="230">
        <v>3904800</v>
      </c>
      <c r="CS176" s="230">
        <v>3703200</v>
      </c>
      <c r="CT176" s="230">
        <v>201600</v>
      </c>
      <c r="CU176" s="229">
        <v>5.4399999999999997E-2</v>
      </c>
      <c r="CV176" s="230">
        <v>26325600</v>
      </c>
      <c r="CW176" s="230">
        <v>24890400</v>
      </c>
      <c r="CX176" s="230">
        <v>1435200</v>
      </c>
      <c r="CY176" s="229">
        <v>5.7700000000000001E-2</v>
      </c>
      <c r="CZ176" s="228">
        <v>28.51</v>
      </c>
      <c r="DA176" s="228">
        <v>28.11</v>
      </c>
      <c r="DB176" s="228">
        <v>0.4</v>
      </c>
      <c r="DC176" s="228">
        <v>0.4</v>
      </c>
      <c r="DD176" s="228">
        <v>29.37</v>
      </c>
      <c r="DE176" s="228">
        <v>29.34</v>
      </c>
      <c r="DF176" s="228">
        <v>-0.86</v>
      </c>
      <c r="DG176" s="228">
        <v>0.03</v>
      </c>
      <c r="DH176" s="228">
        <v>28.65</v>
      </c>
      <c r="DI176" s="228">
        <v>27.96</v>
      </c>
      <c r="DJ176" s="228">
        <v>0.69</v>
      </c>
      <c r="DK176" s="228">
        <v>0.69</v>
      </c>
      <c r="DL176" s="228">
        <v>28.21</v>
      </c>
      <c r="DM176" s="228">
        <v>28.48</v>
      </c>
      <c r="DN176" s="228">
        <v>-0.27</v>
      </c>
      <c r="DO176" s="228">
        <v>-0.27</v>
      </c>
      <c r="DP176" s="228">
        <v>0.73</v>
      </c>
      <c r="DQ176" s="228">
        <v>0.79</v>
      </c>
      <c r="DR176" s="228">
        <v>-0.06</v>
      </c>
      <c r="DS176" s="229">
        <v>-7.5899999999999995E-2</v>
      </c>
      <c r="DT176" s="228">
        <v>900</v>
      </c>
      <c r="DU176" s="228">
        <v>800</v>
      </c>
      <c r="DV176" s="228">
        <v>0.48</v>
      </c>
      <c r="DW176" s="228">
        <v>0.4</v>
      </c>
      <c r="DX176" s="228">
        <v>0.08</v>
      </c>
      <c r="DY176" s="229">
        <v>0.2</v>
      </c>
      <c r="DZ176" s="229">
        <v>3.9E-2</v>
      </c>
      <c r="EA176" s="230">
        <v>620800</v>
      </c>
      <c r="EB176" s="229">
        <v>-2.8999999999999998E-3</v>
      </c>
      <c r="EC176" s="229">
        <v>3.9E-2</v>
      </c>
      <c r="ED176" s="228">
        <v>-3.26</v>
      </c>
      <c r="EE176" s="229">
        <v>-3.7000000000000002E-3</v>
      </c>
      <c r="EF176" s="230">
        <v>270327</v>
      </c>
      <c r="EG176" s="230">
        <v>747413</v>
      </c>
      <c r="EH176" s="229">
        <v>-0.63829999999999998</v>
      </c>
      <c r="EI176" s="229">
        <v>0.30409999999999998</v>
      </c>
      <c r="EJ176" s="231">
        <v>67501.279999999999</v>
      </c>
      <c r="EK176" s="231">
        <v>29716.18</v>
      </c>
      <c r="EL176" s="231">
        <v>24093.31</v>
      </c>
      <c r="EM176" s="231">
        <v>4235</v>
      </c>
      <c r="EN176" s="231">
        <v>121310.77</v>
      </c>
      <c r="EO176" s="231">
        <v>248846.04</v>
      </c>
      <c r="EP176" s="231">
        <v>-127535.27</v>
      </c>
      <c r="EQ176" s="229">
        <v>-0.51249999999999996</v>
      </c>
      <c r="ER176" s="231">
        <v>50111</v>
      </c>
      <c r="ES176" s="231">
        <v>32330</v>
      </c>
      <c r="ET176" s="231">
        <v>151152</v>
      </c>
      <c r="EU176" s="231">
        <v>44836888</v>
      </c>
      <c r="EV176" s="231">
        <v>233593</v>
      </c>
      <c r="EW176" s="231">
        <v>223168</v>
      </c>
      <c r="EX176" s="231">
        <v>10425</v>
      </c>
      <c r="EY176" s="229">
        <v>4.6699999999999998E-2</v>
      </c>
      <c r="EZ176" s="229">
        <v>0.58709999999999996</v>
      </c>
      <c r="FA176" s="227" t="s">
        <v>567</v>
      </c>
      <c r="FB176" s="161">
        <f t="shared" si="4"/>
        <v>0</v>
      </c>
    </row>
    <row r="177" spans="1:158" ht="17.25" thickBot="1" x14ac:dyDescent="0.3">
      <c r="A177" s="226">
        <v>46029</v>
      </c>
      <c r="B177" s="227" t="s">
        <v>175</v>
      </c>
      <c r="C177" s="227" t="s">
        <v>462</v>
      </c>
      <c r="D177" s="228">
        <v>375</v>
      </c>
      <c r="E177" s="231">
        <v>2079.1999999999998</v>
      </c>
      <c r="F177" s="231">
        <v>2101.1</v>
      </c>
      <c r="G177" s="228">
        <v>-21.9</v>
      </c>
      <c r="H177" s="229">
        <v>-1.04E-2</v>
      </c>
      <c r="I177" s="231">
        <v>2070.8000000000002</v>
      </c>
      <c r="J177" s="231">
        <v>2095.8000000000002</v>
      </c>
      <c r="K177" s="228">
        <v>-25</v>
      </c>
      <c r="L177" s="229">
        <v>-1.1900000000000001E-2</v>
      </c>
      <c r="M177" s="231">
        <v>2079.1999999999998</v>
      </c>
      <c r="N177" s="231">
        <v>2101.1</v>
      </c>
      <c r="O177" s="228">
        <v>-21.9</v>
      </c>
      <c r="P177" s="229">
        <v>-1.04E-2</v>
      </c>
      <c r="Q177" s="231">
        <v>2089.1999999999998</v>
      </c>
      <c r="R177" s="231">
        <v>2111.5</v>
      </c>
      <c r="S177" s="228">
        <v>-22.3</v>
      </c>
      <c r="T177" s="229">
        <v>-1.06E-2</v>
      </c>
      <c r="U177" s="231">
        <v>2105.1</v>
      </c>
      <c r="V177" s="231">
        <v>2122</v>
      </c>
      <c r="W177" s="228">
        <v>-16.899999999999999</v>
      </c>
      <c r="X177" s="229">
        <v>-8.0000000000000002E-3</v>
      </c>
      <c r="Y177" s="228">
        <v>8.4</v>
      </c>
      <c r="Z177" s="228">
        <v>5.3</v>
      </c>
      <c r="AA177" s="228">
        <v>3.1</v>
      </c>
      <c r="AB177" s="229">
        <v>4.1000000000000003E-3</v>
      </c>
      <c r="AC177" s="228">
        <v>8.4</v>
      </c>
      <c r="AD177" s="228">
        <v>5.3</v>
      </c>
      <c r="AE177" s="228">
        <v>3.1</v>
      </c>
      <c r="AF177" s="229">
        <v>4.1000000000000003E-3</v>
      </c>
      <c r="AG177" s="228">
        <v>18.399999999999999</v>
      </c>
      <c r="AH177" s="228">
        <v>15.7</v>
      </c>
      <c r="AI177" s="228">
        <v>2.7</v>
      </c>
      <c r="AJ177" s="229">
        <v>8.8999999999999999E-3</v>
      </c>
      <c r="AK177" s="228">
        <v>34.299999999999997</v>
      </c>
      <c r="AL177" s="228">
        <v>26.2</v>
      </c>
      <c r="AM177" s="228">
        <v>8.1</v>
      </c>
      <c r="AN177" s="229">
        <v>1.66E-2</v>
      </c>
      <c r="AO177" s="231">
        <v>2095.4499999999998</v>
      </c>
      <c r="AP177" s="231">
        <v>2106.23</v>
      </c>
      <c r="AQ177" s="228">
        <v>0</v>
      </c>
      <c r="AR177" s="230">
        <v>1576500</v>
      </c>
      <c r="AS177" s="230">
        <v>1012500</v>
      </c>
      <c r="AT177" s="230">
        <v>564000</v>
      </c>
      <c r="AU177" s="229">
        <v>0.55700000000000005</v>
      </c>
      <c r="AV177" s="230">
        <v>1537500</v>
      </c>
      <c r="AW177" s="230">
        <v>972750</v>
      </c>
      <c r="AX177" s="230">
        <v>564750</v>
      </c>
      <c r="AY177" s="229">
        <v>0.5806</v>
      </c>
      <c r="AZ177" s="230">
        <v>36375</v>
      </c>
      <c r="BA177" s="230">
        <v>34500</v>
      </c>
      <c r="BB177" s="230">
        <v>1875</v>
      </c>
      <c r="BC177" s="229">
        <v>5.4300000000000001E-2</v>
      </c>
      <c r="BD177" s="230">
        <v>2625</v>
      </c>
      <c r="BE177" s="230">
        <v>5250</v>
      </c>
      <c r="BF177" s="230">
        <v>-2625</v>
      </c>
      <c r="BG177" s="229">
        <v>-0.5</v>
      </c>
      <c r="BH177" s="230">
        <v>5925000</v>
      </c>
      <c r="BI177" s="230">
        <v>5011500</v>
      </c>
      <c r="BJ177" s="230">
        <v>913500</v>
      </c>
      <c r="BK177" s="229">
        <v>0.18229999999999999</v>
      </c>
      <c r="BL177" s="230">
        <v>2189625</v>
      </c>
      <c r="BM177" s="230">
        <v>1797000</v>
      </c>
      <c r="BN177" s="230">
        <v>392625</v>
      </c>
      <c r="BO177" s="229">
        <v>0.2185</v>
      </c>
      <c r="BP177" s="230">
        <v>9691125</v>
      </c>
      <c r="BQ177" s="230">
        <v>7821000</v>
      </c>
      <c r="BR177" s="230">
        <v>1870125</v>
      </c>
      <c r="BS177" s="229">
        <v>0.23910000000000001</v>
      </c>
      <c r="BT177" s="230">
        <v>1674889</v>
      </c>
      <c r="BU177" s="230">
        <v>750738</v>
      </c>
      <c r="BV177" s="230">
        <v>924151</v>
      </c>
      <c r="BW177" s="229">
        <v>1.2310000000000001</v>
      </c>
      <c r="BX177" s="230">
        <v>9090000</v>
      </c>
      <c r="BY177" s="230">
        <v>8666625</v>
      </c>
      <c r="BZ177" s="230">
        <v>423375</v>
      </c>
      <c r="CA177" s="229">
        <v>4.8899999999999999E-2</v>
      </c>
      <c r="CB177" s="230">
        <v>8934375</v>
      </c>
      <c r="CC177" s="230">
        <v>8516250</v>
      </c>
      <c r="CD177" s="230">
        <v>418125</v>
      </c>
      <c r="CE177" s="229">
        <v>4.9099999999999998E-2</v>
      </c>
      <c r="CF177" s="230">
        <v>141000</v>
      </c>
      <c r="CG177" s="230">
        <v>136500</v>
      </c>
      <c r="CH177" s="230">
        <v>4500</v>
      </c>
      <c r="CI177" s="229">
        <v>3.3000000000000002E-2</v>
      </c>
      <c r="CJ177" s="230">
        <v>14625</v>
      </c>
      <c r="CK177" s="230">
        <v>13875</v>
      </c>
      <c r="CL177" s="228">
        <v>750</v>
      </c>
      <c r="CM177" s="229">
        <v>5.4100000000000002E-2</v>
      </c>
      <c r="CN177" s="230">
        <v>6115500</v>
      </c>
      <c r="CO177" s="230">
        <v>4653375</v>
      </c>
      <c r="CP177" s="230">
        <v>1462125</v>
      </c>
      <c r="CQ177" s="229">
        <v>0.31419999999999998</v>
      </c>
      <c r="CR177" s="230">
        <v>2238000</v>
      </c>
      <c r="CS177" s="230">
        <v>2132250</v>
      </c>
      <c r="CT177" s="230">
        <v>105750</v>
      </c>
      <c r="CU177" s="229">
        <v>4.9599999999999998E-2</v>
      </c>
      <c r="CV177" s="230">
        <v>17443500</v>
      </c>
      <c r="CW177" s="230">
        <v>15452250</v>
      </c>
      <c r="CX177" s="230">
        <v>1991250</v>
      </c>
      <c r="CY177" s="229">
        <v>0.12889999999999999</v>
      </c>
      <c r="CZ177" s="228">
        <v>17.32</v>
      </c>
      <c r="DA177" s="228">
        <v>17.3</v>
      </c>
      <c r="DB177" s="228">
        <v>0.02</v>
      </c>
      <c r="DC177" s="228">
        <v>0.02</v>
      </c>
      <c r="DD177" s="228">
        <v>23.9</v>
      </c>
      <c r="DE177" s="228">
        <v>23.91</v>
      </c>
      <c r="DF177" s="228">
        <v>-6.58</v>
      </c>
      <c r="DG177" s="228">
        <v>-0.01</v>
      </c>
      <c r="DH177" s="228">
        <v>17.05</v>
      </c>
      <c r="DI177" s="228">
        <v>16.77</v>
      </c>
      <c r="DJ177" s="228">
        <v>0.28000000000000003</v>
      </c>
      <c r="DK177" s="228">
        <v>0.28000000000000003</v>
      </c>
      <c r="DL177" s="228">
        <v>18.04</v>
      </c>
      <c r="DM177" s="228">
        <v>18.78</v>
      </c>
      <c r="DN177" s="228">
        <v>-0.74</v>
      </c>
      <c r="DO177" s="228">
        <v>-0.74</v>
      </c>
      <c r="DP177" s="228">
        <v>0.37</v>
      </c>
      <c r="DQ177" s="228">
        <v>0.46</v>
      </c>
      <c r="DR177" s="228">
        <v>-0.09</v>
      </c>
      <c r="DS177" s="229">
        <v>-0.19570000000000001</v>
      </c>
      <c r="DT177" s="231">
        <v>2140</v>
      </c>
      <c r="DU177" s="231">
        <v>2100</v>
      </c>
      <c r="DV177" s="228">
        <v>0.37</v>
      </c>
      <c r="DW177" s="228">
        <v>0.36</v>
      </c>
      <c r="DX177" s="228">
        <v>0.01</v>
      </c>
      <c r="DY177" s="229">
        <v>2.7799999999999998E-2</v>
      </c>
      <c r="DZ177" s="229">
        <v>1.7100000000000001E-2</v>
      </c>
      <c r="EA177" s="230">
        <v>150375</v>
      </c>
      <c r="EB177" s="229">
        <v>4.7999999999999996E-3</v>
      </c>
      <c r="EC177" s="229">
        <v>1.7100000000000001E-2</v>
      </c>
      <c r="ED177" s="228">
        <v>10.78</v>
      </c>
      <c r="EE177" s="229">
        <v>5.1000000000000004E-3</v>
      </c>
      <c r="EF177" s="230">
        <v>1354120</v>
      </c>
      <c r="EG177" s="230">
        <v>524073</v>
      </c>
      <c r="EH177" s="229">
        <v>1.5838000000000001</v>
      </c>
      <c r="EI177" s="229">
        <v>0.8085</v>
      </c>
      <c r="EJ177" s="231">
        <v>128047.6</v>
      </c>
      <c r="EK177" s="231">
        <v>45560.52</v>
      </c>
      <c r="EL177" s="231">
        <v>33039.32</v>
      </c>
      <c r="EM177" s="231">
        <v>2277</v>
      </c>
      <c r="EN177" s="231">
        <v>206647.44</v>
      </c>
      <c r="EO177" s="231">
        <v>167029.93</v>
      </c>
      <c r="EP177" s="231">
        <v>39617.51</v>
      </c>
      <c r="EQ177" s="229">
        <v>0.23719999999999999</v>
      </c>
      <c r="ER177" s="231">
        <v>130711</v>
      </c>
      <c r="ES177" s="231">
        <v>44954</v>
      </c>
      <c r="ET177" s="231">
        <v>189017</v>
      </c>
      <c r="EU177" s="231">
        <v>44756800</v>
      </c>
      <c r="EV177" s="231">
        <v>364682</v>
      </c>
      <c r="EW177" s="231">
        <v>324231</v>
      </c>
      <c r="EX177" s="231">
        <v>40451</v>
      </c>
      <c r="EY177" s="229">
        <v>0.12479999999999999</v>
      </c>
      <c r="EZ177" s="229">
        <v>0.38969999999999999</v>
      </c>
      <c r="FA177" s="227" t="s">
        <v>567</v>
      </c>
      <c r="FB177" s="161">
        <f t="shared" si="4"/>
        <v>0</v>
      </c>
    </row>
    <row r="178" spans="1:158" ht="17.25" thickBot="1" x14ac:dyDescent="0.3">
      <c r="A178" s="226">
        <v>46029</v>
      </c>
      <c r="B178" s="227" t="s">
        <v>172</v>
      </c>
      <c r="C178" s="227" t="s">
        <v>283</v>
      </c>
      <c r="D178" s="228">
        <v>750</v>
      </c>
      <c r="E178" s="231">
        <v>1009.25</v>
      </c>
      <c r="F178" s="231">
        <v>1021.2</v>
      </c>
      <c r="G178" s="228">
        <v>-11.95</v>
      </c>
      <c r="H178" s="229">
        <v>-1.17E-2</v>
      </c>
      <c r="I178" s="231">
        <v>1007.15</v>
      </c>
      <c r="J178" s="231">
        <v>1018.9</v>
      </c>
      <c r="K178" s="228">
        <v>-11.75</v>
      </c>
      <c r="L178" s="229">
        <v>-1.15E-2</v>
      </c>
      <c r="M178" s="231">
        <v>1009.25</v>
      </c>
      <c r="N178" s="231">
        <v>1021.2</v>
      </c>
      <c r="O178" s="228">
        <v>-11.95</v>
      </c>
      <c r="P178" s="229">
        <v>-1.17E-2</v>
      </c>
      <c r="Q178" s="231">
        <v>1015.1</v>
      </c>
      <c r="R178" s="231">
        <v>1026.9000000000001</v>
      </c>
      <c r="S178" s="228">
        <v>-11.8</v>
      </c>
      <c r="T178" s="229">
        <v>-1.15E-2</v>
      </c>
      <c r="U178" s="231">
        <v>1021.4</v>
      </c>
      <c r="V178" s="231">
        <v>1033.1500000000001</v>
      </c>
      <c r="W178" s="228">
        <v>-11.75</v>
      </c>
      <c r="X178" s="229">
        <v>-1.14E-2</v>
      </c>
      <c r="Y178" s="228">
        <v>2.1</v>
      </c>
      <c r="Z178" s="228">
        <v>2.2999999999999998</v>
      </c>
      <c r="AA178" s="228">
        <v>-0.2</v>
      </c>
      <c r="AB178" s="229">
        <v>2.0999999999999999E-3</v>
      </c>
      <c r="AC178" s="228">
        <v>2.1</v>
      </c>
      <c r="AD178" s="228">
        <v>2.2999999999999998</v>
      </c>
      <c r="AE178" s="228">
        <v>-0.2</v>
      </c>
      <c r="AF178" s="229">
        <v>2.0999999999999999E-3</v>
      </c>
      <c r="AG178" s="228">
        <v>7.95</v>
      </c>
      <c r="AH178" s="228">
        <v>8</v>
      </c>
      <c r="AI178" s="228">
        <v>-0.05</v>
      </c>
      <c r="AJ178" s="229">
        <v>7.9000000000000008E-3</v>
      </c>
      <c r="AK178" s="228">
        <v>14.25</v>
      </c>
      <c r="AL178" s="228">
        <v>14.25</v>
      </c>
      <c r="AM178" s="228">
        <v>0</v>
      </c>
      <c r="AN178" s="229">
        <v>1.41E-2</v>
      </c>
      <c r="AO178" s="231">
        <v>1011.96</v>
      </c>
      <c r="AP178" s="231">
        <v>1018.04</v>
      </c>
      <c r="AQ178" s="228">
        <v>0</v>
      </c>
      <c r="AR178" s="230">
        <v>14262750</v>
      </c>
      <c r="AS178" s="230">
        <v>15252000</v>
      </c>
      <c r="AT178" s="230">
        <v>-989250</v>
      </c>
      <c r="AU178" s="229">
        <v>-6.4899999999999999E-2</v>
      </c>
      <c r="AV178" s="230">
        <v>13527000</v>
      </c>
      <c r="AW178" s="230">
        <v>14155500</v>
      </c>
      <c r="AX178" s="230">
        <v>-628500</v>
      </c>
      <c r="AY178" s="229">
        <v>-4.4400000000000002E-2</v>
      </c>
      <c r="AZ178" s="230">
        <v>635250</v>
      </c>
      <c r="BA178" s="230">
        <v>938250</v>
      </c>
      <c r="BB178" s="230">
        <v>-303000</v>
      </c>
      <c r="BC178" s="229">
        <v>-0.32290000000000002</v>
      </c>
      <c r="BD178" s="230">
        <v>100500</v>
      </c>
      <c r="BE178" s="230">
        <v>158250</v>
      </c>
      <c r="BF178" s="230">
        <v>-57750</v>
      </c>
      <c r="BG178" s="229">
        <v>-0.3649</v>
      </c>
      <c r="BH178" s="230">
        <v>65037750</v>
      </c>
      <c r="BI178" s="230">
        <v>97500750</v>
      </c>
      <c r="BJ178" s="230">
        <v>-32463000</v>
      </c>
      <c r="BK178" s="229">
        <v>-0.33300000000000002</v>
      </c>
      <c r="BL178" s="230">
        <v>50238750</v>
      </c>
      <c r="BM178" s="230">
        <v>57042000</v>
      </c>
      <c r="BN178" s="230">
        <v>-6803250</v>
      </c>
      <c r="BO178" s="229">
        <v>-0.1193</v>
      </c>
      <c r="BP178" s="230">
        <v>129539250</v>
      </c>
      <c r="BQ178" s="230">
        <v>169794750</v>
      </c>
      <c r="BR178" s="230">
        <v>-40255500</v>
      </c>
      <c r="BS178" s="229">
        <v>-0.23710000000000001</v>
      </c>
      <c r="BT178" s="230">
        <v>8419411</v>
      </c>
      <c r="BU178" s="230">
        <v>10271764</v>
      </c>
      <c r="BV178" s="230">
        <v>-1852353</v>
      </c>
      <c r="BW178" s="229">
        <v>-0.18029999999999999</v>
      </c>
      <c r="BX178" s="230">
        <v>74757000</v>
      </c>
      <c r="BY178" s="230">
        <v>77455500</v>
      </c>
      <c r="BZ178" s="230">
        <v>-2698500</v>
      </c>
      <c r="CA178" s="229">
        <v>-3.4799999999999998E-2</v>
      </c>
      <c r="CB178" s="230">
        <v>72723750</v>
      </c>
      <c r="CC178" s="230">
        <v>75516750</v>
      </c>
      <c r="CD178" s="230">
        <v>-2793000</v>
      </c>
      <c r="CE178" s="229">
        <v>-3.6999999999999998E-2</v>
      </c>
      <c r="CF178" s="230">
        <v>1795500</v>
      </c>
      <c r="CG178" s="230">
        <v>1731000</v>
      </c>
      <c r="CH178" s="230">
        <v>64500</v>
      </c>
      <c r="CI178" s="229">
        <v>3.73E-2</v>
      </c>
      <c r="CJ178" s="230">
        <v>237750</v>
      </c>
      <c r="CK178" s="230">
        <v>207750</v>
      </c>
      <c r="CL178" s="230">
        <v>30000</v>
      </c>
      <c r="CM178" s="229">
        <v>0.1444</v>
      </c>
      <c r="CN178" s="230">
        <v>38625750</v>
      </c>
      <c r="CO178" s="230">
        <v>36012750</v>
      </c>
      <c r="CP178" s="230">
        <v>2613000</v>
      </c>
      <c r="CQ178" s="229">
        <v>7.2599999999999998E-2</v>
      </c>
      <c r="CR178" s="230">
        <v>26541750</v>
      </c>
      <c r="CS178" s="230">
        <v>31137000</v>
      </c>
      <c r="CT178" s="230">
        <v>-4595250</v>
      </c>
      <c r="CU178" s="229">
        <v>-0.14760000000000001</v>
      </c>
      <c r="CV178" s="230">
        <v>139924500</v>
      </c>
      <c r="CW178" s="230">
        <v>144605250</v>
      </c>
      <c r="CX178" s="230">
        <v>-4680750</v>
      </c>
      <c r="CY178" s="229">
        <v>-3.2399999999999998E-2</v>
      </c>
      <c r="CZ178" s="228">
        <v>16.54</v>
      </c>
      <c r="DA178" s="228">
        <v>16.670000000000002</v>
      </c>
      <c r="DB178" s="228">
        <v>-0.13</v>
      </c>
      <c r="DC178" s="228">
        <v>-0.13</v>
      </c>
      <c r="DD178" s="228">
        <v>24.26</v>
      </c>
      <c r="DE178" s="228">
        <v>24.27</v>
      </c>
      <c r="DF178" s="228">
        <v>-7.72</v>
      </c>
      <c r="DG178" s="228">
        <v>-0.01</v>
      </c>
      <c r="DH178" s="228">
        <v>16.45</v>
      </c>
      <c r="DI178" s="228">
        <v>16.23</v>
      </c>
      <c r="DJ178" s="228">
        <v>0.22</v>
      </c>
      <c r="DK178" s="228">
        <v>0.22</v>
      </c>
      <c r="DL178" s="228">
        <v>16.66</v>
      </c>
      <c r="DM178" s="228">
        <v>17.420000000000002</v>
      </c>
      <c r="DN178" s="228">
        <v>-0.76</v>
      </c>
      <c r="DO178" s="228">
        <v>-0.76</v>
      </c>
      <c r="DP178" s="228">
        <v>0.69</v>
      </c>
      <c r="DQ178" s="228">
        <v>0.86</v>
      </c>
      <c r="DR178" s="228">
        <v>-0.17</v>
      </c>
      <c r="DS178" s="229">
        <v>-0.19769999999999999</v>
      </c>
      <c r="DT178" s="231">
        <v>1050</v>
      </c>
      <c r="DU178" s="228">
        <v>980</v>
      </c>
      <c r="DV178" s="228">
        <v>0.77</v>
      </c>
      <c r="DW178" s="228">
        <v>0.59</v>
      </c>
      <c r="DX178" s="228">
        <v>0.18</v>
      </c>
      <c r="DY178" s="229">
        <v>0.30509999999999998</v>
      </c>
      <c r="DZ178" s="229">
        <v>2.7199999999999998E-2</v>
      </c>
      <c r="EA178" s="230">
        <v>1938750</v>
      </c>
      <c r="EB178" s="229">
        <v>5.7999999999999996E-3</v>
      </c>
      <c r="EC178" s="229">
        <v>2.7199999999999998E-2</v>
      </c>
      <c r="ED178" s="228">
        <v>6.08</v>
      </c>
      <c r="EE178" s="229">
        <v>6.0000000000000001E-3</v>
      </c>
      <c r="EF178" s="230">
        <v>5215139</v>
      </c>
      <c r="EG178" s="230">
        <v>6191106</v>
      </c>
      <c r="EH178" s="229">
        <v>-0.15759999999999999</v>
      </c>
      <c r="EI178" s="229">
        <v>0.61939999999999995</v>
      </c>
      <c r="EJ178" s="231">
        <v>677407.25</v>
      </c>
      <c r="EK178" s="231">
        <v>506292.4</v>
      </c>
      <c r="EL178" s="231">
        <v>144385.47</v>
      </c>
      <c r="EM178" s="231">
        <v>17847</v>
      </c>
      <c r="EN178" s="231">
        <v>1328085.1200000001</v>
      </c>
      <c r="EO178" s="231">
        <v>1753394.62</v>
      </c>
      <c r="EP178" s="231">
        <v>-425309.5</v>
      </c>
      <c r="EQ178" s="229">
        <v>-0.24260000000000001</v>
      </c>
      <c r="ER178" s="231">
        <v>396892</v>
      </c>
      <c r="ES178" s="231">
        <v>257340</v>
      </c>
      <c r="ET178" s="231">
        <v>754619</v>
      </c>
      <c r="EU178" s="231">
        <v>436949195</v>
      </c>
      <c r="EV178" s="231">
        <v>1408851</v>
      </c>
      <c r="EW178" s="231">
        <v>1463992</v>
      </c>
      <c r="EX178" s="231">
        <v>-55141</v>
      </c>
      <c r="EY178" s="229">
        <v>-3.7699999999999997E-2</v>
      </c>
      <c r="EZ178" s="229">
        <v>0.32019999999999998</v>
      </c>
      <c r="FA178" s="227" t="s">
        <v>568</v>
      </c>
      <c r="FB178" s="161">
        <f t="shared" si="4"/>
        <v>0</v>
      </c>
    </row>
    <row r="179" spans="1:158" ht="17.25" thickBot="1" x14ac:dyDescent="0.3">
      <c r="A179" s="226">
        <v>46029</v>
      </c>
      <c r="B179" s="227" t="s">
        <v>157</v>
      </c>
      <c r="C179" s="227" t="s">
        <v>284</v>
      </c>
      <c r="D179" s="228">
        <v>25</v>
      </c>
      <c r="E179" s="231">
        <v>27455</v>
      </c>
      <c r="F179" s="231">
        <v>27695</v>
      </c>
      <c r="G179" s="228">
        <v>-240</v>
      </c>
      <c r="H179" s="229">
        <v>-8.6999999999999994E-3</v>
      </c>
      <c r="I179" s="231">
        <v>27320</v>
      </c>
      <c r="J179" s="231">
        <v>27670</v>
      </c>
      <c r="K179" s="228">
        <v>-350</v>
      </c>
      <c r="L179" s="229">
        <v>-1.26E-2</v>
      </c>
      <c r="M179" s="231">
        <v>27455</v>
      </c>
      <c r="N179" s="231">
        <v>27695</v>
      </c>
      <c r="O179" s="228">
        <v>-240</v>
      </c>
      <c r="P179" s="229">
        <v>-8.6999999999999994E-3</v>
      </c>
      <c r="Q179" s="231">
        <v>27475</v>
      </c>
      <c r="R179" s="231">
        <v>27765</v>
      </c>
      <c r="S179" s="228">
        <v>-290</v>
      </c>
      <c r="T179" s="229">
        <v>-1.04E-2</v>
      </c>
      <c r="U179" s="231">
        <v>27590</v>
      </c>
      <c r="V179" s="231">
        <v>28100</v>
      </c>
      <c r="W179" s="228">
        <v>-510</v>
      </c>
      <c r="X179" s="229">
        <v>-1.8100000000000002E-2</v>
      </c>
      <c r="Y179" s="228">
        <v>135</v>
      </c>
      <c r="Z179" s="228">
        <v>25</v>
      </c>
      <c r="AA179" s="228">
        <v>110</v>
      </c>
      <c r="AB179" s="229">
        <v>4.8999999999999998E-3</v>
      </c>
      <c r="AC179" s="228">
        <v>135</v>
      </c>
      <c r="AD179" s="228">
        <v>25</v>
      </c>
      <c r="AE179" s="228">
        <v>110</v>
      </c>
      <c r="AF179" s="229">
        <v>4.8999999999999998E-3</v>
      </c>
      <c r="AG179" s="228">
        <v>155</v>
      </c>
      <c r="AH179" s="228">
        <v>95</v>
      </c>
      <c r="AI179" s="228">
        <v>60</v>
      </c>
      <c r="AJ179" s="229">
        <v>5.7000000000000002E-3</v>
      </c>
      <c r="AK179" s="228">
        <v>270</v>
      </c>
      <c r="AL179" s="228">
        <v>430</v>
      </c>
      <c r="AM179" s="228">
        <v>-160</v>
      </c>
      <c r="AN179" s="229">
        <v>9.9000000000000008E-3</v>
      </c>
      <c r="AO179" s="231">
        <v>27422.880000000001</v>
      </c>
      <c r="AP179" s="231">
        <v>27471.43</v>
      </c>
      <c r="AQ179" s="228">
        <v>0</v>
      </c>
      <c r="AR179" s="230">
        <v>33175</v>
      </c>
      <c r="AS179" s="230">
        <v>93800</v>
      </c>
      <c r="AT179" s="230">
        <v>-60625</v>
      </c>
      <c r="AU179" s="229">
        <v>-0.64629999999999999</v>
      </c>
      <c r="AV179" s="230">
        <v>32425</v>
      </c>
      <c r="AW179" s="230">
        <v>92200</v>
      </c>
      <c r="AX179" s="230">
        <v>-59775</v>
      </c>
      <c r="AY179" s="229">
        <v>-0.64829999999999999</v>
      </c>
      <c r="AZ179" s="228">
        <v>700</v>
      </c>
      <c r="BA179" s="230">
        <v>1525</v>
      </c>
      <c r="BB179" s="228">
        <v>-825</v>
      </c>
      <c r="BC179" s="229">
        <v>-0.54100000000000004</v>
      </c>
      <c r="BD179" s="228">
        <v>50</v>
      </c>
      <c r="BE179" s="228">
        <v>75</v>
      </c>
      <c r="BF179" s="228">
        <v>-25</v>
      </c>
      <c r="BG179" s="229">
        <v>-0.33329999999999999</v>
      </c>
      <c r="BH179" s="230">
        <v>48725</v>
      </c>
      <c r="BI179" s="230">
        <v>221125</v>
      </c>
      <c r="BJ179" s="230">
        <v>-172400</v>
      </c>
      <c r="BK179" s="229">
        <v>-0.77959999999999996</v>
      </c>
      <c r="BL179" s="230">
        <v>37275</v>
      </c>
      <c r="BM179" s="230">
        <v>94125</v>
      </c>
      <c r="BN179" s="230">
        <v>-56850</v>
      </c>
      <c r="BO179" s="229">
        <v>-0.60399999999999998</v>
      </c>
      <c r="BP179" s="230">
        <v>119175</v>
      </c>
      <c r="BQ179" s="230">
        <v>409050</v>
      </c>
      <c r="BR179" s="230">
        <v>-289875</v>
      </c>
      <c r="BS179" s="229">
        <v>-0.7087</v>
      </c>
      <c r="BT179" s="230">
        <v>23144</v>
      </c>
      <c r="BU179" s="230">
        <v>55114</v>
      </c>
      <c r="BV179" s="230">
        <v>-31970</v>
      </c>
      <c r="BW179" s="229">
        <v>-0.58009999999999995</v>
      </c>
      <c r="BX179" s="230">
        <v>271425</v>
      </c>
      <c r="BY179" s="230">
        <v>273175</v>
      </c>
      <c r="BZ179" s="230">
        <v>-1750</v>
      </c>
      <c r="CA179" s="229">
        <v>-6.4000000000000003E-3</v>
      </c>
      <c r="CB179" s="230">
        <v>267775</v>
      </c>
      <c r="CC179" s="230">
        <v>269625</v>
      </c>
      <c r="CD179" s="230">
        <v>-1850</v>
      </c>
      <c r="CE179" s="229">
        <v>-6.8999999999999999E-3</v>
      </c>
      <c r="CF179" s="230">
        <v>3425</v>
      </c>
      <c r="CG179" s="230">
        <v>3375</v>
      </c>
      <c r="CH179" s="228">
        <v>50</v>
      </c>
      <c r="CI179" s="229">
        <v>1.4800000000000001E-2</v>
      </c>
      <c r="CJ179" s="228">
        <v>225</v>
      </c>
      <c r="CK179" s="228">
        <v>175</v>
      </c>
      <c r="CL179" s="228">
        <v>50</v>
      </c>
      <c r="CM179" s="229">
        <v>0.28570000000000001</v>
      </c>
      <c r="CN179" s="230">
        <v>73275</v>
      </c>
      <c r="CO179" s="230">
        <v>69850</v>
      </c>
      <c r="CP179" s="230">
        <v>3425</v>
      </c>
      <c r="CQ179" s="229">
        <v>4.9000000000000002E-2</v>
      </c>
      <c r="CR179" s="230">
        <v>50225</v>
      </c>
      <c r="CS179" s="230">
        <v>49275</v>
      </c>
      <c r="CT179" s="228">
        <v>950</v>
      </c>
      <c r="CU179" s="229">
        <v>1.9300000000000001E-2</v>
      </c>
      <c r="CV179" s="230">
        <v>394925</v>
      </c>
      <c r="CW179" s="230">
        <v>392300</v>
      </c>
      <c r="CX179" s="230">
        <v>2625</v>
      </c>
      <c r="CY179" s="229">
        <v>6.7000000000000002E-3</v>
      </c>
      <c r="CZ179" s="228">
        <v>20.64</v>
      </c>
      <c r="DA179" s="228">
        <v>20.81</v>
      </c>
      <c r="DB179" s="228">
        <v>-0.17</v>
      </c>
      <c r="DC179" s="228">
        <v>-0.17</v>
      </c>
      <c r="DD179" s="228">
        <v>24.34</v>
      </c>
      <c r="DE179" s="228">
        <v>24.37</v>
      </c>
      <c r="DF179" s="228">
        <v>-3.7</v>
      </c>
      <c r="DG179" s="228">
        <v>-0.03</v>
      </c>
      <c r="DH179" s="228">
        <v>20.99</v>
      </c>
      <c r="DI179" s="228">
        <v>20.84</v>
      </c>
      <c r="DJ179" s="228">
        <v>0.15</v>
      </c>
      <c r="DK179" s="228">
        <v>0.15</v>
      </c>
      <c r="DL179" s="228">
        <v>20.18</v>
      </c>
      <c r="DM179" s="228">
        <v>20.74</v>
      </c>
      <c r="DN179" s="228">
        <v>-0.56000000000000005</v>
      </c>
      <c r="DO179" s="228">
        <v>-0.56000000000000005</v>
      </c>
      <c r="DP179" s="228">
        <v>0.69</v>
      </c>
      <c r="DQ179" s="228">
        <v>0.71</v>
      </c>
      <c r="DR179" s="228">
        <v>-0.02</v>
      </c>
      <c r="DS179" s="229">
        <v>-2.8199999999999999E-2</v>
      </c>
      <c r="DT179" s="231">
        <v>30000</v>
      </c>
      <c r="DU179" s="231">
        <v>26000</v>
      </c>
      <c r="DV179" s="228">
        <v>0.77</v>
      </c>
      <c r="DW179" s="228">
        <v>0.43</v>
      </c>
      <c r="DX179" s="228">
        <v>0.34</v>
      </c>
      <c r="DY179" s="229">
        <v>0.79069999999999996</v>
      </c>
      <c r="DZ179" s="229">
        <v>1.34E-2</v>
      </c>
      <c r="EA179" s="230">
        <v>3550</v>
      </c>
      <c r="EB179" s="229">
        <v>6.9999999999999999E-4</v>
      </c>
      <c r="EC179" s="229">
        <v>1.34E-2</v>
      </c>
      <c r="ED179" s="228">
        <v>48.55</v>
      </c>
      <c r="EE179" s="229">
        <v>1.8E-3</v>
      </c>
      <c r="EF179" s="230">
        <v>13185</v>
      </c>
      <c r="EG179" s="230">
        <v>37634</v>
      </c>
      <c r="EH179" s="229">
        <v>-0.64970000000000006</v>
      </c>
      <c r="EI179" s="229">
        <v>0.56969999999999998</v>
      </c>
      <c r="EJ179" s="231">
        <v>14114.76</v>
      </c>
      <c r="EK179" s="231">
        <v>10056.24</v>
      </c>
      <c r="EL179" s="231">
        <v>9097.9699999999993</v>
      </c>
      <c r="EM179" s="231">
        <v>2255</v>
      </c>
      <c r="EN179" s="231">
        <v>33268.97</v>
      </c>
      <c r="EO179" s="231">
        <v>116345.67</v>
      </c>
      <c r="EP179" s="231">
        <v>-83076.7</v>
      </c>
      <c r="EQ179" s="229">
        <v>-0.71409999999999996</v>
      </c>
      <c r="ER179" s="231">
        <v>21017</v>
      </c>
      <c r="ES179" s="231">
        <v>13211</v>
      </c>
      <c r="ET179" s="231">
        <v>74521</v>
      </c>
      <c r="EU179" s="231">
        <v>1568093</v>
      </c>
      <c r="EV179" s="231">
        <v>108748</v>
      </c>
      <c r="EW179" s="231">
        <v>108681</v>
      </c>
      <c r="EX179" s="228">
        <v>67</v>
      </c>
      <c r="EY179" s="229">
        <v>5.9999999999999995E-4</v>
      </c>
      <c r="EZ179" s="229">
        <v>0.25190000000000001</v>
      </c>
      <c r="FA179" s="227" t="s">
        <v>568</v>
      </c>
      <c r="FB179" s="161">
        <f t="shared" si="4"/>
        <v>0</v>
      </c>
    </row>
    <row r="180" spans="1:158" ht="17.25" thickBot="1" x14ac:dyDescent="0.3">
      <c r="A180" s="226">
        <v>46029</v>
      </c>
      <c r="B180" s="227" t="s">
        <v>175</v>
      </c>
      <c r="C180" s="227" t="s">
        <v>562</v>
      </c>
      <c r="D180" s="228">
        <v>825</v>
      </c>
      <c r="E180" s="231">
        <v>1000.8</v>
      </c>
      <c r="F180" s="231">
        <v>1007</v>
      </c>
      <c r="G180" s="228">
        <v>-6.2</v>
      </c>
      <c r="H180" s="229">
        <v>-6.1999999999999998E-3</v>
      </c>
      <c r="I180" s="228">
        <v>995.85</v>
      </c>
      <c r="J180" s="231">
        <v>1002.65</v>
      </c>
      <c r="K180" s="228">
        <v>-6.8</v>
      </c>
      <c r="L180" s="229">
        <v>-6.7999999999999996E-3</v>
      </c>
      <c r="M180" s="231">
        <v>1000.8</v>
      </c>
      <c r="N180" s="231">
        <v>1007</v>
      </c>
      <c r="O180" s="228">
        <v>-6.2</v>
      </c>
      <c r="P180" s="229">
        <v>-6.1999999999999998E-3</v>
      </c>
      <c r="Q180" s="231">
        <v>1003.9</v>
      </c>
      <c r="R180" s="231">
        <v>1010.4</v>
      </c>
      <c r="S180" s="228">
        <v>-6.5</v>
      </c>
      <c r="T180" s="229">
        <v>-6.4000000000000003E-3</v>
      </c>
      <c r="U180" s="231">
        <v>1011</v>
      </c>
      <c r="V180" s="231">
        <v>1016.7</v>
      </c>
      <c r="W180" s="228">
        <v>-5.7</v>
      </c>
      <c r="X180" s="229">
        <v>-5.5999999999999999E-3</v>
      </c>
      <c r="Y180" s="228">
        <v>4.95</v>
      </c>
      <c r="Z180" s="228">
        <v>4.3499999999999996</v>
      </c>
      <c r="AA180" s="228">
        <v>0.6</v>
      </c>
      <c r="AB180" s="229">
        <v>5.0000000000000001E-3</v>
      </c>
      <c r="AC180" s="228">
        <v>4.95</v>
      </c>
      <c r="AD180" s="228">
        <v>4.3499999999999996</v>
      </c>
      <c r="AE180" s="228">
        <v>0.6</v>
      </c>
      <c r="AF180" s="229">
        <v>5.0000000000000001E-3</v>
      </c>
      <c r="AG180" s="228">
        <v>8.0500000000000007</v>
      </c>
      <c r="AH180" s="228">
        <v>7.75</v>
      </c>
      <c r="AI180" s="228">
        <v>0.3</v>
      </c>
      <c r="AJ180" s="229">
        <v>8.0999999999999996E-3</v>
      </c>
      <c r="AK180" s="228">
        <v>15.15</v>
      </c>
      <c r="AL180" s="228">
        <v>14.05</v>
      </c>
      <c r="AM180" s="228">
        <v>1.1000000000000001</v>
      </c>
      <c r="AN180" s="229">
        <v>1.52E-2</v>
      </c>
      <c r="AO180" s="231">
        <v>1001.28</v>
      </c>
      <c r="AP180" s="231">
        <v>1004.16</v>
      </c>
      <c r="AQ180" s="228">
        <v>0</v>
      </c>
      <c r="AR180" s="230">
        <v>4269375</v>
      </c>
      <c r="AS180" s="230">
        <v>5671050</v>
      </c>
      <c r="AT180" s="230">
        <v>-1401675</v>
      </c>
      <c r="AU180" s="229">
        <v>-0.2472</v>
      </c>
      <c r="AV180" s="230">
        <v>4083750</v>
      </c>
      <c r="AW180" s="230">
        <v>5209875</v>
      </c>
      <c r="AX180" s="230">
        <v>-1126125</v>
      </c>
      <c r="AY180" s="229">
        <v>-0.2162</v>
      </c>
      <c r="AZ180" s="230">
        <v>166650</v>
      </c>
      <c r="BA180" s="230">
        <v>379500</v>
      </c>
      <c r="BB180" s="230">
        <v>-212850</v>
      </c>
      <c r="BC180" s="229">
        <v>-0.56089999999999995</v>
      </c>
      <c r="BD180" s="230">
        <v>18975</v>
      </c>
      <c r="BE180" s="230">
        <v>81675</v>
      </c>
      <c r="BF180" s="230">
        <v>-62700</v>
      </c>
      <c r="BG180" s="229">
        <v>-0.76770000000000005</v>
      </c>
      <c r="BH180" s="230">
        <v>9929700</v>
      </c>
      <c r="BI180" s="230">
        <v>12096150</v>
      </c>
      <c r="BJ180" s="230">
        <v>-2166450</v>
      </c>
      <c r="BK180" s="229">
        <v>-0.17910000000000001</v>
      </c>
      <c r="BL180" s="230">
        <v>6024975</v>
      </c>
      <c r="BM180" s="230">
        <v>7436550</v>
      </c>
      <c r="BN180" s="230">
        <v>-1411575</v>
      </c>
      <c r="BO180" s="229">
        <v>-0.1898</v>
      </c>
      <c r="BP180" s="230">
        <v>20224050</v>
      </c>
      <c r="BQ180" s="230">
        <v>25203750</v>
      </c>
      <c r="BR180" s="230">
        <v>-4979700</v>
      </c>
      <c r="BS180" s="229">
        <v>-0.1976</v>
      </c>
      <c r="BT180" s="230">
        <v>4280688</v>
      </c>
      <c r="BU180" s="230">
        <v>4431587</v>
      </c>
      <c r="BV180" s="230">
        <v>-150899</v>
      </c>
      <c r="BW180" s="229">
        <v>-3.4099999999999998E-2</v>
      </c>
      <c r="BX180" s="230">
        <v>47745225</v>
      </c>
      <c r="BY180" s="230">
        <v>47340975</v>
      </c>
      <c r="BZ180" s="230">
        <v>404250</v>
      </c>
      <c r="CA180" s="229">
        <v>8.5000000000000006E-3</v>
      </c>
      <c r="CB180" s="230">
        <v>44630850</v>
      </c>
      <c r="CC180" s="230">
        <v>44286000</v>
      </c>
      <c r="CD180" s="230">
        <v>344850</v>
      </c>
      <c r="CE180" s="229">
        <v>7.7999999999999996E-3</v>
      </c>
      <c r="CF180" s="230">
        <v>2912250</v>
      </c>
      <c r="CG180" s="230">
        <v>2856150</v>
      </c>
      <c r="CH180" s="230">
        <v>56100</v>
      </c>
      <c r="CI180" s="229">
        <v>1.9599999999999999E-2</v>
      </c>
      <c r="CJ180" s="230">
        <v>202125</v>
      </c>
      <c r="CK180" s="230">
        <v>198825</v>
      </c>
      <c r="CL180" s="230">
        <v>3300</v>
      </c>
      <c r="CM180" s="229">
        <v>1.66E-2</v>
      </c>
      <c r="CN180" s="230">
        <v>13986225</v>
      </c>
      <c r="CO180" s="230">
        <v>14136375</v>
      </c>
      <c r="CP180" s="230">
        <v>-150150</v>
      </c>
      <c r="CQ180" s="229">
        <v>-1.06E-2</v>
      </c>
      <c r="CR180" s="230">
        <v>12319725</v>
      </c>
      <c r="CS180" s="230">
        <v>12587850</v>
      </c>
      <c r="CT180" s="230">
        <v>-268125</v>
      </c>
      <c r="CU180" s="229">
        <v>-2.1299999999999999E-2</v>
      </c>
      <c r="CV180" s="230">
        <v>74051175</v>
      </c>
      <c r="CW180" s="230">
        <v>74065200</v>
      </c>
      <c r="CX180" s="230">
        <v>-14025</v>
      </c>
      <c r="CY180" s="229">
        <v>-2.0000000000000001E-4</v>
      </c>
      <c r="CZ180" s="228">
        <v>29.48</v>
      </c>
      <c r="DA180" s="228">
        <v>29.64</v>
      </c>
      <c r="DB180" s="228">
        <v>-0.16</v>
      </c>
      <c r="DC180" s="228">
        <v>-0.16</v>
      </c>
      <c r="DD180" s="228">
        <v>39</v>
      </c>
      <c r="DE180" s="228">
        <v>39.090000000000003</v>
      </c>
      <c r="DF180" s="228">
        <v>-9.52</v>
      </c>
      <c r="DG180" s="228">
        <v>-0.09</v>
      </c>
      <c r="DH180" s="228">
        <v>29.42</v>
      </c>
      <c r="DI180" s="228">
        <v>29.27</v>
      </c>
      <c r="DJ180" s="228">
        <v>0.15</v>
      </c>
      <c r="DK180" s="228">
        <v>0.15</v>
      </c>
      <c r="DL180" s="228">
        <v>29.58</v>
      </c>
      <c r="DM180" s="228">
        <v>30.24</v>
      </c>
      <c r="DN180" s="228">
        <v>-0.66</v>
      </c>
      <c r="DO180" s="228">
        <v>-0.66</v>
      </c>
      <c r="DP180" s="228">
        <v>0.88</v>
      </c>
      <c r="DQ180" s="228">
        <v>0.89</v>
      </c>
      <c r="DR180" s="228">
        <v>-0.01</v>
      </c>
      <c r="DS180" s="229">
        <v>-1.12E-2</v>
      </c>
      <c r="DT180" s="231">
        <v>1000</v>
      </c>
      <c r="DU180" s="228">
        <v>900</v>
      </c>
      <c r="DV180" s="228">
        <v>0.61</v>
      </c>
      <c r="DW180" s="228">
        <v>0.61</v>
      </c>
      <c r="DX180" s="228">
        <v>0</v>
      </c>
      <c r="DY180" s="229">
        <v>0</v>
      </c>
      <c r="DZ180" s="229">
        <v>6.5199999999999994E-2</v>
      </c>
      <c r="EA180" s="230">
        <v>3054975</v>
      </c>
      <c r="EB180" s="229">
        <v>3.0999999999999999E-3</v>
      </c>
      <c r="EC180" s="229">
        <v>6.5199999999999994E-2</v>
      </c>
      <c r="ED180" s="228">
        <v>2.88</v>
      </c>
      <c r="EE180" s="229">
        <v>2.8999999999999998E-3</v>
      </c>
      <c r="EF180" s="230">
        <v>2975713</v>
      </c>
      <c r="EG180" s="230">
        <v>2721428</v>
      </c>
      <c r="EH180" s="229">
        <v>9.3399999999999997E-2</v>
      </c>
      <c r="EI180" s="229">
        <v>0.69510000000000005</v>
      </c>
      <c r="EJ180" s="231">
        <v>104353.06</v>
      </c>
      <c r="EK180" s="231">
        <v>59554.3</v>
      </c>
      <c r="EL180" s="231">
        <v>42754.69</v>
      </c>
      <c r="EM180" s="231">
        <v>8803</v>
      </c>
      <c r="EN180" s="231">
        <v>206662.05</v>
      </c>
      <c r="EO180" s="231">
        <v>257764.12</v>
      </c>
      <c r="EP180" s="231">
        <v>-51102.07</v>
      </c>
      <c r="EQ180" s="229">
        <v>-0.1983</v>
      </c>
      <c r="ER180" s="231">
        <v>142247</v>
      </c>
      <c r="ES180" s="231">
        <v>114962</v>
      </c>
      <c r="ET180" s="231">
        <v>477945</v>
      </c>
      <c r="EU180" s="231">
        <v>210513975</v>
      </c>
      <c r="EV180" s="231">
        <v>735154</v>
      </c>
      <c r="EW180" s="231">
        <v>738051</v>
      </c>
      <c r="EX180" s="231">
        <v>-2897</v>
      </c>
      <c r="EY180" s="229">
        <v>-3.8999999999999998E-3</v>
      </c>
      <c r="EZ180" s="229">
        <v>0.3518</v>
      </c>
      <c r="FA180" s="227" t="s">
        <v>567</v>
      </c>
      <c r="FB180" s="161">
        <f t="shared" si="4"/>
        <v>0</v>
      </c>
    </row>
    <row r="181" spans="1:158" ht="17.25" thickBot="1" x14ac:dyDescent="0.3">
      <c r="A181" s="226">
        <v>46029</v>
      </c>
      <c r="B181" s="227" t="s">
        <v>184</v>
      </c>
      <c r="C181" s="227" t="s">
        <v>285</v>
      </c>
      <c r="D181" s="228">
        <v>175</v>
      </c>
      <c r="E181" s="231">
        <v>3137.9</v>
      </c>
      <c r="F181" s="231">
        <v>3134.5</v>
      </c>
      <c r="G181" s="228">
        <v>3.4</v>
      </c>
      <c r="H181" s="229">
        <v>1.1000000000000001E-3</v>
      </c>
      <c r="I181" s="231">
        <v>3133.6</v>
      </c>
      <c r="J181" s="231">
        <v>3128.1</v>
      </c>
      <c r="K181" s="228">
        <v>5.5</v>
      </c>
      <c r="L181" s="229">
        <v>1.8E-3</v>
      </c>
      <c r="M181" s="231">
        <v>3137.9</v>
      </c>
      <c r="N181" s="231">
        <v>3134.5</v>
      </c>
      <c r="O181" s="228">
        <v>3.4</v>
      </c>
      <c r="P181" s="229">
        <v>1.1000000000000001E-3</v>
      </c>
      <c r="Q181" s="231">
        <v>3149.5</v>
      </c>
      <c r="R181" s="231">
        <v>3147.1</v>
      </c>
      <c r="S181" s="228">
        <v>2.4</v>
      </c>
      <c r="T181" s="229">
        <v>8.0000000000000004E-4</v>
      </c>
      <c r="U181" s="231">
        <v>3140</v>
      </c>
      <c r="V181" s="231">
        <v>3161.1</v>
      </c>
      <c r="W181" s="228">
        <v>-21.1</v>
      </c>
      <c r="X181" s="229">
        <v>-6.7000000000000002E-3</v>
      </c>
      <c r="Y181" s="228">
        <v>4.3</v>
      </c>
      <c r="Z181" s="228">
        <v>6.4</v>
      </c>
      <c r="AA181" s="228">
        <v>-2.1</v>
      </c>
      <c r="AB181" s="229">
        <v>1.4E-3</v>
      </c>
      <c r="AC181" s="228">
        <v>4.3</v>
      </c>
      <c r="AD181" s="228">
        <v>6.4</v>
      </c>
      <c r="AE181" s="228">
        <v>-2.1</v>
      </c>
      <c r="AF181" s="229">
        <v>1.4E-3</v>
      </c>
      <c r="AG181" s="228">
        <v>15.9</v>
      </c>
      <c r="AH181" s="228">
        <v>19</v>
      </c>
      <c r="AI181" s="228">
        <v>-3.1</v>
      </c>
      <c r="AJ181" s="229">
        <v>5.1000000000000004E-3</v>
      </c>
      <c r="AK181" s="228">
        <v>6.4</v>
      </c>
      <c r="AL181" s="228">
        <v>33</v>
      </c>
      <c r="AM181" s="228">
        <v>-26.6</v>
      </c>
      <c r="AN181" s="229">
        <v>2E-3</v>
      </c>
      <c r="AO181" s="231">
        <v>3125.12</v>
      </c>
      <c r="AP181" s="231">
        <v>3136.33</v>
      </c>
      <c r="AQ181" s="228">
        <v>0</v>
      </c>
      <c r="AR181" s="230">
        <v>333900</v>
      </c>
      <c r="AS181" s="230">
        <v>473550</v>
      </c>
      <c r="AT181" s="230">
        <v>-139650</v>
      </c>
      <c r="AU181" s="229">
        <v>-0.2949</v>
      </c>
      <c r="AV181" s="230">
        <v>310625</v>
      </c>
      <c r="AW181" s="230">
        <v>446250</v>
      </c>
      <c r="AX181" s="230">
        <v>-135625</v>
      </c>
      <c r="AY181" s="229">
        <v>-0.3039</v>
      </c>
      <c r="AZ181" s="230">
        <v>22225</v>
      </c>
      <c r="BA181" s="230">
        <v>25550</v>
      </c>
      <c r="BB181" s="230">
        <v>-3325</v>
      </c>
      <c r="BC181" s="229">
        <v>-0.13009999999999999</v>
      </c>
      <c r="BD181" s="230">
        <v>1050</v>
      </c>
      <c r="BE181" s="230">
        <v>1750</v>
      </c>
      <c r="BF181" s="228">
        <v>-700</v>
      </c>
      <c r="BG181" s="229">
        <v>-0.4</v>
      </c>
      <c r="BH181" s="230">
        <v>1666175</v>
      </c>
      <c r="BI181" s="230">
        <v>1853425</v>
      </c>
      <c r="BJ181" s="230">
        <v>-187250</v>
      </c>
      <c r="BK181" s="229">
        <v>-0.10100000000000001</v>
      </c>
      <c r="BL181" s="230">
        <v>667800</v>
      </c>
      <c r="BM181" s="230">
        <v>767725</v>
      </c>
      <c r="BN181" s="230">
        <v>-99925</v>
      </c>
      <c r="BO181" s="229">
        <v>-0.13020000000000001</v>
      </c>
      <c r="BP181" s="230">
        <v>2667875</v>
      </c>
      <c r="BQ181" s="230">
        <v>3094700</v>
      </c>
      <c r="BR181" s="230">
        <v>-426825</v>
      </c>
      <c r="BS181" s="229">
        <v>-0.13789999999999999</v>
      </c>
      <c r="BT181" s="230">
        <v>299758</v>
      </c>
      <c r="BU181" s="230">
        <v>610032</v>
      </c>
      <c r="BV181" s="230">
        <v>-310274</v>
      </c>
      <c r="BW181" s="229">
        <v>-0.50860000000000005</v>
      </c>
      <c r="BX181" s="230">
        <v>2585100</v>
      </c>
      <c r="BY181" s="230">
        <v>2616425</v>
      </c>
      <c r="BZ181" s="230">
        <v>-31325</v>
      </c>
      <c r="CA181" s="229">
        <v>-1.2E-2</v>
      </c>
      <c r="CB181" s="230">
        <v>2483950</v>
      </c>
      <c r="CC181" s="230">
        <v>2519300</v>
      </c>
      <c r="CD181" s="230">
        <v>-35350</v>
      </c>
      <c r="CE181" s="229">
        <v>-1.4E-2</v>
      </c>
      <c r="CF181" s="230">
        <v>96600</v>
      </c>
      <c r="CG181" s="230">
        <v>92575</v>
      </c>
      <c r="CH181" s="230">
        <v>4025</v>
      </c>
      <c r="CI181" s="229">
        <v>4.3499999999999997E-2</v>
      </c>
      <c r="CJ181" s="230">
        <v>4550</v>
      </c>
      <c r="CK181" s="230">
        <v>4550</v>
      </c>
      <c r="CL181" s="228">
        <v>0</v>
      </c>
      <c r="CM181" s="229">
        <v>0</v>
      </c>
      <c r="CN181" s="230">
        <v>1062425</v>
      </c>
      <c r="CO181" s="230">
        <v>983500</v>
      </c>
      <c r="CP181" s="230">
        <v>78925</v>
      </c>
      <c r="CQ181" s="229">
        <v>8.0199999999999994E-2</v>
      </c>
      <c r="CR181" s="230">
        <v>599550</v>
      </c>
      <c r="CS181" s="230">
        <v>591325</v>
      </c>
      <c r="CT181" s="230">
        <v>8225</v>
      </c>
      <c r="CU181" s="229">
        <v>1.3899999999999999E-2</v>
      </c>
      <c r="CV181" s="230">
        <v>4247075</v>
      </c>
      <c r="CW181" s="230">
        <v>4191250</v>
      </c>
      <c r="CX181" s="230">
        <v>55825</v>
      </c>
      <c r="CY181" s="229">
        <v>1.3299999999999999E-2</v>
      </c>
      <c r="CZ181" s="228">
        <v>24.56</v>
      </c>
      <c r="DA181" s="228">
        <v>24.82</v>
      </c>
      <c r="DB181" s="228">
        <v>-0.26</v>
      </c>
      <c r="DC181" s="228">
        <v>-0.26</v>
      </c>
      <c r="DD181" s="228">
        <v>36.86</v>
      </c>
      <c r="DE181" s="228">
        <v>36.950000000000003</v>
      </c>
      <c r="DF181" s="228">
        <v>-12.3</v>
      </c>
      <c r="DG181" s="228">
        <v>-0.09</v>
      </c>
      <c r="DH181" s="228">
        <v>24.58</v>
      </c>
      <c r="DI181" s="228">
        <v>24.69</v>
      </c>
      <c r="DJ181" s="228">
        <v>-0.11</v>
      </c>
      <c r="DK181" s="228">
        <v>-0.11</v>
      </c>
      <c r="DL181" s="228">
        <v>24.51</v>
      </c>
      <c r="DM181" s="228">
        <v>25.14</v>
      </c>
      <c r="DN181" s="228">
        <v>-0.63</v>
      </c>
      <c r="DO181" s="228">
        <v>-0.63</v>
      </c>
      <c r="DP181" s="228">
        <v>0.56000000000000005</v>
      </c>
      <c r="DQ181" s="228">
        <v>0.6</v>
      </c>
      <c r="DR181" s="228">
        <v>-0.04</v>
      </c>
      <c r="DS181" s="229">
        <v>-6.6699999999999995E-2</v>
      </c>
      <c r="DT181" s="231">
        <v>3300</v>
      </c>
      <c r="DU181" s="231">
        <v>3100</v>
      </c>
      <c r="DV181" s="228">
        <v>0.4</v>
      </c>
      <c r="DW181" s="228">
        <v>0.41</v>
      </c>
      <c r="DX181" s="228">
        <v>-0.01</v>
      </c>
      <c r="DY181" s="229">
        <v>-2.4400000000000002E-2</v>
      </c>
      <c r="DZ181" s="229">
        <v>3.9100000000000003E-2</v>
      </c>
      <c r="EA181" s="230">
        <v>97125</v>
      </c>
      <c r="EB181" s="229">
        <v>3.7000000000000002E-3</v>
      </c>
      <c r="EC181" s="229">
        <v>3.9100000000000003E-2</v>
      </c>
      <c r="ED181" s="228">
        <v>11.21</v>
      </c>
      <c r="EE181" s="229">
        <v>3.5999999999999999E-3</v>
      </c>
      <c r="EF181" s="230">
        <v>191777</v>
      </c>
      <c r="EG181" s="230">
        <v>434049</v>
      </c>
      <c r="EH181" s="229">
        <v>-0.55820000000000003</v>
      </c>
      <c r="EI181" s="229">
        <v>0.63980000000000004</v>
      </c>
      <c r="EJ181" s="231">
        <v>54186.36</v>
      </c>
      <c r="EK181" s="231">
        <v>20448.580000000002</v>
      </c>
      <c r="EL181" s="231">
        <v>10437.56</v>
      </c>
      <c r="EM181" s="231">
        <v>2123</v>
      </c>
      <c r="EN181" s="231">
        <v>85072.5</v>
      </c>
      <c r="EO181" s="231">
        <v>98215.47</v>
      </c>
      <c r="EP181" s="231">
        <v>-13142.97</v>
      </c>
      <c r="EQ181" s="229">
        <v>-0.1338</v>
      </c>
      <c r="ER181" s="231">
        <v>34440</v>
      </c>
      <c r="ES181" s="231">
        <v>17991</v>
      </c>
      <c r="ET181" s="231">
        <v>81129</v>
      </c>
      <c r="EU181" s="231">
        <v>13354588</v>
      </c>
      <c r="EV181" s="231">
        <v>133561</v>
      </c>
      <c r="EW181" s="231">
        <v>131545</v>
      </c>
      <c r="EX181" s="231">
        <v>2016</v>
      </c>
      <c r="EY181" s="229">
        <v>1.5299999999999999E-2</v>
      </c>
      <c r="EZ181" s="229">
        <v>0.318</v>
      </c>
      <c r="FA181" s="227" t="s">
        <v>556</v>
      </c>
      <c r="FB181" s="161">
        <f t="shared" si="4"/>
        <v>0</v>
      </c>
    </row>
    <row r="182" spans="1:158" ht="17.25" thickBot="1" x14ac:dyDescent="0.3">
      <c r="A182" s="226">
        <v>46029</v>
      </c>
      <c r="B182" s="227" t="s">
        <v>498</v>
      </c>
      <c r="C182" s="227" t="s">
        <v>646</v>
      </c>
      <c r="D182" s="228">
        <v>50</v>
      </c>
      <c r="E182" s="231">
        <v>13391</v>
      </c>
      <c r="F182" s="231">
        <v>12885</v>
      </c>
      <c r="G182" s="228">
        <v>506</v>
      </c>
      <c r="H182" s="229">
        <v>3.9300000000000002E-2</v>
      </c>
      <c r="I182" s="231">
        <v>13328</v>
      </c>
      <c r="J182" s="231">
        <v>12856</v>
      </c>
      <c r="K182" s="228">
        <v>472</v>
      </c>
      <c r="L182" s="229">
        <v>3.6700000000000003E-2</v>
      </c>
      <c r="M182" s="231">
        <v>13391</v>
      </c>
      <c r="N182" s="231">
        <v>12885</v>
      </c>
      <c r="O182" s="228">
        <v>506</v>
      </c>
      <c r="P182" s="229">
        <v>3.9300000000000002E-2</v>
      </c>
      <c r="Q182" s="231">
        <v>13465</v>
      </c>
      <c r="R182" s="231">
        <v>12962</v>
      </c>
      <c r="S182" s="228">
        <v>503</v>
      </c>
      <c r="T182" s="229">
        <v>3.8800000000000001E-2</v>
      </c>
      <c r="U182" s="231">
        <v>13552</v>
      </c>
      <c r="V182" s="231">
        <v>13053</v>
      </c>
      <c r="W182" s="228">
        <v>499</v>
      </c>
      <c r="X182" s="229">
        <v>3.8199999999999998E-2</v>
      </c>
      <c r="Y182" s="228">
        <v>63</v>
      </c>
      <c r="Z182" s="228">
        <v>29</v>
      </c>
      <c r="AA182" s="228">
        <v>34</v>
      </c>
      <c r="AB182" s="229">
        <v>4.7000000000000002E-3</v>
      </c>
      <c r="AC182" s="228">
        <v>63</v>
      </c>
      <c r="AD182" s="228">
        <v>29</v>
      </c>
      <c r="AE182" s="228">
        <v>34</v>
      </c>
      <c r="AF182" s="229">
        <v>4.7000000000000002E-3</v>
      </c>
      <c r="AG182" s="228">
        <v>137</v>
      </c>
      <c r="AH182" s="228">
        <v>106</v>
      </c>
      <c r="AI182" s="228">
        <v>31</v>
      </c>
      <c r="AJ182" s="229">
        <v>1.03E-2</v>
      </c>
      <c r="AK182" s="228">
        <v>224</v>
      </c>
      <c r="AL182" s="228">
        <v>197</v>
      </c>
      <c r="AM182" s="228">
        <v>27</v>
      </c>
      <c r="AN182" s="229">
        <v>1.6799999999999999E-2</v>
      </c>
      <c r="AO182" s="231">
        <v>13255.12</v>
      </c>
      <c r="AP182" s="231">
        <v>13289.14</v>
      </c>
      <c r="AQ182" s="228">
        <v>0</v>
      </c>
      <c r="AR182" s="230">
        <v>294150</v>
      </c>
      <c r="AS182" s="230">
        <v>100400</v>
      </c>
      <c r="AT182" s="230">
        <v>193750</v>
      </c>
      <c r="AU182" s="229">
        <v>1.9298</v>
      </c>
      <c r="AV182" s="230">
        <v>268650</v>
      </c>
      <c r="AW182" s="230">
        <v>89600</v>
      </c>
      <c r="AX182" s="230">
        <v>179050</v>
      </c>
      <c r="AY182" s="229">
        <v>1.9983</v>
      </c>
      <c r="AZ182" s="230">
        <v>21000</v>
      </c>
      <c r="BA182" s="230">
        <v>8600</v>
      </c>
      <c r="BB182" s="230">
        <v>12400</v>
      </c>
      <c r="BC182" s="229">
        <v>1.4419</v>
      </c>
      <c r="BD182" s="230">
        <v>4500</v>
      </c>
      <c r="BE182" s="230">
        <v>2200</v>
      </c>
      <c r="BF182" s="230">
        <v>2300</v>
      </c>
      <c r="BG182" s="229">
        <v>1.0455000000000001</v>
      </c>
      <c r="BH182" s="230">
        <v>2282950</v>
      </c>
      <c r="BI182" s="230">
        <v>466450</v>
      </c>
      <c r="BJ182" s="230">
        <v>1816500</v>
      </c>
      <c r="BK182" s="229">
        <v>3.8942999999999999</v>
      </c>
      <c r="BL182" s="230">
        <v>546950</v>
      </c>
      <c r="BM182" s="230">
        <v>171500</v>
      </c>
      <c r="BN182" s="230">
        <v>375450</v>
      </c>
      <c r="BO182" s="229">
        <v>2.1892</v>
      </c>
      <c r="BP182" s="230">
        <v>3124050</v>
      </c>
      <c r="BQ182" s="230">
        <v>738350</v>
      </c>
      <c r="BR182" s="230">
        <v>2385700</v>
      </c>
      <c r="BS182" s="229">
        <v>3.2311000000000001</v>
      </c>
      <c r="BT182" s="230">
        <v>239079</v>
      </c>
      <c r="BU182" s="230">
        <v>101497</v>
      </c>
      <c r="BV182" s="230">
        <v>137582</v>
      </c>
      <c r="BW182" s="229">
        <v>1.3554999999999999</v>
      </c>
      <c r="BX182" s="230">
        <v>1118400</v>
      </c>
      <c r="BY182" s="230">
        <v>1161200</v>
      </c>
      <c r="BZ182" s="230">
        <v>-42800</v>
      </c>
      <c r="CA182" s="229">
        <v>-3.6900000000000002E-2</v>
      </c>
      <c r="CB182" s="230">
        <v>1039600</v>
      </c>
      <c r="CC182" s="230">
        <v>1081950</v>
      </c>
      <c r="CD182" s="230">
        <v>-42350</v>
      </c>
      <c r="CE182" s="229">
        <v>-3.9100000000000003E-2</v>
      </c>
      <c r="CF182" s="230">
        <v>66600</v>
      </c>
      <c r="CG182" s="230">
        <v>68150</v>
      </c>
      <c r="CH182" s="230">
        <v>-1550</v>
      </c>
      <c r="CI182" s="229">
        <v>-2.2700000000000001E-2</v>
      </c>
      <c r="CJ182" s="230">
        <v>12200</v>
      </c>
      <c r="CK182" s="230">
        <v>11100</v>
      </c>
      <c r="CL182" s="230">
        <v>1100</v>
      </c>
      <c r="CM182" s="229">
        <v>9.9099999999999994E-2</v>
      </c>
      <c r="CN182" s="230">
        <v>385300</v>
      </c>
      <c r="CO182" s="230">
        <v>385300</v>
      </c>
      <c r="CP182" s="228">
        <v>0</v>
      </c>
      <c r="CQ182" s="229">
        <v>0</v>
      </c>
      <c r="CR182" s="230">
        <v>312350</v>
      </c>
      <c r="CS182" s="230">
        <v>249100</v>
      </c>
      <c r="CT182" s="230">
        <v>63250</v>
      </c>
      <c r="CU182" s="229">
        <v>0.25390000000000001</v>
      </c>
      <c r="CV182" s="230">
        <v>1816050</v>
      </c>
      <c r="CW182" s="230">
        <v>1795600</v>
      </c>
      <c r="CX182" s="230">
        <v>20450</v>
      </c>
      <c r="CY182" s="229">
        <v>1.14E-2</v>
      </c>
      <c r="CZ182" s="228">
        <v>32.18</v>
      </c>
      <c r="DA182" s="228">
        <v>31.44</v>
      </c>
      <c r="DB182" s="228">
        <v>0.74</v>
      </c>
      <c r="DC182" s="228">
        <v>0.74</v>
      </c>
      <c r="DD182" s="228">
        <v>39.5</v>
      </c>
      <c r="DE182" s="228">
        <v>39.26</v>
      </c>
      <c r="DF182" s="228">
        <v>-7.32</v>
      </c>
      <c r="DG182" s="228">
        <v>0.24</v>
      </c>
      <c r="DH182" s="228">
        <v>32.21</v>
      </c>
      <c r="DI182" s="228">
        <v>30.78</v>
      </c>
      <c r="DJ182" s="228">
        <v>1.43</v>
      </c>
      <c r="DK182" s="228">
        <v>1.43</v>
      </c>
      <c r="DL182" s="228">
        <v>32.08</v>
      </c>
      <c r="DM182" s="228">
        <v>33.229999999999997</v>
      </c>
      <c r="DN182" s="228">
        <v>-1.1499999999999999</v>
      </c>
      <c r="DO182" s="228">
        <v>-1.1499999999999999</v>
      </c>
      <c r="DP182" s="228">
        <v>0.81</v>
      </c>
      <c r="DQ182" s="228">
        <v>0.65</v>
      </c>
      <c r="DR182" s="228">
        <v>0.16</v>
      </c>
      <c r="DS182" s="229">
        <v>0.2462</v>
      </c>
      <c r="DT182" s="231">
        <v>13500</v>
      </c>
      <c r="DU182" s="231">
        <v>12000</v>
      </c>
      <c r="DV182" s="228">
        <v>0.24</v>
      </c>
      <c r="DW182" s="228">
        <v>0.37</v>
      </c>
      <c r="DX182" s="228">
        <v>-0.13</v>
      </c>
      <c r="DY182" s="229">
        <v>-0.35139999999999999</v>
      </c>
      <c r="DZ182" s="229">
        <v>7.0499999999999993E-2</v>
      </c>
      <c r="EA182" s="230">
        <v>79250</v>
      </c>
      <c r="EB182" s="229">
        <v>5.4999999999999997E-3</v>
      </c>
      <c r="EC182" s="229">
        <v>7.0499999999999993E-2</v>
      </c>
      <c r="ED182" s="228">
        <v>34.020000000000003</v>
      </c>
      <c r="EE182" s="229">
        <v>2.5999999999999999E-3</v>
      </c>
      <c r="EF182" s="230">
        <v>99277</v>
      </c>
      <c r="EG182" s="230">
        <v>43279</v>
      </c>
      <c r="EH182" s="229">
        <v>1.2939000000000001</v>
      </c>
      <c r="EI182" s="229">
        <v>0.41520000000000001</v>
      </c>
      <c r="EJ182" s="231">
        <v>321137.34000000003</v>
      </c>
      <c r="EK182" s="231">
        <v>69175.73</v>
      </c>
      <c r="EL182" s="231">
        <v>39000.639999999999</v>
      </c>
      <c r="EM182" s="231">
        <v>2897</v>
      </c>
      <c r="EN182" s="231">
        <v>429313.71</v>
      </c>
      <c r="EO182" s="231">
        <v>97116.47</v>
      </c>
      <c r="EP182" s="231">
        <v>332197.24</v>
      </c>
      <c r="EQ182" s="229">
        <v>3.4205999999999999</v>
      </c>
      <c r="ER182" s="231">
        <v>52363</v>
      </c>
      <c r="ES182" s="231">
        <v>38737</v>
      </c>
      <c r="ET182" s="231">
        <v>149834</v>
      </c>
      <c r="EU182" s="231">
        <v>3644817</v>
      </c>
      <c r="EV182" s="231">
        <v>240934</v>
      </c>
      <c r="EW182" s="231">
        <v>231856</v>
      </c>
      <c r="EX182" s="231">
        <v>9078</v>
      </c>
      <c r="EY182" s="229">
        <v>3.9199999999999999E-2</v>
      </c>
      <c r="EZ182" s="229">
        <v>0.49830000000000002</v>
      </c>
      <c r="FA182" s="227" t="s">
        <v>556</v>
      </c>
      <c r="FB182" s="161">
        <f t="shared" si="4"/>
        <v>0</v>
      </c>
    </row>
    <row r="183" spans="1:158" ht="17.25" thickBot="1" x14ac:dyDescent="0.3">
      <c r="A183" s="226">
        <v>46029</v>
      </c>
      <c r="B183" s="227" t="s">
        <v>162</v>
      </c>
      <c r="C183" s="227" t="s">
        <v>614</v>
      </c>
      <c r="D183" s="228">
        <v>1225</v>
      </c>
      <c r="E183" s="228">
        <v>475.05</v>
      </c>
      <c r="F183" s="228">
        <v>478.7</v>
      </c>
      <c r="G183" s="228">
        <v>-3.65</v>
      </c>
      <c r="H183" s="229">
        <v>-7.6E-3</v>
      </c>
      <c r="I183" s="228">
        <v>473.8</v>
      </c>
      <c r="J183" s="228">
        <v>476.45</v>
      </c>
      <c r="K183" s="228">
        <v>-2.65</v>
      </c>
      <c r="L183" s="229">
        <v>-5.5999999999999999E-3</v>
      </c>
      <c r="M183" s="228">
        <v>475.05</v>
      </c>
      <c r="N183" s="228">
        <v>478.7</v>
      </c>
      <c r="O183" s="228">
        <v>-3.65</v>
      </c>
      <c r="P183" s="229">
        <v>-7.6E-3</v>
      </c>
      <c r="Q183" s="228">
        <v>476.4</v>
      </c>
      <c r="R183" s="228">
        <v>480.25</v>
      </c>
      <c r="S183" s="228">
        <v>-3.85</v>
      </c>
      <c r="T183" s="229">
        <v>-8.0000000000000002E-3</v>
      </c>
      <c r="U183" s="228">
        <v>478.95</v>
      </c>
      <c r="V183" s="228">
        <v>480</v>
      </c>
      <c r="W183" s="228">
        <v>-1.05</v>
      </c>
      <c r="X183" s="229">
        <v>-2.2000000000000001E-3</v>
      </c>
      <c r="Y183" s="228">
        <v>1.25</v>
      </c>
      <c r="Z183" s="228">
        <v>2.25</v>
      </c>
      <c r="AA183" s="228">
        <v>-1</v>
      </c>
      <c r="AB183" s="229">
        <v>2.5999999999999999E-3</v>
      </c>
      <c r="AC183" s="228">
        <v>1.25</v>
      </c>
      <c r="AD183" s="228">
        <v>2.25</v>
      </c>
      <c r="AE183" s="228">
        <v>-1</v>
      </c>
      <c r="AF183" s="229">
        <v>2.5999999999999999E-3</v>
      </c>
      <c r="AG183" s="228">
        <v>2.6</v>
      </c>
      <c r="AH183" s="228">
        <v>3.8</v>
      </c>
      <c r="AI183" s="228">
        <v>-1.2</v>
      </c>
      <c r="AJ183" s="229">
        <v>5.4999999999999997E-3</v>
      </c>
      <c r="AK183" s="228">
        <v>5.15</v>
      </c>
      <c r="AL183" s="228">
        <v>3.55</v>
      </c>
      <c r="AM183" s="228">
        <v>1.6</v>
      </c>
      <c r="AN183" s="229">
        <v>1.09E-2</v>
      </c>
      <c r="AO183" s="228">
        <v>476.01</v>
      </c>
      <c r="AP183" s="228">
        <v>477.93</v>
      </c>
      <c r="AQ183" s="228">
        <v>0</v>
      </c>
      <c r="AR183" s="230">
        <v>1482250</v>
      </c>
      <c r="AS183" s="230">
        <v>2538200</v>
      </c>
      <c r="AT183" s="230">
        <v>-1055950</v>
      </c>
      <c r="AU183" s="229">
        <v>-0.41599999999999998</v>
      </c>
      <c r="AV183" s="230">
        <v>1320550</v>
      </c>
      <c r="AW183" s="230">
        <v>2329950</v>
      </c>
      <c r="AX183" s="230">
        <v>-1009400</v>
      </c>
      <c r="AY183" s="229">
        <v>-0.43319999999999997</v>
      </c>
      <c r="AZ183" s="230">
        <v>131075</v>
      </c>
      <c r="BA183" s="230">
        <v>182525</v>
      </c>
      <c r="BB183" s="230">
        <v>-51450</v>
      </c>
      <c r="BC183" s="229">
        <v>-0.28189999999999998</v>
      </c>
      <c r="BD183" s="230">
        <v>30625</v>
      </c>
      <c r="BE183" s="230">
        <v>25725</v>
      </c>
      <c r="BF183" s="230">
        <v>4900</v>
      </c>
      <c r="BG183" s="229">
        <v>0.1905</v>
      </c>
      <c r="BH183" s="230">
        <v>2140075</v>
      </c>
      <c r="BI183" s="230">
        <v>3601500</v>
      </c>
      <c r="BJ183" s="230">
        <v>-1461425</v>
      </c>
      <c r="BK183" s="229">
        <v>-0.40579999999999999</v>
      </c>
      <c r="BL183" s="230">
        <v>1204175</v>
      </c>
      <c r="BM183" s="230">
        <v>1989400</v>
      </c>
      <c r="BN183" s="230">
        <v>-785225</v>
      </c>
      <c r="BO183" s="229">
        <v>-0.3947</v>
      </c>
      <c r="BP183" s="230">
        <v>4826500</v>
      </c>
      <c r="BQ183" s="230">
        <v>8129100</v>
      </c>
      <c r="BR183" s="230">
        <v>-3302600</v>
      </c>
      <c r="BS183" s="229">
        <v>-0.40629999999999999</v>
      </c>
      <c r="BT183" s="230">
        <v>617893</v>
      </c>
      <c r="BU183" s="230">
        <v>1103281</v>
      </c>
      <c r="BV183" s="230">
        <v>-485388</v>
      </c>
      <c r="BW183" s="229">
        <v>-0.43990000000000001</v>
      </c>
      <c r="BX183" s="230">
        <v>14945000</v>
      </c>
      <c r="BY183" s="230">
        <v>14829850</v>
      </c>
      <c r="BZ183" s="230">
        <v>115150</v>
      </c>
      <c r="CA183" s="229">
        <v>7.7999999999999996E-3</v>
      </c>
      <c r="CB183" s="230">
        <v>14548100</v>
      </c>
      <c r="CC183" s="230">
        <v>14466025</v>
      </c>
      <c r="CD183" s="230">
        <v>82075</v>
      </c>
      <c r="CE183" s="229">
        <v>5.7000000000000002E-3</v>
      </c>
      <c r="CF183" s="230">
        <v>377300</v>
      </c>
      <c r="CG183" s="230">
        <v>340550</v>
      </c>
      <c r="CH183" s="230">
        <v>36750</v>
      </c>
      <c r="CI183" s="229">
        <v>0.1079</v>
      </c>
      <c r="CJ183" s="230">
        <v>19600</v>
      </c>
      <c r="CK183" s="230">
        <v>23275</v>
      </c>
      <c r="CL183" s="230">
        <v>-3675</v>
      </c>
      <c r="CM183" s="229">
        <v>-0.15790000000000001</v>
      </c>
      <c r="CN183" s="230">
        <v>3014725</v>
      </c>
      <c r="CO183" s="230">
        <v>2545550</v>
      </c>
      <c r="CP183" s="230">
        <v>469175</v>
      </c>
      <c r="CQ183" s="229">
        <v>0.18429999999999999</v>
      </c>
      <c r="CR183" s="230">
        <v>1866900</v>
      </c>
      <c r="CS183" s="230">
        <v>1705200</v>
      </c>
      <c r="CT183" s="230">
        <v>161700</v>
      </c>
      <c r="CU183" s="229">
        <v>9.4799999999999995E-2</v>
      </c>
      <c r="CV183" s="230">
        <v>19826625</v>
      </c>
      <c r="CW183" s="230">
        <v>19080600</v>
      </c>
      <c r="CX183" s="230">
        <v>746025</v>
      </c>
      <c r="CY183" s="229">
        <v>3.9100000000000003E-2</v>
      </c>
      <c r="CZ183" s="228">
        <v>30</v>
      </c>
      <c r="DA183" s="228">
        <v>29.6</v>
      </c>
      <c r="DB183" s="228">
        <v>0.4</v>
      </c>
      <c r="DC183" s="228">
        <v>0.4</v>
      </c>
      <c r="DD183" s="228">
        <v>38.1</v>
      </c>
      <c r="DE183" s="228">
        <v>38.19</v>
      </c>
      <c r="DF183" s="228">
        <v>-8.1</v>
      </c>
      <c r="DG183" s="228">
        <v>-0.09</v>
      </c>
      <c r="DH183" s="228">
        <v>30.22</v>
      </c>
      <c r="DI183" s="228">
        <v>29.42</v>
      </c>
      <c r="DJ183" s="228">
        <v>0.8</v>
      </c>
      <c r="DK183" s="228">
        <v>0.8</v>
      </c>
      <c r="DL183" s="228">
        <v>29.6</v>
      </c>
      <c r="DM183" s="228">
        <v>29.94</v>
      </c>
      <c r="DN183" s="228">
        <v>-0.34</v>
      </c>
      <c r="DO183" s="228">
        <v>-0.34</v>
      </c>
      <c r="DP183" s="228">
        <v>0.62</v>
      </c>
      <c r="DQ183" s="228">
        <v>0.67</v>
      </c>
      <c r="DR183" s="228">
        <v>-0.05</v>
      </c>
      <c r="DS183" s="229">
        <v>-7.46E-2</v>
      </c>
      <c r="DT183" s="228">
        <v>500</v>
      </c>
      <c r="DU183" s="228">
        <v>440</v>
      </c>
      <c r="DV183" s="228">
        <v>0.56000000000000005</v>
      </c>
      <c r="DW183" s="228">
        <v>0.55000000000000004</v>
      </c>
      <c r="DX183" s="228">
        <v>0.01</v>
      </c>
      <c r="DY183" s="229">
        <v>1.8200000000000001E-2</v>
      </c>
      <c r="DZ183" s="229">
        <v>2.6599999999999999E-2</v>
      </c>
      <c r="EA183" s="230">
        <v>363825</v>
      </c>
      <c r="EB183" s="229">
        <v>2.8E-3</v>
      </c>
      <c r="EC183" s="229">
        <v>2.6599999999999999E-2</v>
      </c>
      <c r="ED183" s="228">
        <v>1.92</v>
      </c>
      <c r="EE183" s="229">
        <v>4.0000000000000001E-3</v>
      </c>
      <c r="EF183" s="230">
        <v>258604</v>
      </c>
      <c r="EG183" s="230">
        <v>439699</v>
      </c>
      <c r="EH183" s="229">
        <v>-0.41189999999999999</v>
      </c>
      <c r="EI183" s="229">
        <v>0.41849999999999998</v>
      </c>
      <c r="EJ183" s="231">
        <v>10789.36</v>
      </c>
      <c r="EK183" s="231">
        <v>5726.03</v>
      </c>
      <c r="EL183" s="231">
        <v>7059.33</v>
      </c>
      <c r="EM183" s="231">
        <v>1443</v>
      </c>
      <c r="EN183" s="231">
        <v>23574.720000000001</v>
      </c>
      <c r="EO183" s="231">
        <v>39562.99</v>
      </c>
      <c r="EP183" s="231">
        <v>-15988.27</v>
      </c>
      <c r="EQ183" s="229">
        <v>-0.40410000000000001</v>
      </c>
      <c r="ER183" s="231">
        <v>15256</v>
      </c>
      <c r="ES183" s="231">
        <v>8659</v>
      </c>
      <c r="ET183" s="231">
        <v>71002</v>
      </c>
      <c r="EU183" s="231">
        <v>67126548</v>
      </c>
      <c r="EV183" s="231">
        <v>94918</v>
      </c>
      <c r="EW183" s="231">
        <v>91836</v>
      </c>
      <c r="EX183" s="231">
        <v>3082</v>
      </c>
      <c r="EY183" s="229">
        <v>3.3599999999999998E-2</v>
      </c>
      <c r="EZ183" s="229">
        <v>0.2954</v>
      </c>
      <c r="FA183" s="227" t="s">
        <v>567</v>
      </c>
      <c r="FB183" s="161">
        <f t="shared" si="4"/>
        <v>0</v>
      </c>
    </row>
    <row r="184" spans="1:158" ht="17.25" thickBot="1" x14ac:dyDescent="0.3">
      <c r="A184" s="226">
        <v>46029</v>
      </c>
      <c r="B184" s="227" t="s">
        <v>197</v>
      </c>
      <c r="C184" s="227" t="s">
        <v>286</v>
      </c>
      <c r="D184" s="228">
        <v>200</v>
      </c>
      <c r="E184" s="231">
        <v>3104.4</v>
      </c>
      <c r="F184" s="231">
        <v>3057.8</v>
      </c>
      <c r="G184" s="228">
        <v>46.6</v>
      </c>
      <c r="H184" s="229">
        <v>1.52E-2</v>
      </c>
      <c r="I184" s="231">
        <v>3097.6</v>
      </c>
      <c r="J184" s="231">
        <v>3051.4</v>
      </c>
      <c r="K184" s="228">
        <v>46.2</v>
      </c>
      <c r="L184" s="229">
        <v>1.5100000000000001E-2</v>
      </c>
      <c r="M184" s="231">
        <v>3104.4</v>
      </c>
      <c r="N184" s="231">
        <v>3057.8</v>
      </c>
      <c r="O184" s="228">
        <v>46.6</v>
      </c>
      <c r="P184" s="229">
        <v>1.52E-2</v>
      </c>
      <c r="Q184" s="231">
        <v>3118.4</v>
      </c>
      <c r="R184" s="231">
        <v>3072.1</v>
      </c>
      <c r="S184" s="228">
        <v>46.3</v>
      </c>
      <c r="T184" s="229">
        <v>1.5100000000000001E-2</v>
      </c>
      <c r="U184" s="231">
        <v>3132</v>
      </c>
      <c r="V184" s="231">
        <v>3093.6</v>
      </c>
      <c r="W184" s="228">
        <v>38.4</v>
      </c>
      <c r="X184" s="229">
        <v>1.24E-2</v>
      </c>
      <c r="Y184" s="228">
        <v>6.8</v>
      </c>
      <c r="Z184" s="228">
        <v>6.4</v>
      </c>
      <c r="AA184" s="228">
        <v>0.4</v>
      </c>
      <c r="AB184" s="229">
        <v>2.2000000000000001E-3</v>
      </c>
      <c r="AC184" s="228">
        <v>6.8</v>
      </c>
      <c r="AD184" s="228">
        <v>6.4</v>
      </c>
      <c r="AE184" s="228">
        <v>0.4</v>
      </c>
      <c r="AF184" s="229">
        <v>2.2000000000000001E-3</v>
      </c>
      <c r="AG184" s="228">
        <v>20.8</v>
      </c>
      <c r="AH184" s="228">
        <v>20.7</v>
      </c>
      <c r="AI184" s="228">
        <v>0.1</v>
      </c>
      <c r="AJ184" s="229">
        <v>6.7000000000000002E-3</v>
      </c>
      <c r="AK184" s="228">
        <v>34.4</v>
      </c>
      <c r="AL184" s="228">
        <v>42.2</v>
      </c>
      <c r="AM184" s="228">
        <v>-7.8</v>
      </c>
      <c r="AN184" s="229">
        <v>1.11E-2</v>
      </c>
      <c r="AO184" s="231">
        <v>3094.3</v>
      </c>
      <c r="AP184" s="231">
        <v>3107.21</v>
      </c>
      <c r="AQ184" s="228">
        <v>0</v>
      </c>
      <c r="AR184" s="230">
        <v>592400</v>
      </c>
      <c r="AS184" s="230">
        <v>1595400</v>
      </c>
      <c r="AT184" s="230">
        <v>-1003000</v>
      </c>
      <c r="AU184" s="229">
        <v>-0.62870000000000004</v>
      </c>
      <c r="AV184" s="230">
        <v>576600</v>
      </c>
      <c r="AW184" s="230">
        <v>1556800</v>
      </c>
      <c r="AX184" s="230">
        <v>-980200</v>
      </c>
      <c r="AY184" s="229">
        <v>-0.62960000000000005</v>
      </c>
      <c r="AZ184" s="230">
        <v>13600</v>
      </c>
      <c r="BA184" s="230">
        <v>34600</v>
      </c>
      <c r="BB184" s="230">
        <v>-21000</v>
      </c>
      <c r="BC184" s="229">
        <v>-0.6069</v>
      </c>
      <c r="BD184" s="230">
        <v>2200</v>
      </c>
      <c r="BE184" s="230">
        <v>4000</v>
      </c>
      <c r="BF184" s="230">
        <v>-1800</v>
      </c>
      <c r="BG184" s="229">
        <v>-0.45</v>
      </c>
      <c r="BH184" s="230">
        <v>1722800</v>
      </c>
      <c r="BI184" s="230">
        <v>4560800</v>
      </c>
      <c r="BJ184" s="230">
        <v>-2838000</v>
      </c>
      <c r="BK184" s="229">
        <v>-0.62229999999999996</v>
      </c>
      <c r="BL184" s="230">
        <v>827200</v>
      </c>
      <c r="BM184" s="230">
        <v>3438400</v>
      </c>
      <c r="BN184" s="230">
        <v>-2611200</v>
      </c>
      <c r="BO184" s="229">
        <v>-0.75939999999999996</v>
      </c>
      <c r="BP184" s="230">
        <v>3142400</v>
      </c>
      <c r="BQ184" s="230">
        <v>9594600</v>
      </c>
      <c r="BR184" s="230">
        <v>-6452200</v>
      </c>
      <c r="BS184" s="229">
        <v>-0.67249999999999999</v>
      </c>
      <c r="BT184" s="230">
        <v>379040</v>
      </c>
      <c r="BU184" s="230">
        <v>594736</v>
      </c>
      <c r="BV184" s="230">
        <v>-215696</v>
      </c>
      <c r="BW184" s="229">
        <v>-0.36270000000000002</v>
      </c>
      <c r="BX184" s="230">
        <v>3428800</v>
      </c>
      <c r="BY184" s="230">
        <v>3447000</v>
      </c>
      <c r="BZ184" s="230">
        <v>-18200</v>
      </c>
      <c r="CA184" s="229">
        <v>-5.3E-3</v>
      </c>
      <c r="CB184" s="230">
        <v>3377800</v>
      </c>
      <c r="CC184" s="230">
        <v>3396800</v>
      </c>
      <c r="CD184" s="230">
        <v>-19000</v>
      </c>
      <c r="CE184" s="229">
        <v>-5.5999999999999999E-3</v>
      </c>
      <c r="CF184" s="230">
        <v>46800</v>
      </c>
      <c r="CG184" s="230">
        <v>45800</v>
      </c>
      <c r="CH184" s="230">
        <v>1000</v>
      </c>
      <c r="CI184" s="229">
        <v>2.18E-2</v>
      </c>
      <c r="CJ184" s="230">
        <v>4200</v>
      </c>
      <c r="CK184" s="230">
        <v>4400</v>
      </c>
      <c r="CL184" s="228">
        <v>-200</v>
      </c>
      <c r="CM184" s="229">
        <v>-4.5499999999999999E-2</v>
      </c>
      <c r="CN184" s="230">
        <v>1201000</v>
      </c>
      <c r="CO184" s="230">
        <v>1208800</v>
      </c>
      <c r="CP184" s="230">
        <v>-7800</v>
      </c>
      <c r="CQ184" s="229">
        <v>-6.4999999999999997E-3</v>
      </c>
      <c r="CR184" s="230">
        <v>836800</v>
      </c>
      <c r="CS184" s="230">
        <v>856800</v>
      </c>
      <c r="CT184" s="230">
        <v>-20000</v>
      </c>
      <c r="CU184" s="229">
        <v>-2.3300000000000001E-2</v>
      </c>
      <c r="CV184" s="230">
        <v>5466600</v>
      </c>
      <c r="CW184" s="230">
        <v>5512600</v>
      </c>
      <c r="CX184" s="230">
        <v>-46000</v>
      </c>
      <c r="CY184" s="229">
        <v>-8.3000000000000001E-3</v>
      </c>
      <c r="CZ184" s="228">
        <v>24.24</v>
      </c>
      <c r="DA184" s="228">
        <v>24.84</v>
      </c>
      <c r="DB184" s="228">
        <v>-0.6</v>
      </c>
      <c r="DC184" s="228">
        <v>-0.6</v>
      </c>
      <c r="DD184" s="228">
        <v>30.3</v>
      </c>
      <c r="DE184" s="228">
        <v>30.31</v>
      </c>
      <c r="DF184" s="228">
        <v>-6.06</v>
      </c>
      <c r="DG184" s="228">
        <v>-0.01</v>
      </c>
      <c r="DH184" s="228">
        <v>23.98</v>
      </c>
      <c r="DI184" s="228">
        <v>24.62</v>
      </c>
      <c r="DJ184" s="228">
        <v>-0.64</v>
      </c>
      <c r="DK184" s="228">
        <v>-0.64</v>
      </c>
      <c r="DL184" s="228">
        <v>24.77</v>
      </c>
      <c r="DM184" s="228">
        <v>25.14</v>
      </c>
      <c r="DN184" s="228">
        <v>-0.37</v>
      </c>
      <c r="DO184" s="228">
        <v>-0.37</v>
      </c>
      <c r="DP184" s="228">
        <v>0.7</v>
      </c>
      <c r="DQ184" s="228">
        <v>0.71</v>
      </c>
      <c r="DR184" s="228">
        <v>-0.01</v>
      </c>
      <c r="DS184" s="229">
        <v>-1.41E-2</v>
      </c>
      <c r="DT184" s="231">
        <v>3100</v>
      </c>
      <c r="DU184" s="231">
        <v>3050</v>
      </c>
      <c r="DV184" s="228">
        <v>0.48</v>
      </c>
      <c r="DW184" s="228">
        <v>0.75</v>
      </c>
      <c r="DX184" s="228">
        <v>-0.27</v>
      </c>
      <c r="DY184" s="229">
        <v>-0.36</v>
      </c>
      <c r="DZ184" s="229">
        <v>1.49E-2</v>
      </c>
      <c r="EA184" s="230">
        <v>50200</v>
      </c>
      <c r="EB184" s="229">
        <v>4.4999999999999997E-3</v>
      </c>
      <c r="EC184" s="229">
        <v>1.49E-2</v>
      </c>
      <c r="ED184" s="228">
        <v>12.91</v>
      </c>
      <c r="EE184" s="229">
        <v>4.1999999999999997E-3</v>
      </c>
      <c r="EF184" s="230">
        <v>255051</v>
      </c>
      <c r="EG184" s="230">
        <v>317378</v>
      </c>
      <c r="EH184" s="229">
        <v>-0.19639999999999999</v>
      </c>
      <c r="EI184" s="229">
        <v>0.67290000000000005</v>
      </c>
      <c r="EJ184" s="231">
        <v>54891.53</v>
      </c>
      <c r="EK184" s="231">
        <v>25216.39</v>
      </c>
      <c r="EL184" s="231">
        <v>18332.91</v>
      </c>
      <c r="EM184" s="231">
        <v>3501</v>
      </c>
      <c r="EN184" s="231">
        <v>98440.83</v>
      </c>
      <c r="EO184" s="231">
        <v>296927.03000000003</v>
      </c>
      <c r="EP184" s="231">
        <v>-198486.2</v>
      </c>
      <c r="EQ184" s="229">
        <v>-0.66849999999999998</v>
      </c>
      <c r="ER184" s="231">
        <v>37839</v>
      </c>
      <c r="ES184" s="231">
        <v>25173</v>
      </c>
      <c r="ET184" s="231">
        <v>106451</v>
      </c>
      <c r="EU184" s="231">
        <v>18529108</v>
      </c>
      <c r="EV184" s="231">
        <v>169463</v>
      </c>
      <c r="EW184" s="231">
        <v>169091</v>
      </c>
      <c r="EX184" s="228">
        <v>372</v>
      </c>
      <c r="EY184" s="229">
        <v>2.2000000000000001E-3</v>
      </c>
      <c r="EZ184" s="229">
        <v>0.29499999999999998</v>
      </c>
      <c r="FA184" s="227" t="s">
        <v>556</v>
      </c>
      <c r="FB184" s="161">
        <f t="shared" si="4"/>
        <v>0</v>
      </c>
    </row>
    <row r="185" spans="1:158" ht="17.25" thickBot="1" x14ac:dyDescent="0.3">
      <c r="A185" s="226">
        <v>46029</v>
      </c>
      <c r="B185" s="227" t="s">
        <v>170</v>
      </c>
      <c r="C185" s="227" t="s">
        <v>288</v>
      </c>
      <c r="D185" s="228">
        <v>350</v>
      </c>
      <c r="E185" s="231">
        <v>1785.7</v>
      </c>
      <c r="F185" s="231">
        <v>1765.2</v>
      </c>
      <c r="G185" s="228">
        <v>20.5</v>
      </c>
      <c r="H185" s="229">
        <v>1.1599999999999999E-2</v>
      </c>
      <c r="I185" s="231">
        <v>1782.6</v>
      </c>
      <c r="J185" s="231">
        <v>1760.2</v>
      </c>
      <c r="K185" s="228">
        <v>22.4</v>
      </c>
      <c r="L185" s="229">
        <v>1.2699999999999999E-2</v>
      </c>
      <c r="M185" s="231">
        <v>1785.7</v>
      </c>
      <c r="N185" s="231">
        <v>1765.2</v>
      </c>
      <c r="O185" s="228">
        <v>20.5</v>
      </c>
      <c r="P185" s="229">
        <v>1.1599999999999999E-2</v>
      </c>
      <c r="Q185" s="231">
        <v>1785</v>
      </c>
      <c r="R185" s="231">
        <v>1766.3</v>
      </c>
      <c r="S185" s="228">
        <v>18.7</v>
      </c>
      <c r="T185" s="229">
        <v>1.06E-2</v>
      </c>
      <c r="U185" s="231">
        <v>1797.2</v>
      </c>
      <c r="V185" s="231">
        <v>1777.2</v>
      </c>
      <c r="W185" s="228">
        <v>20</v>
      </c>
      <c r="X185" s="229">
        <v>1.1299999999999999E-2</v>
      </c>
      <c r="Y185" s="228">
        <v>3.1</v>
      </c>
      <c r="Z185" s="228">
        <v>5</v>
      </c>
      <c r="AA185" s="228">
        <v>-1.9</v>
      </c>
      <c r="AB185" s="229">
        <v>1.6999999999999999E-3</v>
      </c>
      <c r="AC185" s="228">
        <v>3.1</v>
      </c>
      <c r="AD185" s="228">
        <v>5</v>
      </c>
      <c r="AE185" s="228">
        <v>-1.9</v>
      </c>
      <c r="AF185" s="229">
        <v>1.6999999999999999E-3</v>
      </c>
      <c r="AG185" s="228">
        <v>2.4</v>
      </c>
      <c r="AH185" s="228">
        <v>6.1</v>
      </c>
      <c r="AI185" s="228">
        <v>-3.7</v>
      </c>
      <c r="AJ185" s="229">
        <v>1.2999999999999999E-3</v>
      </c>
      <c r="AK185" s="228">
        <v>14.6</v>
      </c>
      <c r="AL185" s="228">
        <v>17</v>
      </c>
      <c r="AM185" s="228">
        <v>-2.4</v>
      </c>
      <c r="AN185" s="229">
        <v>8.2000000000000007E-3</v>
      </c>
      <c r="AO185" s="231">
        <v>1781.88</v>
      </c>
      <c r="AP185" s="231">
        <v>1780.53</v>
      </c>
      <c r="AQ185" s="228">
        <v>0</v>
      </c>
      <c r="AR185" s="230">
        <v>5906950</v>
      </c>
      <c r="AS185" s="230">
        <v>1587950</v>
      </c>
      <c r="AT185" s="230">
        <v>4319000</v>
      </c>
      <c r="AU185" s="229">
        <v>2.7199</v>
      </c>
      <c r="AV185" s="230">
        <v>5674200</v>
      </c>
      <c r="AW185" s="230">
        <v>1513750</v>
      </c>
      <c r="AX185" s="230">
        <v>4160450</v>
      </c>
      <c r="AY185" s="229">
        <v>2.7484000000000002</v>
      </c>
      <c r="AZ185" s="230">
        <v>213150</v>
      </c>
      <c r="BA185" s="230">
        <v>66150</v>
      </c>
      <c r="BB185" s="230">
        <v>147000</v>
      </c>
      <c r="BC185" s="229">
        <v>2.2222</v>
      </c>
      <c r="BD185" s="230">
        <v>19600</v>
      </c>
      <c r="BE185" s="230">
        <v>8050</v>
      </c>
      <c r="BF185" s="230">
        <v>11550</v>
      </c>
      <c r="BG185" s="229">
        <v>1.4348000000000001</v>
      </c>
      <c r="BH185" s="230">
        <v>30453150</v>
      </c>
      <c r="BI185" s="230">
        <v>7891100</v>
      </c>
      <c r="BJ185" s="230">
        <v>22562050</v>
      </c>
      <c r="BK185" s="229">
        <v>2.8592</v>
      </c>
      <c r="BL185" s="230">
        <v>12508650</v>
      </c>
      <c r="BM185" s="230">
        <v>2951550</v>
      </c>
      <c r="BN185" s="230">
        <v>9557100</v>
      </c>
      <c r="BO185" s="229">
        <v>3.238</v>
      </c>
      <c r="BP185" s="230">
        <v>48868750</v>
      </c>
      <c r="BQ185" s="230">
        <v>12430600</v>
      </c>
      <c r="BR185" s="230">
        <v>36438150</v>
      </c>
      <c r="BS185" s="229">
        <v>2.9312999999999998</v>
      </c>
      <c r="BT185" s="230">
        <v>3144205</v>
      </c>
      <c r="BU185" s="230">
        <v>1693721</v>
      </c>
      <c r="BV185" s="230">
        <v>1450484</v>
      </c>
      <c r="BW185" s="229">
        <v>0.85640000000000005</v>
      </c>
      <c r="BX185" s="230">
        <v>17011400</v>
      </c>
      <c r="BY185" s="230">
        <v>17019100</v>
      </c>
      <c r="BZ185" s="230">
        <v>-7700</v>
      </c>
      <c r="CA185" s="229">
        <v>-5.0000000000000001E-4</v>
      </c>
      <c r="CB185" s="230">
        <v>16741550</v>
      </c>
      <c r="CC185" s="230">
        <v>16801750</v>
      </c>
      <c r="CD185" s="230">
        <v>-60200</v>
      </c>
      <c r="CE185" s="229">
        <v>-3.5999999999999999E-3</v>
      </c>
      <c r="CF185" s="230">
        <v>245700</v>
      </c>
      <c r="CG185" s="230">
        <v>195300</v>
      </c>
      <c r="CH185" s="230">
        <v>50400</v>
      </c>
      <c r="CI185" s="229">
        <v>0.2581</v>
      </c>
      <c r="CJ185" s="230">
        <v>24150</v>
      </c>
      <c r="CK185" s="230">
        <v>22050</v>
      </c>
      <c r="CL185" s="230">
        <v>2100</v>
      </c>
      <c r="CM185" s="229">
        <v>9.5200000000000007E-2</v>
      </c>
      <c r="CN185" s="230">
        <v>8065400</v>
      </c>
      <c r="CO185" s="230">
        <v>5586000</v>
      </c>
      <c r="CP185" s="230">
        <v>2479400</v>
      </c>
      <c r="CQ185" s="229">
        <v>0.44390000000000002</v>
      </c>
      <c r="CR185" s="230">
        <v>3636500</v>
      </c>
      <c r="CS185" s="230">
        <v>2823450</v>
      </c>
      <c r="CT185" s="230">
        <v>813050</v>
      </c>
      <c r="CU185" s="229">
        <v>0.28799999999999998</v>
      </c>
      <c r="CV185" s="230">
        <v>28713300</v>
      </c>
      <c r="CW185" s="230">
        <v>25428550</v>
      </c>
      <c r="CX185" s="230">
        <v>3284750</v>
      </c>
      <c r="CY185" s="229">
        <v>0.12920000000000001</v>
      </c>
      <c r="CZ185" s="228">
        <v>16.22</v>
      </c>
      <c r="DA185" s="228">
        <v>15.71</v>
      </c>
      <c r="DB185" s="228">
        <v>0.51</v>
      </c>
      <c r="DC185" s="228">
        <v>0.51</v>
      </c>
      <c r="DD185" s="228">
        <v>22.42</v>
      </c>
      <c r="DE185" s="228">
        <v>22.41</v>
      </c>
      <c r="DF185" s="228">
        <v>-6.2</v>
      </c>
      <c r="DG185" s="228">
        <v>0.01</v>
      </c>
      <c r="DH185" s="228">
        <v>16.02</v>
      </c>
      <c r="DI185" s="228">
        <v>15.43</v>
      </c>
      <c r="DJ185" s="228">
        <v>0.59</v>
      </c>
      <c r="DK185" s="228">
        <v>0.59</v>
      </c>
      <c r="DL185" s="228">
        <v>16.690000000000001</v>
      </c>
      <c r="DM185" s="228">
        <v>16.46</v>
      </c>
      <c r="DN185" s="228">
        <v>0.23</v>
      </c>
      <c r="DO185" s="228">
        <v>0.23</v>
      </c>
      <c r="DP185" s="228">
        <v>0.45</v>
      </c>
      <c r="DQ185" s="228">
        <v>0.51</v>
      </c>
      <c r="DR185" s="228">
        <v>-0.06</v>
      </c>
      <c r="DS185" s="229">
        <v>-0.1176</v>
      </c>
      <c r="DT185" s="231">
        <v>1800</v>
      </c>
      <c r="DU185" s="231">
        <v>1700</v>
      </c>
      <c r="DV185" s="228">
        <v>0.41</v>
      </c>
      <c r="DW185" s="228">
        <v>0.37</v>
      </c>
      <c r="DX185" s="228">
        <v>0.04</v>
      </c>
      <c r="DY185" s="229">
        <v>0.1081</v>
      </c>
      <c r="DZ185" s="229">
        <v>1.5900000000000001E-2</v>
      </c>
      <c r="EA185" s="230">
        <v>217350</v>
      </c>
      <c r="EB185" s="229">
        <v>-4.0000000000000002E-4</v>
      </c>
      <c r="EC185" s="229">
        <v>1.5900000000000001E-2</v>
      </c>
      <c r="ED185" s="228">
        <v>-1.35</v>
      </c>
      <c r="EE185" s="229">
        <v>-8.0000000000000004E-4</v>
      </c>
      <c r="EF185" s="230">
        <v>1758512</v>
      </c>
      <c r="EG185" s="230">
        <v>1028204</v>
      </c>
      <c r="EH185" s="229">
        <v>0.71030000000000004</v>
      </c>
      <c r="EI185" s="229">
        <v>0.55930000000000002</v>
      </c>
      <c r="EJ185" s="231">
        <v>555951.02</v>
      </c>
      <c r="EK185" s="231">
        <v>220935.67999999999</v>
      </c>
      <c r="EL185" s="231">
        <v>105254.3</v>
      </c>
      <c r="EM185" s="231">
        <v>3024</v>
      </c>
      <c r="EN185" s="231">
        <v>882141</v>
      </c>
      <c r="EO185" s="231">
        <v>220862.14</v>
      </c>
      <c r="EP185" s="231">
        <v>661278.86</v>
      </c>
      <c r="EQ185" s="229">
        <v>2.9941</v>
      </c>
      <c r="ER185" s="231">
        <v>145087</v>
      </c>
      <c r="ES185" s="231">
        <v>62203</v>
      </c>
      <c r="ET185" s="231">
        <v>303774</v>
      </c>
      <c r="EU185" s="231">
        <v>109220043</v>
      </c>
      <c r="EV185" s="231">
        <v>511064</v>
      </c>
      <c r="EW185" s="231">
        <v>448404</v>
      </c>
      <c r="EX185" s="231">
        <v>62660</v>
      </c>
      <c r="EY185" s="229">
        <v>0.13969999999999999</v>
      </c>
      <c r="EZ185" s="229">
        <v>0.26290000000000002</v>
      </c>
      <c r="FA185" s="227" t="s">
        <v>556</v>
      </c>
      <c r="FB185" s="161">
        <f t="shared" si="4"/>
        <v>0</v>
      </c>
    </row>
    <row r="186" spans="1:158" ht="17.25" thickBot="1" x14ac:dyDescent="0.3">
      <c r="A186" s="226">
        <v>46029</v>
      </c>
      <c r="B186" s="227" t="s">
        <v>184</v>
      </c>
      <c r="C186" s="227" t="s">
        <v>574</v>
      </c>
      <c r="D186" s="228">
        <v>175</v>
      </c>
      <c r="E186" s="231">
        <v>3633.7</v>
      </c>
      <c r="F186" s="231">
        <v>3643.2</v>
      </c>
      <c r="G186" s="228">
        <v>-9.5</v>
      </c>
      <c r="H186" s="229">
        <v>-2.5999999999999999E-3</v>
      </c>
      <c r="I186" s="231">
        <v>3626.9</v>
      </c>
      <c r="J186" s="231">
        <v>3636.9</v>
      </c>
      <c r="K186" s="228">
        <v>-10</v>
      </c>
      <c r="L186" s="229">
        <v>-2.7000000000000001E-3</v>
      </c>
      <c r="M186" s="231">
        <v>3633.7</v>
      </c>
      <c r="N186" s="231">
        <v>3643.2</v>
      </c>
      <c r="O186" s="228">
        <v>-9.5</v>
      </c>
      <c r="P186" s="229">
        <v>-2.5999999999999999E-3</v>
      </c>
      <c r="Q186" s="231">
        <v>3645.7</v>
      </c>
      <c r="R186" s="231">
        <v>3653.4</v>
      </c>
      <c r="S186" s="228">
        <v>-7.7</v>
      </c>
      <c r="T186" s="229">
        <v>-2.0999999999999999E-3</v>
      </c>
      <c r="U186" s="231">
        <v>3680.7</v>
      </c>
      <c r="V186" s="231">
        <v>3674.1</v>
      </c>
      <c r="W186" s="228">
        <v>6.6</v>
      </c>
      <c r="X186" s="229">
        <v>1.8E-3</v>
      </c>
      <c r="Y186" s="228">
        <v>6.8</v>
      </c>
      <c r="Z186" s="228">
        <v>6.3</v>
      </c>
      <c r="AA186" s="228">
        <v>0.5</v>
      </c>
      <c r="AB186" s="229">
        <v>1.9E-3</v>
      </c>
      <c r="AC186" s="228">
        <v>6.8</v>
      </c>
      <c r="AD186" s="228">
        <v>6.3</v>
      </c>
      <c r="AE186" s="228">
        <v>0.5</v>
      </c>
      <c r="AF186" s="229">
        <v>1.9E-3</v>
      </c>
      <c r="AG186" s="228">
        <v>18.8</v>
      </c>
      <c r="AH186" s="228">
        <v>16.5</v>
      </c>
      <c r="AI186" s="228">
        <v>2.2999999999999998</v>
      </c>
      <c r="AJ186" s="229">
        <v>5.1999999999999998E-3</v>
      </c>
      <c r="AK186" s="228">
        <v>53.8</v>
      </c>
      <c r="AL186" s="228">
        <v>37.200000000000003</v>
      </c>
      <c r="AM186" s="228">
        <v>16.600000000000001</v>
      </c>
      <c r="AN186" s="229">
        <v>1.4800000000000001E-2</v>
      </c>
      <c r="AO186" s="231">
        <v>3629.25</v>
      </c>
      <c r="AP186" s="231">
        <v>3645.41</v>
      </c>
      <c r="AQ186" s="228">
        <v>0</v>
      </c>
      <c r="AR186" s="230">
        <v>378175</v>
      </c>
      <c r="AS186" s="230">
        <v>418950</v>
      </c>
      <c r="AT186" s="230">
        <v>-40775</v>
      </c>
      <c r="AU186" s="229">
        <v>-9.7299999999999998E-2</v>
      </c>
      <c r="AV186" s="230">
        <v>363475</v>
      </c>
      <c r="AW186" s="230">
        <v>400750</v>
      </c>
      <c r="AX186" s="230">
        <v>-37275</v>
      </c>
      <c r="AY186" s="229">
        <v>-9.2999999999999999E-2</v>
      </c>
      <c r="AZ186" s="230">
        <v>13300</v>
      </c>
      <c r="BA186" s="230">
        <v>16975</v>
      </c>
      <c r="BB186" s="230">
        <v>-3675</v>
      </c>
      <c r="BC186" s="229">
        <v>-0.2165</v>
      </c>
      <c r="BD186" s="230">
        <v>1400</v>
      </c>
      <c r="BE186" s="230">
        <v>1225</v>
      </c>
      <c r="BF186" s="228">
        <v>175</v>
      </c>
      <c r="BG186" s="229">
        <v>0.1429</v>
      </c>
      <c r="BH186" s="230">
        <v>501900</v>
      </c>
      <c r="BI186" s="230">
        <v>1256850</v>
      </c>
      <c r="BJ186" s="230">
        <v>-754950</v>
      </c>
      <c r="BK186" s="229">
        <v>-0.60070000000000001</v>
      </c>
      <c r="BL186" s="230">
        <v>359800</v>
      </c>
      <c r="BM186" s="230">
        <v>489825</v>
      </c>
      <c r="BN186" s="230">
        <v>-130025</v>
      </c>
      <c r="BO186" s="229">
        <v>-0.26550000000000001</v>
      </c>
      <c r="BP186" s="230">
        <v>1239875</v>
      </c>
      <c r="BQ186" s="230">
        <v>2165625</v>
      </c>
      <c r="BR186" s="230">
        <v>-925750</v>
      </c>
      <c r="BS186" s="229">
        <v>-0.42749999999999999</v>
      </c>
      <c r="BT186" s="230">
        <v>105949</v>
      </c>
      <c r="BU186" s="230">
        <v>178440</v>
      </c>
      <c r="BV186" s="230">
        <v>-72491</v>
      </c>
      <c r="BW186" s="229">
        <v>-0.40620000000000001</v>
      </c>
      <c r="BX186" s="230">
        <v>1943550</v>
      </c>
      <c r="BY186" s="230">
        <v>1963150</v>
      </c>
      <c r="BZ186" s="230">
        <v>-19600</v>
      </c>
      <c r="CA186" s="229">
        <v>-0.01</v>
      </c>
      <c r="CB186" s="230">
        <v>1876700</v>
      </c>
      <c r="CC186" s="230">
        <v>1897175</v>
      </c>
      <c r="CD186" s="230">
        <v>-20475</v>
      </c>
      <c r="CE186" s="229">
        <v>-1.0800000000000001E-2</v>
      </c>
      <c r="CF186" s="230">
        <v>61250</v>
      </c>
      <c r="CG186" s="230">
        <v>60725</v>
      </c>
      <c r="CH186" s="228">
        <v>525</v>
      </c>
      <c r="CI186" s="229">
        <v>8.6E-3</v>
      </c>
      <c r="CJ186" s="230">
        <v>5600</v>
      </c>
      <c r="CK186" s="230">
        <v>5250</v>
      </c>
      <c r="CL186" s="228">
        <v>350</v>
      </c>
      <c r="CM186" s="229">
        <v>6.6699999999999995E-2</v>
      </c>
      <c r="CN186" s="230">
        <v>568750</v>
      </c>
      <c r="CO186" s="230">
        <v>535150</v>
      </c>
      <c r="CP186" s="230">
        <v>33600</v>
      </c>
      <c r="CQ186" s="229">
        <v>6.2799999999999995E-2</v>
      </c>
      <c r="CR186" s="230">
        <v>540050</v>
      </c>
      <c r="CS186" s="230">
        <v>528675</v>
      </c>
      <c r="CT186" s="230">
        <v>11375</v>
      </c>
      <c r="CU186" s="229">
        <v>2.1499999999999998E-2</v>
      </c>
      <c r="CV186" s="230">
        <v>3052350</v>
      </c>
      <c r="CW186" s="230">
        <v>3026975</v>
      </c>
      <c r="CX186" s="230">
        <v>25375</v>
      </c>
      <c r="CY186" s="229">
        <v>8.3999999999999995E-3</v>
      </c>
      <c r="CZ186" s="228">
        <v>30.73</v>
      </c>
      <c r="DA186" s="228">
        <v>30.19</v>
      </c>
      <c r="DB186" s="228">
        <v>0.54</v>
      </c>
      <c r="DC186" s="228">
        <v>0.54</v>
      </c>
      <c r="DD186" s="228">
        <v>39.25</v>
      </c>
      <c r="DE186" s="228">
        <v>39.340000000000003</v>
      </c>
      <c r="DF186" s="228">
        <v>-8.52</v>
      </c>
      <c r="DG186" s="228">
        <v>-0.09</v>
      </c>
      <c r="DH186" s="228">
        <v>30.37</v>
      </c>
      <c r="DI186" s="228">
        <v>30</v>
      </c>
      <c r="DJ186" s="228">
        <v>0.37</v>
      </c>
      <c r="DK186" s="228">
        <v>0.37</v>
      </c>
      <c r="DL186" s="228">
        <v>31.24</v>
      </c>
      <c r="DM186" s="228">
        <v>30.66</v>
      </c>
      <c r="DN186" s="228">
        <v>0.57999999999999996</v>
      </c>
      <c r="DO186" s="228">
        <v>0.57999999999999996</v>
      </c>
      <c r="DP186" s="228">
        <v>0.95</v>
      </c>
      <c r="DQ186" s="228">
        <v>0.99</v>
      </c>
      <c r="DR186" s="228">
        <v>-0.04</v>
      </c>
      <c r="DS186" s="229">
        <v>-4.0399999999999998E-2</v>
      </c>
      <c r="DT186" s="231">
        <v>3900</v>
      </c>
      <c r="DU186" s="231">
        <v>3300</v>
      </c>
      <c r="DV186" s="228">
        <v>0.72</v>
      </c>
      <c r="DW186" s="228">
        <v>0.39</v>
      </c>
      <c r="DX186" s="228">
        <v>0.33</v>
      </c>
      <c r="DY186" s="229">
        <v>0.84619999999999995</v>
      </c>
      <c r="DZ186" s="229">
        <v>3.44E-2</v>
      </c>
      <c r="EA186" s="230">
        <v>65975</v>
      </c>
      <c r="EB186" s="229">
        <v>3.3E-3</v>
      </c>
      <c r="EC186" s="229">
        <v>3.44E-2</v>
      </c>
      <c r="ED186" s="228">
        <v>16.16</v>
      </c>
      <c r="EE186" s="229">
        <v>4.4999999999999997E-3</v>
      </c>
      <c r="EF186" s="230">
        <v>51789</v>
      </c>
      <c r="EG186" s="230">
        <v>92772</v>
      </c>
      <c r="EH186" s="229">
        <v>-0.44180000000000003</v>
      </c>
      <c r="EI186" s="229">
        <v>0.48880000000000001</v>
      </c>
      <c r="EJ186" s="231">
        <v>19121.599999999999</v>
      </c>
      <c r="EK186" s="231">
        <v>12702.65</v>
      </c>
      <c r="EL186" s="231">
        <v>13727.71</v>
      </c>
      <c r="EM186" s="231">
        <v>3191</v>
      </c>
      <c r="EN186" s="231">
        <v>45551.96</v>
      </c>
      <c r="EO186" s="231">
        <v>80015.66</v>
      </c>
      <c r="EP186" s="231">
        <v>-34463.699999999997</v>
      </c>
      <c r="EQ186" s="229">
        <v>-0.43070000000000003</v>
      </c>
      <c r="ER186" s="231">
        <v>20971</v>
      </c>
      <c r="ES186" s="231">
        <v>18287</v>
      </c>
      <c r="ET186" s="231">
        <v>70633</v>
      </c>
      <c r="EU186" s="231">
        <v>9736357</v>
      </c>
      <c r="EV186" s="231">
        <v>109892</v>
      </c>
      <c r="EW186" s="231">
        <v>109052</v>
      </c>
      <c r="EX186" s="228">
        <v>840</v>
      </c>
      <c r="EY186" s="229">
        <v>7.7000000000000002E-3</v>
      </c>
      <c r="EZ186" s="229">
        <v>0.3135</v>
      </c>
      <c r="FA186" s="227" t="s">
        <v>568</v>
      </c>
      <c r="FB186" s="161">
        <f t="shared" si="4"/>
        <v>0</v>
      </c>
    </row>
    <row r="187" spans="1:158" ht="17.25" thickBot="1" x14ac:dyDescent="0.3">
      <c r="A187" s="226">
        <v>46029</v>
      </c>
      <c r="B187" s="227" t="s">
        <v>161</v>
      </c>
      <c r="C187" s="227" t="s">
        <v>684</v>
      </c>
      <c r="D187" s="228">
        <v>9025</v>
      </c>
      <c r="E187" s="228">
        <v>53.17</v>
      </c>
      <c r="F187" s="228">
        <v>53.68</v>
      </c>
      <c r="G187" s="228">
        <v>-0.51</v>
      </c>
      <c r="H187" s="229">
        <v>-9.4999999999999998E-3</v>
      </c>
      <c r="I187" s="228">
        <v>52.9</v>
      </c>
      <c r="J187" s="228">
        <v>53.45</v>
      </c>
      <c r="K187" s="228">
        <v>-0.55000000000000004</v>
      </c>
      <c r="L187" s="229">
        <v>-1.03E-2</v>
      </c>
      <c r="M187" s="228">
        <v>53.17</v>
      </c>
      <c r="N187" s="228">
        <v>53.68</v>
      </c>
      <c r="O187" s="228">
        <v>-0.51</v>
      </c>
      <c r="P187" s="229">
        <v>-9.4999999999999998E-3</v>
      </c>
      <c r="Q187" s="228">
        <v>53.47</v>
      </c>
      <c r="R187" s="228">
        <v>54.01</v>
      </c>
      <c r="S187" s="228">
        <v>-0.54</v>
      </c>
      <c r="T187" s="229">
        <v>-0.01</v>
      </c>
      <c r="U187" s="228">
        <v>53.8</v>
      </c>
      <c r="V187" s="228">
        <v>54.28</v>
      </c>
      <c r="W187" s="228">
        <v>-0.48</v>
      </c>
      <c r="X187" s="229">
        <v>-8.8000000000000005E-3</v>
      </c>
      <c r="Y187" s="228">
        <v>0.27</v>
      </c>
      <c r="Z187" s="228">
        <v>0.23</v>
      </c>
      <c r="AA187" s="228">
        <v>0.04</v>
      </c>
      <c r="AB187" s="229">
        <v>5.1000000000000004E-3</v>
      </c>
      <c r="AC187" s="228">
        <v>0.27</v>
      </c>
      <c r="AD187" s="228">
        <v>0.23</v>
      </c>
      <c r="AE187" s="228">
        <v>0.04</v>
      </c>
      <c r="AF187" s="229">
        <v>5.1000000000000004E-3</v>
      </c>
      <c r="AG187" s="228">
        <v>0.56999999999999995</v>
      </c>
      <c r="AH187" s="228">
        <v>0.56000000000000005</v>
      </c>
      <c r="AI187" s="228">
        <v>0.01</v>
      </c>
      <c r="AJ187" s="229">
        <v>1.0800000000000001E-2</v>
      </c>
      <c r="AK187" s="228">
        <v>0.9</v>
      </c>
      <c r="AL187" s="228">
        <v>0.83</v>
      </c>
      <c r="AM187" s="228">
        <v>7.0000000000000007E-2</v>
      </c>
      <c r="AN187" s="229">
        <v>1.7000000000000001E-2</v>
      </c>
      <c r="AO187" s="228">
        <v>53.38</v>
      </c>
      <c r="AP187" s="228">
        <v>53.91</v>
      </c>
      <c r="AQ187" s="228">
        <v>0</v>
      </c>
      <c r="AR187" s="230">
        <v>48635725</v>
      </c>
      <c r="AS187" s="230">
        <v>20134775</v>
      </c>
      <c r="AT187" s="230">
        <v>28500950</v>
      </c>
      <c r="AU187" s="229">
        <v>1.4155</v>
      </c>
      <c r="AV187" s="230">
        <v>36822000</v>
      </c>
      <c r="AW187" s="230">
        <v>18429050</v>
      </c>
      <c r="AX187" s="230">
        <v>18392950</v>
      </c>
      <c r="AY187" s="229">
        <v>0.998</v>
      </c>
      <c r="AZ187" s="230">
        <v>11425650</v>
      </c>
      <c r="BA187" s="230">
        <v>1272525</v>
      </c>
      <c r="BB187" s="230">
        <v>10153125</v>
      </c>
      <c r="BC187" s="229">
        <v>7.9786999999999999</v>
      </c>
      <c r="BD187" s="230">
        <v>388075</v>
      </c>
      <c r="BE187" s="230">
        <v>433200</v>
      </c>
      <c r="BF187" s="230">
        <v>-45125</v>
      </c>
      <c r="BG187" s="229">
        <v>-0.1042</v>
      </c>
      <c r="BH187" s="230">
        <v>76216125</v>
      </c>
      <c r="BI187" s="230">
        <v>54213175</v>
      </c>
      <c r="BJ187" s="230">
        <v>22002950</v>
      </c>
      <c r="BK187" s="229">
        <v>0.40589999999999998</v>
      </c>
      <c r="BL187" s="230">
        <v>25486600</v>
      </c>
      <c r="BM187" s="230">
        <v>16371350</v>
      </c>
      <c r="BN187" s="230">
        <v>9115250</v>
      </c>
      <c r="BO187" s="229">
        <v>0.55679999999999996</v>
      </c>
      <c r="BP187" s="230">
        <v>150338450</v>
      </c>
      <c r="BQ187" s="230">
        <v>90719300</v>
      </c>
      <c r="BR187" s="230">
        <v>59619150</v>
      </c>
      <c r="BS187" s="229">
        <v>0.65720000000000001</v>
      </c>
      <c r="BT187" s="230">
        <v>52800482</v>
      </c>
      <c r="BU187" s="230">
        <v>34869645</v>
      </c>
      <c r="BV187" s="230">
        <v>17930837</v>
      </c>
      <c r="BW187" s="229">
        <v>0.51419999999999999</v>
      </c>
      <c r="BX187" s="230">
        <v>316723350</v>
      </c>
      <c r="BY187" s="230">
        <v>303176825</v>
      </c>
      <c r="BZ187" s="230">
        <v>13546525</v>
      </c>
      <c r="CA187" s="229">
        <v>4.4699999999999997E-2</v>
      </c>
      <c r="CB187" s="230">
        <v>290875750</v>
      </c>
      <c r="CC187" s="230">
        <v>286949875</v>
      </c>
      <c r="CD187" s="230">
        <v>3925875</v>
      </c>
      <c r="CE187" s="229">
        <v>1.37E-2</v>
      </c>
      <c r="CF187" s="230">
        <v>24593125</v>
      </c>
      <c r="CG187" s="230">
        <v>15243225</v>
      </c>
      <c r="CH187" s="230">
        <v>9349900</v>
      </c>
      <c r="CI187" s="229">
        <v>0.61339999999999995</v>
      </c>
      <c r="CJ187" s="230">
        <v>1254475</v>
      </c>
      <c r="CK187" s="230">
        <v>983725</v>
      </c>
      <c r="CL187" s="230">
        <v>270750</v>
      </c>
      <c r="CM187" s="229">
        <v>0.2752</v>
      </c>
      <c r="CN187" s="230">
        <v>132911175</v>
      </c>
      <c r="CO187" s="230">
        <v>127153225</v>
      </c>
      <c r="CP187" s="230">
        <v>5757950</v>
      </c>
      <c r="CQ187" s="229">
        <v>4.53E-2</v>
      </c>
      <c r="CR187" s="230">
        <v>72813700</v>
      </c>
      <c r="CS187" s="230">
        <v>71577275</v>
      </c>
      <c r="CT187" s="230">
        <v>1236425</v>
      </c>
      <c r="CU187" s="229">
        <v>1.7299999999999999E-2</v>
      </c>
      <c r="CV187" s="230">
        <v>522448225</v>
      </c>
      <c r="CW187" s="230">
        <v>501907325</v>
      </c>
      <c r="CX187" s="230">
        <v>20540900</v>
      </c>
      <c r="CY187" s="229">
        <v>4.0899999999999999E-2</v>
      </c>
      <c r="CZ187" s="228">
        <v>35.04</v>
      </c>
      <c r="DA187" s="228">
        <v>33.72</v>
      </c>
      <c r="DB187" s="228">
        <v>1.32</v>
      </c>
      <c r="DC187" s="228">
        <v>1.32</v>
      </c>
      <c r="DD187" s="228">
        <v>46.46</v>
      </c>
      <c r="DE187" s="228">
        <v>46.56</v>
      </c>
      <c r="DF187" s="228">
        <v>-11.42</v>
      </c>
      <c r="DG187" s="228">
        <v>-0.1</v>
      </c>
      <c r="DH187" s="228">
        <v>35.880000000000003</v>
      </c>
      <c r="DI187" s="228">
        <v>34.54</v>
      </c>
      <c r="DJ187" s="228">
        <v>1.34</v>
      </c>
      <c r="DK187" s="228">
        <v>1.34</v>
      </c>
      <c r="DL187" s="228">
        <v>32.53</v>
      </c>
      <c r="DM187" s="228">
        <v>31.01</v>
      </c>
      <c r="DN187" s="228">
        <v>1.52</v>
      </c>
      <c r="DO187" s="228">
        <v>1.52</v>
      </c>
      <c r="DP187" s="228">
        <v>0.55000000000000004</v>
      </c>
      <c r="DQ187" s="228">
        <v>0.56000000000000005</v>
      </c>
      <c r="DR187" s="228">
        <v>-0.01</v>
      </c>
      <c r="DS187" s="229">
        <v>-1.7899999999999999E-2</v>
      </c>
      <c r="DT187" s="228">
        <v>60</v>
      </c>
      <c r="DU187" s="228">
        <v>54</v>
      </c>
      <c r="DV187" s="228">
        <v>0.33</v>
      </c>
      <c r="DW187" s="228">
        <v>0.3</v>
      </c>
      <c r="DX187" s="228">
        <v>0.03</v>
      </c>
      <c r="DY187" s="229">
        <v>0.1</v>
      </c>
      <c r="DZ187" s="229">
        <v>8.1600000000000006E-2</v>
      </c>
      <c r="EA187" s="230">
        <v>16226950</v>
      </c>
      <c r="EB187" s="229">
        <v>5.5999999999999999E-3</v>
      </c>
      <c r="EC187" s="229">
        <v>8.1600000000000006E-2</v>
      </c>
      <c r="ED187" s="228">
        <v>0.53</v>
      </c>
      <c r="EE187" s="229">
        <v>9.9000000000000008E-3</v>
      </c>
      <c r="EF187" s="230">
        <v>28954612</v>
      </c>
      <c r="EG187" s="230">
        <v>15073583</v>
      </c>
      <c r="EH187" s="229">
        <v>0.92090000000000005</v>
      </c>
      <c r="EI187" s="229">
        <v>0.5484</v>
      </c>
      <c r="EJ187" s="231">
        <v>43850.01</v>
      </c>
      <c r="EK187" s="231">
        <v>13435.06</v>
      </c>
      <c r="EL187" s="231">
        <v>26025.1</v>
      </c>
      <c r="EM187" s="231">
        <v>3695</v>
      </c>
      <c r="EN187" s="231">
        <v>83310.17</v>
      </c>
      <c r="EO187" s="231">
        <v>51054.73</v>
      </c>
      <c r="EP187" s="231">
        <v>32255.439999999999</v>
      </c>
      <c r="EQ187" s="229">
        <v>0.63180000000000003</v>
      </c>
      <c r="ER187" s="231">
        <v>76293</v>
      </c>
      <c r="ES187" s="231">
        <v>38557</v>
      </c>
      <c r="ET187" s="231">
        <v>168483</v>
      </c>
      <c r="EU187" s="231">
        <v>1814982173</v>
      </c>
      <c r="EV187" s="231">
        <v>283334</v>
      </c>
      <c r="EW187" s="231">
        <v>273734</v>
      </c>
      <c r="EX187" s="231">
        <v>9600</v>
      </c>
      <c r="EY187" s="229">
        <v>3.5099999999999999E-2</v>
      </c>
      <c r="EZ187" s="229">
        <v>0.28789999999999999</v>
      </c>
      <c r="FA187" s="227" t="s">
        <v>567</v>
      </c>
      <c r="FB187" s="161">
        <f t="shared" si="4"/>
        <v>0</v>
      </c>
    </row>
    <row r="188" spans="1:158" ht="17.25" thickBot="1" x14ac:dyDescent="0.3">
      <c r="A188" s="226">
        <v>46029</v>
      </c>
      <c r="B188" s="227" t="s">
        <v>615</v>
      </c>
      <c r="C188" s="227" t="s">
        <v>693</v>
      </c>
      <c r="D188" s="228">
        <v>1300</v>
      </c>
      <c r="E188" s="228">
        <v>363.1</v>
      </c>
      <c r="F188" s="228">
        <v>362.25</v>
      </c>
      <c r="G188" s="228">
        <v>0.85</v>
      </c>
      <c r="H188" s="229">
        <v>2.3E-3</v>
      </c>
      <c r="I188" s="228">
        <v>361.9</v>
      </c>
      <c r="J188" s="228">
        <v>361</v>
      </c>
      <c r="K188" s="228">
        <v>0.9</v>
      </c>
      <c r="L188" s="229">
        <v>2.5000000000000001E-3</v>
      </c>
      <c r="M188" s="228">
        <v>363.1</v>
      </c>
      <c r="N188" s="228">
        <v>362.25</v>
      </c>
      <c r="O188" s="228">
        <v>0.85</v>
      </c>
      <c r="P188" s="229">
        <v>2.3E-3</v>
      </c>
      <c r="Q188" s="228">
        <v>362.8</v>
      </c>
      <c r="R188" s="228">
        <v>360.75</v>
      </c>
      <c r="S188" s="228">
        <v>2.0499999999999998</v>
      </c>
      <c r="T188" s="229">
        <v>5.7000000000000002E-3</v>
      </c>
      <c r="U188" s="228">
        <v>363.3</v>
      </c>
      <c r="V188" s="228">
        <v>362.95</v>
      </c>
      <c r="W188" s="228">
        <v>0.35</v>
      </c>
      <c r="X188" s="229">
        <v>1E-3</v>
      </c>
      <c r="Y188" s="228">
        <v>1.2</v>
      </c>
      <c r="Z188" s="228">
        <v>1.25</v>
      </c>
      <c r="AA188" s="228">
        <v>-0.05</v>
      </c>
      <c r="AB188" s="229">
        <v>3.3E-3</v>
      </c>
      <c r="AC188" s="228">
        <v>1.2</v>
      </c>
      <c r="AD188" s="228">
        <v>1.25</v>
      </c>
      <c r="AE188" s="228">
        <v>-0.05</v>
      </c>
      <c r="AF188" s="229">
        <v>3.3E-3</v>
      </c>
      <c r="AG188" s="228">
        <v>0.9</v>
      </c>
      <c r="AH188" s="228">
        <v>-0.25</v>
      </c>
      <c r="AI188" s="228">
        <v>1.1499999999999999</v>
      </c>
      <c r="AJ188" s="229">
        <v>2.5000000000000001E-3</v>
      </c>
      <c r="AK188" s="228">
        <v>1.4</v>
      </c>
      <c r="AL188" s="228">
        <v>1.95</v>
      </c>
      <c r="AM188" s="228">
        <v>-0.55000000000000004</v>
      </c>
      <c r="AN188" s="229">
        <v>3.8999999999999998E-3</v>
      </c>
      <c r="AO188" s="228">
        <v>362.93</v>
      </c>
      <c r="AP188" s="228">
        <v>362.41</v>
      </c>
      <c r="AQ188" s="228">
        <v>0</v>
      </c>
      <c r="AR188" s="230">
        <v>7036900</v>
      </c>
      <c r="AS188" s="230">
        <v>16864900</v>
      </c>
      <c r="AT188" s="230">
        <v>-9828000</v>
      </c>
      <c r="AU188" s="229">
        <v>-0.5827</v>
      </c>
      <c r="AV188" s="230">
        <v>6652100</v>
      </c>
      <c r="AW188" s="230">
        <v>15867800</v>
      </c>
      <c r="AX188" s="230">
        <v>-9215700</v>
      </c>
      <c r="AY188" s="229">
        <v>-0.58079999999999998</v>
      </c>
      <c r="AZ188" s="230">
        <v>354900</v>
      </c>
      <c r="BA188" s="230">
        <v>824200</v>
      </c>
      <c r="BB188" s="230">
        <v>-469300</v>
      </c>
      <c r="BC188" s="229">
        <v>-0.56940000000000002</v>
      </c>
      <c r="BD188" s="230">
        <v>29900</v>
      </c>
      <c r="BE188" s="230">
        <v>172900</v>
      </c>
      <c r="BF188" s="230">
        <v>-143000</v>
      </c>
      <c r="BG188" s="229">
        <v>-0.82709999999999995</v>
      </c>
      <c r="BH188" s="230">
        <v>7259200</v>
      </c>
      <c r="BI188" s="230">
        <v>12854400</v>
      </c>
      <c r="BJ188" s="230">
        <v>-5595200</v>
      </c>
      <c r="BK188" s="229">
        <v>-0.43530000000000002</v>
      </c>
      <c r="BL188" s="230">
        <v>4193800</v>
      </c>
      <c r="BM188" s="230">
        <v>13595400</v>
      </c>
      <c r="BN188" s="230">
        <v>-9401600</v>
      </c>
      <c r="BO188" s="229">
        <v>-0.6915</v>
      </c>
      <c r="BP188" s="230">
        <v>18489900</v>
      </c>
      <c r="BQ188" s="230">
        <v>43314700</v>
      </c>
      <c r="BR188" s="230">
        <v>-24824800</v>
      </c>
      <c r="BS188" s="229">
        <v>-0.57310000000000005</v>
      </c>
      <c r="BT188" s="230">
        <v>10461943</v>
      </c>
      <c r="BU188" s="230">
        <v>28274163</v>
      </c>
      <c r="BV188" s="230">
        <v>-17812220</v>
      </c>
      <c r="BW188" s="229">
        <v>-0.63</v>
      </c>
      <c r="BX188" s="230">
        <v>17182100</v>
      </c>
      <c r="BY188" s="230">
        <v>14259700</v>
      </c>
      <c r="BZ188" s="230">
        <v>2922400</v>
      </c>
      <c r="CA188" s="229">
        <v>0.2049</v>
      </c>
      <c r="CB188" s="230">
        <v>16675100</v>
      </c>
      <c r="CC188" s="230">
        <v>13858000</v>
      </c>
      <c r="CD188" s="230">
        <v>2817100</v>
      </c>
      <c r="CE188" s="229">
        <v>0.20330000000000001</v>
      </c>
      <c r="CF188" s="230">
        <v>361400</v>
      </c>
      <c r="CG188" s="230">
        <v>266500</v>
      </c>
      <c r="CH188" s="230">
        <v>94900</v>
      </c>
      <c r="CI188" s="229">
        <v>0.35610000000000003</v>
      </c>
      <c r="CJ188" s="230">
        <v>145600</v>
      </c>
      <c r="CK188" s="230">
        <v>135200</v>
      </c>
      <c r="CL188" s="230">
        <v>10400</v>
      </c>
      <c r="CM188" s="229">
        <v>7.6899999999999996E-2</v>
      </c>
      <c r="CN188" s="230">
        <v>6149000</v>
      </c>
      <c r="CO188" s="230">
        <v>5367700</v>
      </c>
      <c r="CP188" s="230">
        <v>781300</v>
      </c>
      <c r="CQ188" s="229">
        <v>0.14560000000000001</v>
      </c>
      <c r="CR188" s="230">
        <v>4375800</v>
      </c>
      <c r="CS188" s="230">
        <v>4041700</v>
      </c>
      <c r="CT188" s="230">
        <v>334100</v>
      </c>
      <c r="CU188" s="229">
        <v>8.2699999999999996E-2</v>
      </c>
      <c r="CV188" s="230">
        <v>27706900</v>
      </c>
      <c r="CW188" s="230">
        <v>23669100</v>
      </c>
      <c r="CX188" s="230">
        <v>4037800</v>
      </c>
      <c r="CY188" s="229">
        <v>0.1706</v>
      </c>
      <c r="CZ188" s="228">
        <v>38.450000000000003</v>
      </c>
      <c r="DA188" s="228">
        <v>40</v>
      </c>
      <c r="DB188" s="228">
        <v>-1.55</v>
      </c>
      <c r="DC188" s="228">
        <v>-1.55</v>
      </c>
      <c r="DD188" s="228">
        <v>44.31</v>
      </c>
      <c r="DE188" s="228">
        <v>44.42</v>
      </c>
      <c r="DF188" s="228">
        <v>-5.86</v>
      </c>
      <c r="DG188" s="228">
        <v>-0.11</v>
      </c>
      <c r="DH188" s="228">
        <v>37.86</v>
      </c>
      <c r="DI188" s="228">
        <v>38.26</v>
      </c>
      <c r="DJ188" s="228">
        <v>-0.4</v>
      </c>
      <c r="DK188" s="228">
        <v>-0.4</v>
      </c>
      <c r="DL188" s="228">
        <v>39.479999999999997</v>
      </c>
      <c r="DM188" s="228">
        <v>41.65</v>
      </c>
      <c r="DN188" s="228">
        <v>-2.17</v>
      </c>
      <c r="DO188" s="228">
        <v>-2.17</v>
      </c>
      <c r="DP188" s="228">
        <v>0.71</v>
      </c>
      <c r="DQ188" s="228">
        <v>0.75</v>
      </c>
      <c r="DR188" s="228">
        <v>-0.04</v>
      </c>
      <c r="DS188" s="229">
        <v>-5.33E-2</v>
      </c>
      <c r="DT188" s="228">
        <v>400</v>
      </c>
      <c r="DU188" s="228">
        <v>360</v>
      </c>
      <c r="DV188" s="228">
        <v>0.57999999999999996</v>
      </c>
      <c r="DW188" s="228">
        <v>1.06</v>
      </c>
      <c r="DX188" s="228">
        <v>-0.48</v>
      </c>
      <c r="DY188" s="229">
        <v>-0.45279999999999998</v>
      </c>
      <c r="DZ188" s="229">
        <v>2.9499999999999998E-2</v>
      </c>
      <c r="EA188" s="230">
        <v>401700</v>
      </c>
      <c r="EB188" s="229">
        <v>-8.0000000000000004E-4</v>
      </c>
      <c r="EC188" s="229">
        <v>2.9499999999999998E-2</v>
      </c>
      <c r="ED188" s="228">
        <v>-0.52</v>
      </c>
      <c r="EE188" s="229">
        <v>-1.4E-3</v>
      </c>
      <c r="EF188" s="230">
        <v>5171076</v>
      </c>
      <c r="EG188" s="230">
        <v>15008041</v>
      </c>
      <c r="EH188" s="229">
        <v>-0.65539999999999998</v>
      </c>
      <c r="EI188" s="229">
        <v>0.49430000000000002</v>
      </c>
      <c r="EJ188" s="231">
        <v>28122.16</v>
      </c>
      <c r="EK188" s="231">
        <v>15276.63</v>
      </c>
      <c r="EL188" s="231">
        <v>25536.959999999999</v>
      </c>
      <c r="EM188" s="231">
        <v>4985</v>
      </c>
      <c r="EN188" s="231">
        <v>68935.75</v>
      </c>
      <c r="EO188" s="231">
        <v>161084.74</v>
      </c>
      <c r="EP188" s="231">
        <v>-92148.99</v>
      </c>
      <c r="EQ188" s="229">
        <v>-0.57210000000000005</v>
      </c>
      <c r="ER188" s="231">
        <v>24114</v>
      </c>
      <c r="ES188" s="231">
        <v>15716</v>
      </c>
      <c r="ET188" s="231">
        <v>62387</v>
      </c>
      <c r="EU188" s="231">
        <v>375529891</v>
      </c>
      <c r="EV188" s="231">
        <v>102217</v>
      </c>
      <c r="EW188" s="231">
        <v>87328</v>
      </c>
      <c r="EX188" s="231">
        <v>14889</v>
      </c>
      <c r="EY188" s="229">
        <v>0.17050000000000001</v>
      </c>
      <c r="EZ188" s="229">
        <v>7.3800000000000004E-2</v>
      </c>
      <c r="FA188" s="227" t="s">
        <v>555</v>
      </c>
      <c r="FB188" s="161">
        <f t="shared" si="4"/>
        <v>0</v>
      </c>
    </row>
    <row r="189" spans="1:158" ht="17.25" thickBot="1" x14ac:dyDescent="0.3">
      <c r="A189" s="226">
        <v>46029</v>
      </c>
      <c r="B189" s="227" t="s">
        <v>170</v>
      </c>
      <c r="C189" s="227" t="s">
        <v>520</v>
      </c>
      <c r="D189" s="228">
        <v>1000</v>
      </c>
      <c r="E189" s="228">
        <v>658.2</v>
      </c>
      <c r="F189" s="228">
        <v>659.15</v>
      </c>
      <c r="G189" s="228">
        <v>-0.95</v>
      </c>
      <c r="H189" s="229">
        <v>-1.4E-3</v>
      </c>
      <c r="I189" s="228">
        <v>656.75</v>
      </c>
      <c r="J189" s="228">
        <v>655.65</v>
      </c>
      <c r="K189" s="228">
        <v>1.1000000000000001</v>
      </c>
      <c r="L189" s="229">
        <v>1.6999999999999999E-3</v>
      </c>
      <c r="M189" s="228">
        <v>658.2</v>
      </c>
      <c r="N189" s="228">
        <v>659.15</v>
      </c>
      <c r="O189" s="228">
        <v>-0.95</v>
      </c>
      <c r="P189" s="229">
        <v>-1.4E-3</v>
      </c>
      <c r="Q189" s="228">
        <v>662.25</v>
      </c>
      <c r="R189" s="228">
        <v>662.7</v>
      </c>
      <c r="S189" s="228">
        <v>-0.45</v>
      </c>
      <c r="T189" s="229">
        <v>-6.9999999999999999E-4</v>
      </c>
      <c r="U189" s="228">
        <v>666.7</v>
      </c>
      <c r="V189" s="228">
        <v>666.4</v>
      </c>
      <c r="W189" s="228">
        <v>0.3</v>
      </c>
      <c r="X189" s="229">
        <v>5.0000000000000001E-4</v>
      </c>
      <c r="Y189" s="228">
        <v>1.45</v>
      </c>
      <c r="Z189" s="228">
        <v>3.5</v>
      </c>
      <c r="AA189" s="228">
        <v>-2.0499999999999998</v>
      </c>
      <c r="AB189" s="229">
        <v>2.2000000000000001E-3</v>
      </c>
      <c r="AC189" s="228">
        <v>1.45</v>
      </c>
      <c r="AD189" s="228">
        <v>3.5</v>
      </c>
      <c r="AE189" s="228">
        <v>-2.0499999999999998</v>
      </c>
      <c r="AF189" s="229">
        <v>2.2000000000000001E-3</v>
      </c>
      <c r="AG189" s="228">
        <v>5.5</v>
      </c>
      <c r="AH189" s="228">
        <v>7.05</v>
      </c>
      <c r="AI189" s="228">
        <v>-1.55</v>
      </c>
      <c r="AJ189" s="229">
        <v>8.3999999999999995E-3</v>
      </c>
      <c r="AK189" s="228">
        <v>9.9499999999999993</v>
      </c>
      <c r="AL189" s="228">
        <v>10.75</v>
      </c>
      <c r="AM189" s="228">
        <v>-0.8</v>
      </c>
      <c r="AN189" s="229">
        <v>1.52E-2</v>
      </c>
      <c r="AO189" s="228">
        <v>666.13</v>
      </c>
      <c r="AP189" s="228">
        <v>670.58</v>
      </c>
      <c r="AQ189" s="228">
        <v>0</v>
      </c>
      <c r="AR189" s="230">
        <v>6751000</v>
      </c>
      <c r="AS189" s="230">
        <v>1537000</v>
      </c>
      <c r="AT189" s="230">
        <v>5214000</v>
      </c>
      <c r="AU189" s="229">
        <v>3.3923000000000001</v>
      </c>
      <c r="AV189" s="230">
        <v>6403000</v>
      </c>
      <c r="AW189" s="230">
        <v>1494000</v>
      </c>
      <c r="AX189" s="230">
        <v>4909000</v>
      </c>
      <c r="AY189" s="229">
        <v>3.2858000000000001</v>
      </c>
      <c r="AZ189" s="230">
        <v>305000</v>
      </c>
      <c r="BA189" s="230">
        <v>35000</v>
      </c>
      <c r="BB189" s="230">
        <v>270000</v>
      </c>
      <c r="BC189" s="229">
        <v>7.7142999999999997</v>
      </c>
      <c r="BD189" s="230">
        <v>43000</v>
      </c>
      <c r="BE189" s="230">
        <v>8000</v>
      </c>
      <c r="BF189" s="230">
        <v>35000</v>
      </c>
      <c r="BG189" s="229">
        <v>4.375</v>
      </c>
      <c r="BH189" s="230">
        <v>24986000</v>
      </c>
      <c r="BI189" s="230">
        <v>1709000</v>
      </c>
      <c r="BJ189" s="230">
        <v>23277000</v>
      </c>
      <c r="BK189" s="229">
        <v>13.620200000000001</v>
      </c>
      <c r="BL189" s="230">
        <v>6184000</v>
      </c>
      <c r="BM189" s="230">
        <v>493000</v>
      </c>
      <c r="BN189" s="230">
        <v>5691000</v>
      </c>
      <c r="BO189" s="229">
        <v>11.5436</v>
      </c>
      <c r="BP189" s="230">
        <v>37921000</v>
      </c>
      <c r="BQ189" s="230">
        <v>3739000</v>
      </c>
      <c r="BR189" s="230">
        <v>34182000</v>
      </c>
      <c r="BS189" s="229">
        <v>9.1419999999999995</v>
      </c>
      <c r="BT189" s="230">
        <v>2502544</v>
      </c>
      <c r="BU189" s="230">
        <v>399208</v>
      </c>
      <c r="BV189" s="230">
        <v>2103336</v>
      </c>
      <c r="BW189" s="229">
        <v>5.2687999999999997</v>
      </c>
      <c r="BX189" s="230">
        <v>8479000</v>
      </c>
      <c r="BY189" s="230">
        <v>7933000</v>
      </c>
      <c r="BZ189" s="230">
        <v>546000</v>
      </c>
      <c r="CA189" s="229">
        <v>6.88E-2</v>
      </c>
      <c r="CB189" s="230">
        <v>8270000</v>
      </c>
      <c r="CC189" s="230">
        <v>7819000</v>
      </c>
      <c r="CD189" s="230">
        <v>451000</v>
      </c>
      <c r="CE189" s="229">
        <v>5.7700000000000001E-2</v>
      </c>
      <c r="CF189" s="230">
        <v>177000</v>
      </c>
      <c r="CG189" s="230">
        <v>98000</v>
      </c>
      <c r="CH189" s="230">
        <v>79000</v>
      </c>
      <c r="CI189" s="229">
        <v>0.80610000000000004</v>
      </c>
      <c r="CJ189" s="230">
        <v>32000</v>
      </c>
      <c r="CK189" s="230">
        <v>16000</v>
      </c>
      <c r="CL189" s="230">
        <v>16000</v>
      </c>
      <c r="CM189" s="229">
        <v>1</v>
      </c>
      <c r="CN189" s="230">
        <v>5841000</v>
      </c>
      <c r="CO189" s="230">
        <v>2687000</v>
      </c>
      <c r="CP189" s="230">
        <v>3154000</v>
      </c>
      <c r="CQ189" s="229">
        <v>1.1738</v>
      </c>
      <c r="CR189" s="230">
        <v>2487000</v>
      </c>
      <c r="CS189" s="230">
        <v>1496000</v>
      </c>
      <c r="CT189" s="230">
        <v>991000</v>
      </c>
      <c r="CU189" s="229">
        <v>0.66239999999999999</v>
      </c>
      <c r="CV189" s="230">
        <v>16807000</v>
      </c>
      <c r="CW189" s="230">
        <v>12116000</v>
      </c>
      <c r="CX189" s="230">
        <v>4691000</v>
      </c>
      <c r="CY189" s="229">
        <v>0.38719999999999999</v>
      </c>
      <c r="CZ189" s="228">
        <v>33.21</v>
      </c>
      <c r="DA189" s="228">
        <v>27.13</v>
      </c>
      <c r="DB189" s="228">
        <v>6.08</v>
      </c>
      <c r="DC189" s="228">
        <v>6.08</v>
      </c>
      <c r="DD189" s="228">
        <v>31.59</v>
      </c>
      <c r="DE189" s="228">
        <v>31.66</v>
      </c>
      <c r="DF189" s="228">
        <v>1.62</v>
      </c>
      <c r="DG189" s="228">
        <v>-7.0000000000000007E-2</v>
      </c>
      <c r="DH189" s="228">
        <v>33.35</v>
      </c>
      <c r="DI189" s="228">
        <v>27.18</v>
      </c>
      <c r="DJ189" s="228">
        <v>6.17</v>
      </c>
      <c r="DK189" s="228">
        <v>6.17</v>
      </c>
      <c r="DL189" s="228">
        <v>32.659999999999997</v>
      </c>
      <c r="DM189" s="228">
        <v>26.95</v>
      </c>
      <c r="DN189" s="228">
        <v>5.71</v>
      </c>
      <c r="DO189" s="228">
        <v>5.71</v>
      </c>
      <c r="DP189" s="228">
        <v>0.43</v>
      </c>
      <c r="DQ189" s="228">
        <v>0.56000000000000005</v>
      </c>
      <c r="DR189" s="228">
        <v>-0.13</v>
      </c>
      <c r="DS189" s="229">
        <v>-0.2321</v>
      </c>
      <c r="DT189" s="228">
        <v>680</v>
      </c>
      <c r="DU189" s="228">
        <v>660</v>
      </c>
      <c r="DV189" s="228">
        <v>0.25</v>
      </c>
      <c r="DW189" s="228">
        <v>0.28999999999999998</v>
      </c>
      <c r="DX189" s="228">
        <v>-0.04</v>
      </c>
      <c r="DY189" s="229">
        <v>-0.13789999999999999</v>
      </c>
      <c r="DZ189" s="229">
        <v>2.46E-2</v>
      </c>
      <c r="EA189" s="230">
        <v>114000</v>
      </c>
      <c r="EB189" s="229">
        <v>6.1999999999999998E-3</v>
      </c>
      <c r="EC189" s="229">
        <v>2.46E-2</v>
      </c>
      <c r="ED189" s="228">
        <v>4.45</v>
      </c>
      <c r="EE189" s="229">
        <v>6.7000000000000002E-3</v>
      </c>
      <c r="EF189" s="230">
        <v>1114780</v>
      </c>
      <c r="EG189" s="230">
        <v>241409</v>
      </c>
      <c r="EH189" s="229">
        <v>3.6177999999999999</v>
      </c>
      <c r="EI189" s="229">
        <v>0.44550000000000001</v>
      </c>
      <c r="EJ189" s="231">
        <v>175325.94</v>
      </c>
      <c r="EK189" s="231">
        <v>40993.42</v>
      </c>
      <c r="EL189" s="231">
        <v>44987.199999999997</v>
      </c>
      <c r="EM189" s="228">
        <v>988</v>
      </c>
      <c r="EN189" s="231">
        <v>261306.56</v>
      </c>
      <c r="EO189" s="231">
        <v>25074.06</v>
      </c>
      <c r="EP189" s="231">
        <v>236232.5</v>
      </c>
      <c r="EQ189" s="229">
        <v>9.4214000000000002</v>
      </c>
      <c r="ER189" s="231">
        <v>40370</v>
      </c>
      <c r="ES189" s="231">
        <v>15987</v>
      </c>
      <c r="ET189" s="231">
        <v>55819</v>
      </c>
      <c r="EU189" s="231">
        <v>24733183</v>
      </c>
      <c r="EV189" s="231">
        <v>112175</v>
      </c>
      <c r="EW189" s="231">
        <v>80395</v>
      </c>
      <c r="EX189" s="231">
        <v>31780</v>
      </c>
      <c r="EY189" s="229">
        <v>0.39529999999999998</v>
      </c>
      <c r="EZ189" s="229">
        <v>0.67949999999999999</v>
      </c>
      <c r="FA189" s="227" t="s">
        <v>567</v>
      </c>
      <c r="FB189" s="161">
        <f t="shared" si="4"/>
        <v>0</v>
      </c>
    </row>
    <row r="190" spans="1:158" ht="17.25" thickBot="1" x14ac:dyDescent="0.3">
      <c r="A190" s="226">
        <v>46029</v>
      </c>
      <c r="B190" s="227" t="s">
        <v>168</v>
      </c>
      <c r="C190" s="227" t="s">
        <v>291</v>
      </c>
      <c r="D190" s="228">
        <v>550</v>
      </c>
      <c r="E190" s="231">
        <v>1216.4000000000001</v>
      </c>
      <c r="F190" s="231">
        <v>1215.5999999999999</v>
      </c>
      <c r="G190" s="228">
        <v>0.8</v>
      </c>
      <c r="H190" s="229">
        <v>6.9999999999999999E-4</v>
      </c>
      <c r="I190" s="231">
        <v>1212.5999999999999</v>
      </c>
      <c r="J190" s="231">
        <v>1210.4000000000001</v>
      </c>
      <c r="K190" s="228">
        <v>2.2000000000000002</v>
      </c>
      <c r="L190" s="229">
        <v>1.8E-3</v>
      </c>
      <c r="M190" s="231">
        <v>1216.4000000000001</v>
      </c>
      <c r="N190" s="231">
        <v>1215.5999999999999</v>
      </c>
      <c r="O190" s="228">
        <v>0.8</v>
      </c>
      <c r="P190" s="229">
        <v>6.9999999999999999E-4</v>
      </c>
      <c r="Q190" s="231">
        <v>1223.4000000000001</v>
      </c>
      <c r="R190" s="231">
        <v>1222.4000000000001</v>
      </c>
      <c r="S190" s="228">
        <v>1</v>
      </c>
      <c r="T190" s="229">
        <v>8.0000000000000004E-4</v>
      </c>
      <c r="U190" s="231">
        <v>1227.8</v>
      </c>
      <c r="V190" s="231">
        <v>1230.7</v>
      </c>
      <c r="W190" s="228">
        <v>-2.9</v>
      </c>
      <c r="X190" s="229">
        <v>-2.3999999999999998E-3</v>
      </c>
      <c r="Y190" s="228">
        <v>3.8</v>
      </c>
      <c r="Z190" s="228">
        <v>5.2</v>
      </c>
      <c r="AA190" s="228">
        <v>-1.4</v>
      </c>
      <c r="AB190" s="229">
        <v>3.0999999999999999E-3</v>
      </c>
      <c r="AC190" s="228">
        <v>3.8</v>
      </c>
      <c r="AD190" s="228">
        <v>5.2</v>
      </c>
      <c r="AE190" s="228">
        <v>-1.4</v>
      </c>
      <c r="AF190" s="229">
        <v>3.0999999999999999E-3</v>
      </c>
      <c r="AG190" s="228">
        <v>10.8</v>
      </c>
      <c r="AH190" s="228">
        <v>12</v>
      </c>
      <c r="AI190" s="228">
        <v>-1.2</v>
      </c>
      <c r="AJ190" s="229">
        <v>8.8999999999999999E-3</v>
      </c>
      <c r="AK190" s="228">
        <v>15.2</v>
      </c>
      <c r="AL190" s="228">
        <v>20.3</v>
      </c>
      <c r="AM190" s="228">
        <v>-5.0999999999999996</v>
      </c>
      <c r="AN190" s="229">
        <v>1.2500000000000001E-2</v>
      </c>
      <c r="AO190" s="231">
        <v>1217.0999999999999</v>
      </c>
      <c r="AP190" s="231">
        <v>1224.6600000000001</v>
      </c>
      <c r="AQ190" s="228">
        <v>0</v>
      </c>
      <c r="AR190" s="230">
        <v>1476200</v>
      </c>
      <c r="AS190" s="230">
        <v>2471150</v>
      </c>
      <c r="AT190" s="230">
        <v>-994950</v>
      </c>
      <c r="AU190" s="229">
        <v>-0.40260000000000001</v>
      </c>
      <c r="AV190" s="230">
        <v>1420650</v>
      </c>
      <c r="AW190" s="230">
        <v>2371600</v>
      </c>
      <c r="AX190" s="230">
        <v>-950950</v>
      </c>
      <c r="AY190" s="229">
        <v>-0.40100000000000002</v>
      </c>
      <c r="AZ190" s="230">
        <v>51700</v>
      </c>
      <c r="BA190" s="230">
        <v>90200</v>
      </c>
      <c r="BB190" s="230">
        <v>-38500</v>
      </c>
      <c r="BC190" s="229">
        <v>-0.42680000000000001</v>
      </c>
      <c r="BD190" s="230">
        <v>3850</v>
      </c>
      <c r="BE190" s="230">
        <v>9350</v>
      </c>
      <c r="BF190" s="230">
        <v>-5500</v>
      </c>
      <c r="BG190" s="229">
        <v>-0.58819999999999995</v>
      </c>
      <c r="BH190" s="230">
        <v>6817250</v>
      </c>
      <c r="BI190" s="230">
        <v>9940150</v>
      </c>
      <c r="BJ190" s="230">
        <v>-3122900</v>
      </c>
      <c r="BK190" s="229">
        <v>-0.31419999999999998</v>
      </c>
      <c r="BL190" s="230">
        <v>2097700</v>
      </c>
      <c r="BM190" s="230">
        <v>3032700</v>
      </c>
      <c r="BN190" s="230">
        <v>-935000</v>
      </c>
      <c r="BO190" s="229">
        <v>-0.30830000000000002</v>
      </c>
      <c r="BP190" s="230">
        <v>10391150</v>
      </c>
      <c r="BQ190" s="230">
        <v>15444000</v>
      </c>
      <c r="BR190" s="230">
        <v>-5052850</v>
      </c>
      <c r="BS190" s="229">
        <v>-0.32719999999999999</v>
      </c>
      <c r="BT190" s="230">
        <v>1067084</v>
      </c>
      <c r="BU190" s="230">
        <v>1296597</v>
      </c>
      <c r="BV190" s="230">
        <v>-229513</v>
      </c>
      <c r="BW190" s="229">
        <v>-0.17699999999999999</v>
      </c>
      <c r="BX190" s="230">
        <v>11695750</v>
      </c>
      <c r="BY190" s="230">
        <v>11737550</v>
      </c>
      <c r="BZ190" s="230">
        <v>-41800</v>
      </c>
      <c r="CA190" s="229">
        <v>-3.5999999999999999E-3</v>
      </c>
      <c r="CB190" s="230">
        <v>11521950</v>
      </c>
      <c r="CC190" s="230">
        <v>11570350</v>
      </c>
      <c r="CD190" s="230">
        <v>-48400</v>
      </c>
      <c r="CE190" s="229">
        <v>-4.1999999999999997E-3</v>
      </c>
      <c r="CF190" s="230">
        <v>149600</v>
      </c>
      <c r="CG190" s="230">
        <v>145200</v>
      </c>
      <c r="CH190" s="230">
        <v>4400</v>
      </c>
      <c r="CI190" s="229">
        <v>3.0300000000000001E-2</v>
      </c>
      <c r="CJ190" s="230">
        <v>24200</v>
      </c>
      <c r="CK190" s="230">
        <v>22000</v>
      </c>
      <c r="CL190" s="230">
        <v>2200</v>
      </c>
      <c r="CM190" s="229">
        <v>0.1</v>
      </c>
      <c r="CN190" s="230">
        <v>3669050</v>
      </c>
      <c r="CO190" s="230">
        <v>3316500</v>
      </c>
      <c r="CP190" s="230">
        <v>352550</v>
      </c>
      <c r="CQ190" s="229">
        <v>0.10630000000000001</v>
      </c>
      <c r="CR190" s="230">
        <v>3281850</v>
      </c>
      <c r="CS190" s="230">
        <v>3308800</v>
      </c>
      <c r="CT190" s="230">
        <v>-26950</v>
      </c>
      <c r="CU190" s="229">
        <v>-8.0999999999999996E-3</v>
      </c>
      <c r="CV190" s="230">
        <v>18646650</v>
      </c>
      <c r="CW190" s="230">
        <v>18362850</v>
      </c>
      <c r="CX190" s="230">
        <v>283800</v>
      </c>
      <c r="CY190" s="229">
        <v>1.55E-2</v>
      </c>
      <c r="CZ190" s="228">
        <v>22.09</v>
      </c>
      <c r="DA190" s="228">
        <v>22.06</v>
      </c>
      <c r="DB190" s="228">
        <v>0.03</v>
      </c>
      <c r="DC190" s="228">
        <v>0.03</v>
      </c>
      <c r="DD190" s="228">
        <v>25.67</v>
      </c>
      <c r="DE190" s="228">
        <v>25.73</v>
      </c>
      <c r="DF190" s="228">
        <v>-3.58</v>
      </c>
      <c r="DG190" s="228">
        <v>-0.06</v>
      </c>
      <c r="DH190" s="228">
        <v>22.04</v>
      </c>
      <c r="DI190" s="228">
        <v>21.9</v>
      </c>
      <c r="DJ190" s="228">
        <v>0.14000000000000001</v>
      </c>
      <c r="DK190" s="228">
        <v>0.14000000000000001</v>
      </c>
      <c r="DL190" s="228">
        <v>22.27</v>
      </c>
      <c r="DM190" s="228">
        <v>22.57</v>
      </c>
      <c r="DN190" s="228">
        <v>-0.3</v>
      </c>
      <c r="DO190" s="228">
        <v>-0.3</v>
      </c>
      <c r="DP190" s="228">
        <v>0.89</v>
      </c>
      <c r="DQ190" s="228">
        <v>1</v>
      </c>
      <c r="DR190" s="228">
        <v>-0.11</v>
      </c>
      <c r="DS190" s="229">
        <v>-0.11</v>
      </c>
      <c r="DT190" s="231">
        <v>1220</v>
      </c>
      <c r="DU190" s="231">
        <v>1080</v>
      </c>
      <c r="DV190" s="228">
        <v>0.31</v>
      </c>
      <c r="DW190" s="228">
        <v>0.31</v>
      </c>
      <c r="DX190" s="228">
        <v>0</v>
      </c>
      <c r="DY190" s="229">
        <v>0</v>
      </c>
      <c r="DZ190" s="229">
        <v>1.49E-2</v>
      </c>
      <c r="EA190" s="230">
        <v>167200</v>
      </c>
      <c r="EB190" s="229">
        <v>5.7999999999999996E-3</v>
      </c>
      <c r="EC190" s="229">
        <v>1.49E-2</v>
      </c>
      <c r="ED190" s="228">
        <v>7.56</v>
      </c>
      <c r="EE190" s="229">
        <v>6.1999999999999998E-3</v>
      </c>
      <c r="EF190" s="230">
        <v>607039</v>
      </c>
      <c r="EG190" s="230">
        <v>691282</v>
      </c>
      <c r="EH190" s="229">
        <v>-0.12189999999999999</v>
      </c>
      <c r="EI190" s="229">
        <v>0.56889999999999996</v>
      </c>
      <c r="EJ190" s="231">
        <v>85567</v>
      </c>
      <c r="EK190" s="231">
        <v>24992.26</v>
      </c>
      <c r="EL190" s="231">
        <v>17971.21</v>
      </c>
      <c r="EM190" s="231">
        <v>3112</v>
      </c>
      <c r="EN190" s="231">
        <v>128530.47</v>
      </c>
      <c r="EO190" s="231">
        <v>189806.69</v>
      </c>
      <c r="EP190" s="231">
        <v>-61276.22</v>
      </c>
      <c r="EQ190" s="229">
        <v>-0.32279999999999998</v>
      </c>
      <c r="ER190" s="231">
        <v>45791</v>
      </c>
      <c r="ES190" s="231">
        <v>37246</v>
      </c>
      <c r="ET190" s="231">
        <v>142280</v>
      </c>
      <c r="EU190" s="231">
        <v>65472326</v>
      </c>
      <c r="EV190" s="231">
        <v>225317</v>
      </c>
      <c r="EW190" s="231">
        <v>221559</v>
      </c>
      <c r="EX190" s="231">
        <v>3758</v>
      </c>
      <c r="EY190" s="229">
        <v>1.7000000000000001E-2</v>
      </c>
      <c r="EZ190" s="229">
        <v>0.2848</v>
      </c>
      <c r="FA190" s="227" t="s">
        <v>556</v>
      </c>
      <c r="FB190" s="161">
        <f t="shared" si="4"/>
        <v>0</v>
      </c>
    </row>
    <row r="191" spans="1:158" ht="17.25" thickBot="1" x14ac:dyDescent="0.3">
      <c r="A191" s="226">
        <v>46029</v>
      </c>
      <c r="B191" s="227" t="s">
        <v>221</v>
      </c>
      <c r="C191" s="227" t="s">
        <v>604</v>
      </c>
      <c r="D191" s="228">
        <v>100</v>
      </c>
      <c r="E191" s="231">
        <v>5877.5</v>
      </c>
      <c r="F191" s="231">
        <v>5360</v>
      </c>
      <c r="G191" s="228">
        <v>517.5</v>
      </c>
      <c r="H191" s="229">
        <v>9.6500000000000002E-2</v>
      </c>
      <c r="I191" s="231">
        <v>5853</v>
      </c>
      <c r="J191" s="231">
        <v>5345</v>
      </c>
      <c r="K191" s="228">
        <v>508</v>
      </c>
      <c r="L191" s="229">
        <v>9.5000000000000001E-2</v>
      </c>
      <c r="M191" s="231">
        <v>5877.5</v>
      </c>
      <c r="N191" s="231">
        <v>5360</v>
      </c>
      <c r="O191" s="228">
        <v>517.5</v>
      </c>
      <c r="P191" s="229">
        <v>9.6500000000000002E-2</v>
      </c>
      <c r="Q191" s="231">
        <v>5889</v>
      </c>
      <c r="R191" s="231">
        <v>5385.5</v>
      </c>
      <c r="S191" s="228">
        <v>503.5</v>
      </c>
      <c r="T191" s="229">
        <v>9.35E-2</v>
      </c>
      <c r="U191" s="231">
        <v>5905</v>
      </c>
      <c r="V191" s="231">
        <v>5379.5</v>
      </c>
      <c r="W191" s="228">
        <v>525.5</v>
      </c>
      <c r="X191" s="229">
        <v>9.7699999999999995E-2</v>
      </c>
      <c r="Y191" s="228">
        <v>24.5</v>
      </c>
      <c r="Z191" s="228">
        <v>15</v>
      </c>
      <c r="AA191" s="228">
        <v>9.5</v>
      </c>
      <c r="AB191" s="229">
        <v>4.1999999999999997E-3</v>
      </c>
      <c r="AC191" s="228">
        <v>24.5</v>
      </c>
      <c r="AD191" s="228">
        <v>15</v>
      </c>
      <c r="AE191" s="228">
        <v>9.5</v>
      </c>
      <c r="AF191" s="229">
        <v>4.1999999999999997E-3</v>
      </c>
      <c r="AG191" s="228">
        <v>36</v>
      </c>
      <c r="AH191" s="228">
        <v>40.5</v>
      </c>
      <c r="AI191" s="228">
        <v>-4.5</v>
      </c>
      <c r="AJ191" s="229">
        <v>6.1999999999999998E-3</v>
      </c>
      <c r="AK191" s="228">
        <v>52</v>
      </c>
      <c r="AL191" s="228">
        <v>34.5</v>
      </c>
      <c r="AM191" s="228">
        <v>17.5</v>
      </c>
      <c r="AN191" s="229">
        <v>8.8999999999999999E-3</v>
      </c>
      <c r="AO191" s="231">
        <v>5748.53</v>
      </c>
      <c r="AP191" s="231">
        <v>5792.64</v>
      </c>
      <c r="AQ191" s="228">
        <v>0</v>
      </c>
      <c r="AR191" s="230">
        <v>2155900</v>
      </c>
      <c r="AS191" s="230">
        <v>172500</v>
      </c>
      <c r="AT191" s="230">
        <v>1983400</v>
      </c>
      <c r="AU191" s="229">
        <v>11.497999999999999</v>
      </c>
      <c r="AV191" s="230">
        <v>1973500</v>
      </c>
      <c r="AW191" s="230">
        <v>166000</v>
      </c>
      <c r="AX191" s="230">
        <v>1807500</v>
      </c>
      <c r="AY191" s="229">
        <v>10.8886</v>
      </c>
      <c r="AZ191" s="230">
        <v>167400</v>
      </c>
      <c r="BA191" s="230">
        <v>5500</v>
      </c>
      <c r="BB191" s="230">
        <v>161900</v>
      </c>
      <c r="BC191" s="229">
        <v>29.436399999999999</v>
      </c>
      <c r="BD191" s="230">
        <v>15000</v>
      </c>
      <c r="BE191" s="230">
        <v>1000</v>
      </c>
      <c r="BF191" s="230">
        <v>14000</v>
      </c>
      <c r="BG191" s="229">
        <v>14</v>
      </c>
      <c r="BH191" s="230">
        <v>21318800</v>
      </c>
      <c r="BI191" s="230">
        <v>595800</v>
      </c>
      <c r="BJ191" s="230">
        <v>20723000</v>
      </c>
      <c r="BK191" s="229">
        <v>34.781799999999997</v>
      </c>
      <c r="BL191" s="230">
        <v>5949600</v>
      </c>
      <c r="BM191" s="230">
        <v>238100</v>
      </c>
      <c r="BN191" s="230">
        <v>5711500</v>
      </c>
      <c r="BO191" s="229">
        <v>23.9878</v>
      </c>
      <c r="BP191" s="230">
        <v>29424300</v>
      </c>
      <c r="BQ191" s="230">
        <v>1006400</v>
      </c>
      <c r="BR191" s="230">
        <v>28417900</v>
      </c>
      <c r="BS191" s="229">
        <v>28.237200000000001</v>
      </c>
      <c r="BT191" s="230">
        <v>3012444</v>
      </c>
      <c r="BU191" s="230">
        <v>95430</v>
      </c>
      <c r="BV191" s="230">
        <v>2917014</v>
      </c>
      <c r="BW191" s="229">
        <v>30.5671</v>
      </c>
      <c r="BX191" s="230">
        <v>1679200</v>
      </c>
      <c r="BY191" s="230">
        <v>1527000</v>
      </c>
      <c r="BZ191" s="230">
        <v>152200</v>
      </c>
      <c r="CA191" s="229">
        <v>9.9699999999999997E-2</v>
      </c>
      <c r="CB191" s="230">
        <v>1624200</v>
      </c>
      <c r="CC191" s="230">
        <v>1472600</v>
      </c>
      <c r="CD191" s="230">
        <v>151600</v>
      </c>
      <c r="CE191" s="229">
        <v>0.10290000000000001</v>
      </c>
      <c r="CF191" s="230">
        <v>49600</v>
      </c>
      <c r="CG191" s="230">
        <v>52400</v>
      </c>
      <c r="CH191" s="230">
        <v>-2800</v>
      </c>
      <c r="CI191" s="229">
        <v>-5.3400000000000003E-2</v>
      </c>
      <c r="CJ191" s="230">
        <v>5400</v>
      </c>
      <c r="CK191" s="230">
        <v>2000</v>
      </c>
      <c r="CL191" s="230">
        <v>3400</v>
      </c>
      <c r="CM191" s="229">
        <v>1.7</v>
      </c>
      <c r="CN191" s="230">
        <v>1224500</v>
      </c>
      <c r="CO191" s="230">
        <v>797700</v>
      </c>
      <c r="CP191" s="230">
        <v>426800</v>
      </c>
      <c r="CQ191" s="229">
        <v>0.53500000000000003</v>
      </c>
      <c r="CR191" s="230">
        <v>1069200</v>
      </c>
      <c r="CS191" s="230">
        <v>532500</v>
      </c>
      <c r="CT191" s="230">
        <v>536700</v>
      </c>
      <c r="CU191" s="229">
        <v>1.0079</v>
      </c>
      <c r="CV191" s="230">
        <v>3972900</v>
      </c>
      <c r="CW191" s="230">
        <v>2857200</v>
      </c>
      <c r="CX191" s="230">
        <v>1115700</v>
      </c>
      <c r="CY191" s="229">
        <v>0.39050000000000001</v>
      </c>
      <c r="CZ191" s="228">
        <v>35.950000000000003</v>
      </c>
      <c r="DA191" s="228">
        <v>31.41</v>
      </c>
      <c r="DB191" s="228">
        <v>4.54</v>
      </c>
      <c r="DC191" s="228">
        <v>4.54</v>
      </c>
      <c r="DD191" s="228">
        <v>37.549999999999997</v>
      </c>
      <c r="DE191" s="228">
        <v>35.520000000000003</v>
      </c>
      <c r="DF191" s="228">
        <v>-1.6</v>
      </c>
      <c r="DG191" s="228">
        <v>2.0299999999999998</v>
      </c>
      <c r="DH191" s="228">
        <v>35.82</v>
      </c>
      <c r="DI191" s="228">
        <v>31.48</v>
      </c>
      <c r="DJ191" s="228">
        <v>4.34</v>
      </c>
      <c r="DK191" s="228">
        <v>4.34</v>
      </c>
      <c r="DL191" s="228">
        <v>36.39</v>
      </c>
      <c r="DM191" s="228">
        <v>31.23</v>
      </c>
      <c r="DN191" s="228">
        <v>5.16</v>
      </c>
      <c r="DO191" s="228">
        <v>5.16</v>
      </c>
      <c r="DP191" s="228">
        <v>0.87</v>
      </c>
      <c r="DQ191" s="228">
        <v>0.67</v>
      </c>
      <c r="DR191" s="228">
        <v>0.2</v>
      </c>
      <c r="DS191" s="229">
        <v>0.29849999999999999</v>
      </c>
      <c r="DT191" s="231">
        <v>6000</v>
      </c>
      <c r="DU191" s="231">
        <v>5300</v>
      </c>
      <c r="DV191" s="228">
        <v>0.28000000000000003</v>
      </c>
      <c r="DW191" s="228">
        <v>0.4</v>
      </c>
      <c r="DX191" s="228">
        <v>-0.12</v>
      </c>
      <c r="DY191" s="229">
        <v>-0.3</v>
      </c>
      <c r="DZ191" s="229">
        <v>3.2800000000000003E-2</v>
      </c>
      <c r="EA191" s="230">
        <v>54400</v>
      </c>
      <c r="EB191" s="229">
        <v>2E-3</v>
      </c>
      <c r="EC191" s="229">
        <v>3.2800000000000003E-2</v>
      </c>
      <c r="ED191" s="228">
        <v>44.11</v>
      </c>
      <c r="EE191" s="229">
        <v>7.7000000000000002E-3</v>
      </c>
      <c r="EF191" s="230">
        <v>483319</v>
      </c>
      <c r="EG191" s="230">
        <v>41372</v>
      </c>
      <c r="EH191" s="229">
        <v>10.6823</v>
      </c>
      <c r="EI191" s="229">
        <v>0.16039999999999999</v>
      </c>
      <c r="EJ191" s="231">
        <v>1291217.48</v>
      </c>
      <c r="EK191" s="231">
        <v>331898</v>
      </c>
      <c r="EL191" s="231">
        <v>124002.09</v>
      </c>
      <c r="EM191" s="231">
        <v>2250</v>
      </c>
      <c r="EN191" s="231">
        <v>1747117.57</v>
      </c>
      <c r="EO191" s="231">
        <v>55479.97</v>
      </c>
      <c r="EP191" s="231">
        <v>1691637.6</v>
      </c>
      <c r="EQ191" s="229">
        <v>30.491</v>
      </c>
      <c r="ER191" s="231">
        <v>71943</v>
      </c>
      <c r="ES191" s="231">
        <v>58096</v>
      </c>
      <c r="ET191" s="231">
        <v>98702</v>
      </c>
      <c r="EU191" s="231">
        <v>5241546</v>
      </c>
      <c r="EV191" s="231">
        <v>228741</v>
      </c>
      <c r="EW191" s="231">
        <v>154149</v>
      </c>
      <c r="EX191" s="231">
        <v>74592</v>
      </c>
      <c r="EY191" s="229">
        <v>0.4839</v>
      </c>
      <c r="EZ191" s="229">
        <v>0.75800000000000001</v>
      </c>
      <c r="FA191" s="227" t="s">
        <v>555</v>
      </c>
      <c r="FB191" s="161">
        <f t="shared" si="4"/>
        <v>0</v>
      </c>
    </row>
    <row r="192" spans="1:158" ht="17.25" thickBot="1" x14ac:dyDescent="0.3">
      <c r="A192" s="226">
        <v>46029</v>
      </c>
      <c r="B192" s="227" t="s">
        <v>161</v>
      </c>
      <c r="C192" s="227" t="s">
        <v>293</v>
      </c>
      <c r="D192" s="228">
        <v>1450</v>
      </c>
      <c r="E192" s="228">
        <v>382.55</v>
      </c>
      <c r="F192" s="228">
        <v>388.35</v>
      </c>
      <c r="G192" s="228">
        <v>-5.8</v>
      </c>
      <c r="H192" s="229">
        <v>-1.49E-2</v>
      </c>
      <c r="I192" s="228">
        <v>380.75</v>
      </c>
      <c r="J192" s="228">
        <v>386.5</v>
      </c>
      <c r="K192" s="228">
        <v>-5.75</v>
      </c>
      <c r="L192" s="229">
        <v>-1.49E-2</v>
      </c>
      <c r="M192" s="228">
        <v>382.55</v>
      </c>
      <c r="N192" s="228">
        <v>388.35</v>
      </c>
      <c r="O192" s="228">
        <v>-5.8</v>
      </c>
      <c r="P192" s="229">
        <v>-1.49E-2</v>
      </c>
      <c r="Q192" s="228">
        <v>384.65</v>
      </c>
      <c r="R192" s="228">
        <v>390.85</v>
      </c>
      <c r="S192" s="228">
        <v>-6.2</v>
      </c>
      <c r="T192" s="229">
        <v>-1.5900000000000001E-2</v>
      </c>
      <c r="U192" s="228">
        <v>387.25</v>
      </c>
      <c r="V192" s="228">
        <v>393.25</v>
      </c>
      <c r="W192" s="228">
        <v>-6</v>
      </c>
      <c r="X192" s="229">
        <v>-1.5299999999999999E-2</v>
      </c>
      <c r="Y192" s="228">
        <v>1.8</v>
      </c>
      <c r="Z192" s="228">
        <v>1.85</v>
      </c>
      <c r="AA192" s="228">
        <v>-0.05</v>
      </c>
      <c r="AB192" s="229">
        <v>4.7000000000000002E-3</v>
      </c>
      <c r="AC192" s="228">
        <v>1.8</v>
      </c>
      <c r="AD192" s="228">
        <v>1.85</v>
      </c>
      <c r="AE192" s="228">
        <v>-0.05</v>
      </c>
      <c r="AF192" s="229">
        <v>4.7000000000000002E-3</v>
      </c>
      <c r="AG192" s="228">
        <v>3.9</v>
      </c>
      <c r="AH192" s="228">
        <v>4.3499999999999996</v>
      </c>
      <c r="AI192" s="228">
        <v>-0.45</v>
      </c>
      <c r="AJ192" s="229">
        <v>1.0200000000000001E-2</v>
      </c>
      <c r="AK192" s="228">
        <v>6.5</v>
      </c>
      <c r="AL192" s="228">
        <v>6.75</v>
      </c>
      <c r="AM192" s="228">
        <v>-0.25</v>
      </c>
      <c r="AN192" s="229">
        <v>1.7100000000000001E-2</v>
      </c>
      <c r="AO192" s="228">
        <v>383.8</v>
      </c>
      <c r="AP192" s="228">
        <v>385.95</v>
      </c>
      <c r="AQ192" s="228">
        <v>0</v>
      </c>
      <c r="AR192" s="230">
        <v>7409500</v>
      </c>
      <c r="AS192" s="230">
        <v>4558800</v>
      </c>
      <c r="AT192" s="230">
        <v>2850700</v>
      </c>
      <c r="AU192" s="229">
        <v>0.62529999999999997</v>
      </c>
      <c r="AV192" s="230">
        <v>6542400</v>
      </c>
      <c r="AW192" s="230">
        <v>3971550</v>
      </c>
      <c r="AX192" s="230">
        <v>2570850</v>
      </c>
      <c r="AY192" s="229">
        <v>0.64729999999999999</v>
      </c>
      <c r="AZ192" s="230">
        <v>739500</v>
      </c>
      <c r="BA192" s="230">
        <v>545200</v>
      </c>
      <c r="BB192" s="230">
        <v>194300</v>
      </c>
      <c r="BC192" s="229">
        <v>0.35639999999999999</v>
      </c>
      <c r="BD192" s="230">
        <v>127600</v>
      </c>
      <c r="BE192" s="230">
        <v>42050</v>
      </c>
      <c r="BF192" s="230">
        <v>85550</v>
      </c>
      <c r="BG192" s="229">
        <v>2.0345</v>
      </c>
      <c r="BH192" s="230">
        <v>33441350</v>
      </c>
      <c r="BI192" s="230">
        <v>26230500</v>
      </c>
      <c r="BJ192" s="230">
        <v>7210850</v>
      </c>
      <c r="BK192" s="229">
        <v>0.27489999999999998</v>
      </c>
      <c r="BL192" s="230">
        <v>14276700</v>
      </c>
      <c r="BM192" s="230">
        <v>12007450</v>
      </c>
      <c r="BN192" s="230">
        <v>2269250</v>
      </c>
      <c r="BO192" s="229">
        <v>0.189</v>
      </c>
      <c r="BP192" s="230">
        <v>55127550</v>
      </c>
      <c r="BQ192" s="230">
        <v>42796750</v>
      </c>
      <c r="BR192" s="230">
        <v>12330800</v>
      </c>
      <c r="BS192" s="229">
        <v>0.28810000000000002</v>
      </c>
      <c r="BT192" s="230">
        <v>4284060</v>
      </c>
      <c r="BU192" s="230">
        <v>3982035</v>
      </c>
      <c r="BV192" s="230">
        <v>302025</v>
      </c>
      <c r="BW192" s="229">
        <v>7.5800000000000006E-2</v>
      </c>
      <c r="BX192" s="230">
        <v>57714350</v>
      </c>
      <c r="BY192" s="230">
        <v>57605600</v>
      </c>
      <c r="BZ192" s="230">
        <v>108750</v>
      </c>
      <c r="CA192" s="229">
        <v>1.9E-3</v>
      </c>
      <c r="CB192" s="230">
        <v>55236300</v>
      </c>
      <c r="CC192" s="230">
        <v>55461050</v>
      </c>
      <c r="CD192" s="230">
        <v>-224750</v>
      </c>
      <c r="CE192" s="229">
        <v>-4.1000000000000003E-3</v>
      </c>
      <c r="CF192" s="230">
        <v>2208350</v>
      </c>
      <c r="CG192" s="230">
        <v>1945900</v>
      </c>
      <c r="CH192" s="230">
        <v>262450</v>
      </c>
      <c r="CI192" s="229">
        <v>0.13489999999999999</v>
      </c>
      <c r="CJ192" s="230">
        <v>269700</v>
      </c>
      <c r="CK192" s="230">
        <v>198650</v>
      </c>
      <c r="CL192" s="230">
        <v>71050</v>
      </c>
      <c r="CM192" s="229">
        <v>0.35770000000000002</v>
      </c>
      <c r="CN192" s="230">
        <v>32358200</v>
      </c>
      <c r="CO192" s="230">
        <v>28975350</v>
      </c>
      <c r="CP192" s="230">
        <v>3382850</v>
      </c>
      <c r="CQ192" s="229">
        <v>0.1167</v>
      </c>
      <c r="CR192" s="230">
        <v>24951600</v>
      </c>
      <c r="CS192" s="230">
        <v>24038100</v>
      </c>
      <c r="CT192" s="230">
        <v>913500</v>
      </c>
      <c r="CU192" s="229">
        <v>3.7999999999999999E-2</v>
      </c>
      <c r="CV192" s="230">
        <v>115024150</v>
      </c>
      <c r="CW192" s="230">
        <v>110619050</v>
      </c>
      <c r="CX192" s="230">
        <v>4405100</v>
      </c>
      <c r="CY192" s="229">
        <v>3.9800000000000002E-2</v>
      </c>
      <c r="CZ192" s="228">
        <v>19.53</v>
      </c>
      <c r="DA192" s="228">
        <v>18.399999999999999</v>
      </c>
      <c r="DB192" s="228">
        <v>1.1299999999999999</v>
      </c>
      <c r="DC192" s="228">
        <v>1.1299999999999999</v>
      </c>
      <c r="DD192" s="228">
        <v>30.93</v>
      </c>
      <c r="DE192" s="228">
        <v>30.94</v>
      </c>
      <c r="DF192" s="228">
        <v>-11.4</v>
      </c>
      <c r="DG192" s="228">
        <v>-0.01</v>
      </c>
      <c r="DH192" s="228">
        <v>19.82</v>
      </c>
      <c r="DI192" s="228">
        <v>18.57</v>
      </c>
      <c r="DJ192" s="228">
        <v>1.25</v>
      </c>
      <c r="DK192" s="228">
        <v>1.25</v>
      </c>
      <c r="DL192" s="228">
        <v>18.87</v>
      </c>
      <c r="DM192" s="228">
        <v>18.04</v>
      </c>
      <c r="DN192" s="228">
        <v>0.83</v>
      </c>
      <c r="DO192" s="228">
        <v>0.83</v>
      </c>
      <c r="DP192" s="228">
        <v>0.77</v>
      </c>
      <c r="DQ192" s="228">
        <v>0.83</v>
      </c>
      <c r="DR192" s="228">
        <v>-0.06</v>
      </c>
      <c r="DS192" s="229">
        <v>-7.2300000000000003E-2</v>
      </c>
      <c r="DT192" s="228">
        <v>400</v>
      </c>
      <c r="DU192" s="228">
        <v>380</v>
      </c>
      <c r="DV192" s="228">
        <v>0.43</v>
      </c>
      <c r="DW192" s="228">
        <v>0.46</v>
      </c>
      <c r="DX192" s="228">
        <v>-0.03</v>
      </c>
      <c r="DY192" s="229">
        <v>-6.5199999999999994E-2</v>
      </c>
      <c r="DZ192" s="229">
        <v>4.2900000000000001E-2</v>
      </c>
      <c r="EA192" s="230">
        <v>2144550</v>
      </c>
      <c r="EB192" s="229">
        <v>5.4999999999999997E-3</v>
      </c>
      <c r="EC192" s="229">
        <v>4.2900000000000001E-2</v>
      </c>
      <c r="ED192" s="228">
        <v>2.15</v>
      </c>
      <c r="EE192" s="229">
        <v>5.5999999999999999E-3</v>
      </c>
      <c r="EF192" s="230">
        <v>2360145</v>
      </c>
      <c r="EG192" s="230">
        <v>2462846</v>
      </c>
      <c r="EH192" s="229">
        <v>-4.1700000000000001E-2</v>
      </c>
      <c r="EI192" s="229">
        <v>0.55089999999999995</v>
      </c>
      <c r="EJ192" s="231">
        <v>132690.97</v>
      </c>
      <c r="EK192" s="231">
        <v>54791.55</v>
      </c>
      <c r="EL192" s="231">
        <v>28459.56</v>
      </c>
      <c r="EM192" s="231">
        <v>4882</v>
      </c>
      <c r="EN192" s="231">
        <v>215942.08</v>
      </c>
      <c r="EO192" s="231">
        <v>169879.34</v>
      </c>
      <c r="EP192" s="231">
        <v>46062.74</v>
      </c>
      <c r="EQ192" s="229">
        <v>0.27110000000000001</v>
      </c>
      <c r="ER192" s="231">
        <v>128358</v>
      </c>
      <c r="ES192" s="231">
        <v>97353</v>
      </c>
      <c r="ET192" s="231">
        <v>220845</v>
      </c>
      <c r="EU192" s="231">
        <v>202215001</v>
      </c>
      <c r="EV192" s="231">
        <v>446556</v>
      </c>
      <c r="EW192" s="231">
        <v>432870</v>
      </c>
      <c r="EX192" s="231">
        <v>13686</v>
      </c>
      <c r="EY192" s="229">
        <v>3.1600000000000003E-2</v>
      </c>
      <c r="EZ192" s="229">
        <v>0.56879999999999997</v>
      </c>
      <c r="FA192" s="227" t="s">
        <v>567</v>
      </c>
      <c r="FB192" s="161">
        <f t="shared" si="4"/>
        <v>0</v>
      </c>
    </row>
    <row r="193" spans="1:158" ht="17.25" thickBot="1" x14ac:dyDescent="0.3">
      <c r="A193" s="226">
        <v>46029</v>
      </c>
      <c r="B193" s="227" t="s">
        <v>227</v>
      </c>
      <c r="C193" s="227" t="s">
        <v>294</v>
      </c>
      <c r="D193" s="228">
        <v>5500</v>
      </c>
      <c r="E193" s="228">
        <v>184.47</v>
      </c>
      <c r="F193" s="228">
        <v>186.76</v>
      </c>
      <c r="G193" s="228">
        <v>-2.29</v>
      </c>
      <c r="H193" s="229">
        <v>-1.23E-2</v>
      </c>
      <c r="I193" s="228">
        <v>183.8</v>
      </c>
      <c r="J193" s="228">
        <v>186.2</v>
      </c>
      <c r="K193" s="228">
        <v>-2.4</v>
      </c>
      <c r="L193" s="229">
        <v>-1.29E-2</v>
      </c>
      <c r="M193" s="228">
        <v>184.47</v>
      </c>
      <c r="N193" s="228">
        <v>186.76</v>
      </c>
      <c r="O193" s="228">
        <v>-2.29</v>
      </c>
      <c r="P193" s="229">
        <v>-1.23E-2</v>
      </c>
      <c r="Q193" s="228">
        <v>185.52</v>
      </c>
      <c r="R193" s="228">
        <v>187.78</v>
      </c>
      <c r="S193" s="228">
        <v>-2.2599999999999998</v>
      </c>
      <c r="T193" s="229">
        <v>-1.2E-2</v>
      </c>
      <c r="U193" s="228">
        <v>186.75</v>
      </c>
      <c r="V193" s="228">
        <v>189.03</v>
      </c>
      <c r="W193" s="228">
        <v>-2.2799999999999998</v>
      </c>
      <c r="X193" s="229">
        <v>-1.21E-2</v>
      </c>
      <c r="Y193" s="228">
        <v>0.67</v>
      </c>
      <c r="Z193" s="228">
        <v>0.56000000000000005</v>
      </c>
      <c r="AA193" s="228">
        <v>0.11</v>
      </c>
      <c r="AB193" s="229">
        <v>3.5999999999999999E-3</v>
      </c>
      <c r="AC193" s="228">
        <v>0.67</v>
      </c>
      <c r="AD193" s="228">
        <v>0.56000000000000005</v>
      </c>
      <c r="AE193" s="228">
        <v>0.11</v>
      </c>
      <c r="AF193" s="229">
        <v>3.5999999999999999E-3</v>
      </c>
      <c r="AG193" s="228">
        <v>1.72</v>
      </c>
      <c r="AH193" s="228">
        <v>1.58</v>
      </c>
      <c r="AI193" s="228">
        <v>0.14000000000000001</v>
      </c>
      <c r="AJ193" s="229">
        <v>9.4000000000000004E-3</v>
      </c>
      <c r="AK193" s="228">
        <v>2.95</v>
      </c>
      <c r="AL193" s="228">
        <v>2.83</v>
      </c>
      <c r="AM193" s="228">
        <v>0.12</v>
      </c>
      <c r="AN193" s="229">
        <v>1.61E-2</v>
      </c>
      <c r="AO193" s="228">
        <v>185.13</v>
      </c>
      <c r="AP193" s="228">
        <v>186.15</v>
      </c>
      <c r="AQ193" s="228">
        <v>0</v>
      </c>
      <c r="AR193" s="230">
        <v>34193500</v>
      </c>
      <c r="AS193" s="230">
        <v>59642000</v>
      </c>
      <c r="AT193" s="230">
        <v>-25448500</v>
      </c>
      <c r="AU193" s="229">
        <v>-0.42670000000000002</v>
      </c>
      <c r="AV193" s="230">
        <v>30277500</v>
      </c>
      <c r="AW193" s="230">
        <v>54510500</v>
      </c>
      <c r="AX193" s="230">
        <v>-24233000</v>
      </c>
      <c r="AY193" s="229">
        <v>-0.4446</v>
      </c>
      <c r="AZ193" s="230">
        <v>3316500</v>
      </c>
      <c r="BA193" s="230">
        <v>4086500</v>
      </c>
      <c r="BB193" s="230">
        <v>-770000</v>
      </c>
      <c r="BC193" s="229">
        <v>-0.18840000000000001</v>
      </c>
      <c r="BD193" s="230">
        <v>599500</v>
      </c>
      <c r="BE193" s="230">
        <v>1045000</v>
      </c>
      <c r="BF193" s="230">
        <v>-445500</v>
      </c>
      <c r="BG193" s="229">
        <v>-0.42630000000000001</v>
      </c>
      <c r="BH193" s="230">
        <v>122419000</v>
      </c>
      <c r="BI193" s="230">
        <v>195294000</v>
      </c>
      <c r="BJ193" s="230">
        <v>-72875000</v>
      </c>
      <c r="BK193" s="229">
        <v>-0.37319999999999998</v>
      </c>
      <c r="BL193" s="230">
        <v>101750000</v>
      </c>
      <c r="BM193" s="230">
        <v>177100000</v>
      </c>
      <c r="BN193" s="230">
        <v>-75350000</v>
      </c>
      <c r="BO193" s="229">
        <v>-0.42549999999999999</v>
      </c>
      <c r="BP193" s="230">
        <v>258362500</v>
      </c>
      <c r="BQ193" s="230">
        <v>432036000</v>
      </c>
      <c r="BR193" s="230">
        <v>-173673500</v>
      </c>
      <c r="BS193" s="229">
        <v>-0.40200000000000002</v>
      </c>
      <c r="BT193" s="230">
        <v>19545311</v>
      </c>
      <c r="BU193" s="230">
        <v>29514499</v>
      </c>
      <c r="BV193" s="230">
        <v>-9969188</v>
      </c>
      <c r="BW193" s="229">
        <v>-0.33779999999999999</v>
      </c>
      <c r="BX193" s="230">
        <v>255282500</v>
      </c>
      <c r="BY193" s="230">
        <v>257262500</v>
      </c>
      <c r="BZ193" s="230">
        <v>-1980000</v>
      </c>
      <c r="CA193" s="229">
        <v>-7.7000000000000002E-3</v>
      </c>
      <c r="CB193" s="230">
        <v>247577000</v>
      </c>
      <c r="CC193" s="230">
        <v>250178500</v>
      </c>
      <c r="CD193" s="230">
        <v>-2601500</v>
      </c>
      <c r="CE193" s="229">
        <v>-1.04E-2</v>
      </c>
      <c r="CF193" s="230">
        <v>6523000</v>
      </c>
      <c r="CG193" s="230">
        <v>6077500</v>
      </c>
      <c r="CH193" s="230">
        <v>445500</v>
      </c>
      <c r="CI193" s="229">
        <v>7.3300000000000004E-2</v>
      </c>
      <c r="CJ193" s="230">
        <v>1182500</v>
      </c>
      <c r="CK193" s="230">
        <v>1006500</v>
      </c>
      <c r="CL193" s="230">
        <v>176000</v>
      </c>
      <c r="CM193" s="229">
        <v>0.1749</v>
      </c>
      <c r="CN193" s="230">
        <v>121984500</v>
      </c>
      <c r="CO193" s="230">
        <v>114301000</v>
      </c>
      <c r="CP193" s="230">
        <v>7683500</v>
      </c>
      <c r="CQ193" s="229">
        <v>6.7199999999999996E-2</v>
      </c>
      <c r="CR193" s="230">
        <v>104516500</v>
      </c>
      <c r="CS193" s="230">
        <v>105523000</v>
      </c>
      <c r="CT193" s="230">
        <v>-1006500</v>
      </c>
      <c r="CU193" s="229">
        <v>-9.4999999999999998E-3</v>
      </c>
      <c r="CV193" s="230">
        <v>481783500</v>
      </c>
      <c r="CW193" s="230">
        <v>477086500</v>
      </c>
      <c r="CX193" s="230">
        <v>4697000</v>
      </c>
      <c r="CY193" s="229">
        <v>9.7999999999999997E-3</v>
      </c>
      <c r="CZ193" s="228">
        <v>25.58</v>
      </c>
      <c r="DA193" s="228">
        <v>26.1</v>
      </c>
      <c r="DB193" s="228">
        <v>-0.52</v>
      </c>
      <c r="DC193" s="228">
        <v>-0.52</v>
      </c>
      <c r="DD193" s="228">
        <v>32.31</v>
      </c>
      <c r="DE193" s="228">
        <v>32.35</v>
      </c>
      <c r="DF193" s="228">
        <v>-6.73</v>
      </c>
      <c r="DG193" s="228">
        <v>-0.04</v>
      </c>
      <c r="DH193" s="228">
        <v>25.49</v>
      </c>
      <c r="DI193" s="228">
        <v>25.33</v>
      </c>
      <c r="DJ193" s="228">
        <v>0.16</v>
      </c>
      <c r="DK193" s="228">
        <v>0.16</v>
      </c>
      <c r="DL193" s="228">
        <v>25.67</v>
      </c>
      <c r="DM193" s="228">
        <v>26.96</v>
      </c>
      <c r="DN193" s="228">
        <v>-1.29</v>
      </c>
      <c r="DO193" s="228">
        <v>-1.29</v>
      </c>
      <c r="DP193" s="228">
        <v>0.86</v>
      </c>
      <c r="DQ193" s="228">
        <v>0.92</v>
      </c>
      <c r="DR193" s="228">
        <v>-0.06</v>
      </c>
      <c r="DS193" s="229">
        <v>-6.5199999999999994E-2</v>
      </c>
      <c r="DT193" s="228">
        <v>190</v>
      </c>
      <c r="DU193" s="228">
        <v>170</v>
      </c>
      <c r="DV193" s="228">
        <v>0.83</v>
      </c>
      <c r="DW193" s="228">
        <v>0.91</v>
      </c>
      <c r="DX193" s="228">
        <v>-0.08</v>
      </c>
      <c r="DY193" s="229">
        <v>-8.7900000000000006E-2</v>
      </c>
      <c r="DZ193" s="229">
        <v>3.0200000000000001E-2</v>
      </c>
      <c r="EA193" s="230">
        <v>7084000</v>
      </c>
      <c r="EB193" s="229">
        <v>5.7000000000000002E-3</v>
      </c>
      <c r="EC193" s="229">
        <v>3.0200000000000001E-2</v>
      </c>
      <c r="ED193" s="228">
        <v>1.02</v>
      </c>
      <c r="EE193" s="229">
        <v>5.4999999999999997E-3</v>
      </c>
      <c r="EF193" s="230">
        <v>8905742</v>
      </c>
      <c r="EG193" s="230">
        <v>12584762</v>
      </c>
      <c r="EH193" s="229">
        <v>-0.2923</v>
      </c>
      <c r="EI193" s="229">
        <v>0.4556</v>
      </c>
      <c r="EJ193" s="231">
        <v>237509.14</v>
      </c>
      <c r="EK193" s="231">
        <v>185090.23</v>
      </c>
      <c r="EL193" s="231">
        <v>63349.82</v>
      </c>
      <c r="EM193" s="231">
        <v>9468</v>
      </c>
      <c r="EN193" s="231">
        <v>485949.19</v>
      </c>
      <c r="EO193" s="231">
        <v>815022.77</v>
      </c>
      <c r="EP193" s="231">
        <v>-329073.58</v>
      </c>
      <c r="EQ193" s="229">
        <v>-0.40379999999999999</v>
      </c>
      <c r="ER193" s="231">
        <v>229799</v>
      </c>
      <c r="ES193" s="231">
        <v>182706</v>
      </c>
      <c r="ET193" s="231">
        <v>471015</v>
      </c>
      <c r="EU193" s="231">
        <v>872935214</v>
      </c>
      <c r="EV193" s="231">
        <v>883520</v>
      </c>
      <c r="EW193" s="231">
        <v>880099</v>
      </c>
      <c r="EX193" s="231">
        <v>3421</v>
      </c>
      <c r="EY193" s="229">
        <v>3.8999999999999998E-3</v>
      </c>
      <c r="EZ193" s="229">
        <v>0.55189999999999995</v>
      </c>
      <c r="FA193" s="227" t="s">
        <v>568</v>
      </c>
      <c r="FB193" s="161">
        <f t="shared" si="4"/>
        <v>0</v>
      </c>
    </row>
    <row r="194" spans="1:158" ht="17.25" thickBot="1" x14ac:dyDescent="0.3">
      <c r="A194" s="226">
        <v>46029</v>
      </c>
      <c r="B194" s="227" t="s">
        <v>221</v>
      </c>
      <c r="C194" s="227" t="s">
        <v>663</v>
      </c>
      <c r="D194" s="228">
        <v>800</v>
      </c>
      <c r="E194" s="228">
        <v>687.05</v>
      </c>
      <c r="F194" s="228">
        <v>652.45000000000005</v>
      </c>
      <c r="G194" s="228">
        <v>34.6</v>
      </c>
      <c r="H194" s="229">
        <v>5.2999999999999999E-2</v>
      </c>
      <c r="I194" s="228">
        <v>683.5</v>
      </c>
      <c r="J194" s="228">
        <v>649.15</v>
      </c>
      <c r="K194" s="228">
        <v>34.35</v>
      </c>
      <c r="L194" s="229">
        <v>5.2900000000000003E-2</v>
      </c>
      <c r="M194" s="228">
        <v>687.05</v>
      </c>
      <c r="N194" s="228">
        <v>652.45000000000005</v>
      </c>
      <c r="O194" s="228">
        <v>34.6</v>
      </c>
      <c r="P194" s="229">
        <v>5.2999999999999999E-2</v>
      </c>
      <c r="Q194" s="228">
        <v>689.95</v>
      </c>
      <c r="R194" s="228">
        <v>654.75</v>
      </c>
      <c r="S194" s="228">
        <v>35.200000000000003</v>
      </c>
      <c r="T194" s="229">
        <v>5.3800000000000001E-2</v>
      </c>
      <c r="U194" s="228">
        <v>691.75</v>
      </c>
      <c r="V194" s="228">
        <v>658.4</v>
      </c>
      <c r="W194" s="228">
        <v>33.35</v>
      </c>
      <c r="X194" s="229">
        <v>5.0700000000000002E-2</v>
      </c>
      <c r="Y194" s="228">
        <v>3.55</v>
      </c>
      <c r="Z194" s="228">
        <v>3.3</v>
      </c>
      <c r="AA194" s="228">
        <v>0.25</v>
      </c>
      <c r="AB194" s="229">
        <v>5.1999999999999998E-3</v>
      </c>
      <c r="AC194" s="228">
        <v>3.55</v>
      </c>
      <c r="AD194" s="228">
        <v>3.3</v>
      </c>
      <c r="AE194" s="228">
        <v>0.25</v>
      </c>
      <c r="AF194" s="229">
        <v>5.1999999999999998E-3</v>
      </c>
      <c r="AG194" s="228">
        <v>6.45</v>
      </c>
      <c r="AH194" s="228">
        <v>5.6</v>
      </c>
      <c r="AI194" s="228">
        <v>0.85</v>
      </c>
      <c r="AJ194" s="229">
        <v>9.4000000000000004E-3</v>
      </c>
      <c r="AK194" s="228">
        <v>8.25</v>
      </c>
      <c r="AL194" s="228">
        <v>9.25</v>
      </c>
      <c r="AM194" s="228">
        <v>-1</v>
      </c>
      <c r="AN194" s="229">
        <v>1.21E-2</v>
      </c>
      <c r="AO194" s="228">
        <v>680.2</v>
      </c>
      <c r="AP194" s="228">
        <v>681.69</v>
      </c>
      <c r="AQ194" s="228">
        <v>0</v>
      </c>
      <c r="AR194" s="230">
        <v>11457600</v>
      </c>
      <c r="AS194" s="230">
        <v>1331200</v>
      </c>
      <c r="AT194" s="230">
        <v>10126400</v>
      </c>
      <c r="AU194" s="229">
        <v>7.6070000000000002</v>
      </c>
      <c r="AV194" s="230">
        <v>10399200</v>
      </c>
      <c r="AW194" s="230">
        <v>1224000</v>
      </c>
      <c r="AX194" s="230">
        <v>9175200</v>
      </c>
      <c r="AY194" s="229">
        <v>7.4961000000000002</v>
      </c>
      <c r="AZ194" s="230">
        <v>956000</v>
      </c>
      <c r="BA194" s="230">
        <v>96000</v>
      </c>
      <c r="BB194" s="230">
        <v>860000</v>
      </c>
      <c r="BC194" s="229">
        <v>8.9582999999999995</v>
      </c>
      <c r="BD194" s="230">
        <v>102400</v>
      </c>
      <c r="BE194" s="230">
        <v>11200</v>
      </c>
      <c r="BF194" s="230">
        <v>91200</v>
      </c>
      <c r="BG194" s="229">
        <v>8.1428999999999991</v>
      </c>
      <c r="BH194" s="230">
        <v>67642400</v>
      </c>
      <c r="BI194" s="230">
        <v>1688000</v>
      </c>
      <c r="BJ194" s="230">
        <v>65954400</v>
      </c>
      <c r="BK194" s="229">
        <v>39.072499999999998</v>
      </c>
      <c r="BL194" s="230">
        <v>17410400</v>
      </c>
      <c r="BM194" s="230">
        <v>1064800</v>
      </c>
      <c r="BN194" s="230">
        <v>16345600</v>
      </c>
      <c r="BO194" s="229">
        <v>15.350899999999999</v>
      </c>
      <c r="BP194" s="230">
        <v>96510400</v>
      </c>
      <c r="BQ194" s="230">
        <v>4084000</v>
      </c>
      <c r="BR194" s="230">
        <v>92426400</v>
      </c>
      <c r="BS194" s="229">
        <v>22.6313</v>
      </c>
      <c r="BT194" s="230">
        <v>9485723</v>
      </c>
      <c r="BU194" s="230">
        <v>438944</v>
      </c>
      <c r="BV194" s="230">
        <v>9046779</v>
      </c>
      <c r="BW194" s="229">
        <v>20.610299999999999</v>
      </c>
      <c r="BX194" s="230">
        <v>11960800</v>
      </c>
      <c r="BY194" s="230">
        <v>12084800</v>
      </c>
      <c r="BZ194" s="230">
        <v>-124000</v>
      </c>
      <c r="CA194" s="229">
        <v>-1.03E-2</v>
      </c>
      <c r="CB194" s="230">
        <v>11000800</v>
      </c>
      <c r="CC194" s="230">
        <v>11110400</v>
      </c>
      <c r="CD194" s="230">
        <v>-109600</v>
      </c>
      <c r="CE194" s="229">
        <v>-9.9000000000000008E-3</v>
      </c>
      <c r="CF194" s="230">
        <v>914400</v>
      </c>
      <c r="CG194" s="230">
        <v>947200</v>
      </c>
      <c r="CH194" s="230">
        <v>-32800</v>
      </c>
      <c r="CI194" s="229">
        <v>-3.4599999999999999E-2</v>
      </c>
      <c r="CJ194" s="230">
        <v>45600</v>
      </c>
      <c r="CK194" s="230">
        <v>27200</v>
      </c>
      <c r="CL194" s="230">
        <v>18400</v>
      </c>
      <c r="CM194" s="229">
        <v>0.67649999999999999</v>
      </c>
      <c r="CN194" s="230">
        <v>8584800</v>
      </c>
      <c r="CO194" s="230">
        <v>3929600</v>
      </c>
      <c r="CP194" s="230">
        <v>4655200</v>
      </c>
      <c r="CQ194" s="229">
        <v>1.1846000000000001</v>
      </c>
      <c r="CR194" s="230">
        <v>5032000</v>
      </c>
      <c r="CS194" s="230">
        <v>3725600</v>
      </c>
      <c r="CT194" s="230">
        <v>1306400</v>
      </c>
      <c r="CU194" s="229">
        <v>0.35070000000000001</v>
      </c>
      <c r="CV194" s="230">
        <v>25577600</v>
      </c>
      <c r="CW194" s="230">
        <v>19740000</v>
      </c>
      <c r="CX194" s="230">
        <v>5837600</v>
      </c>
      <c r="CY194" s="229">
        <v>0.29570000000000002</v>
      </c>
      <c r="CZ194" s="228">
        <v>29.77</v>
      </c>
      <c r="DA194" s="228">
        <v>23.75</v>
      </c>
      <c r="DB194" s="228">
        <v>6.02</v>
      </c>
      <c r="DC194" s="228">
        <v>6.02</v>
      </c>
      <c r="DD194" s="228">
        <v>30.33</v>
      </c>
      <c r="DE194" s="228">
        <v>29.59</v>
      </c>
      <c r="DF194" s="228">
        <v>-0.56000000000000005</v>
      </c>
      <c r="DG194" s="228">
        <v>0.74</v>
      </c>
      <c r="DH194" s="228">
        <v>29.81</v>
      </c>
      <c r="DI194" s="228">
        <v>23.77</v>
      </c>
      <c r="DJ194" s="228">
        <v>6.04</v>
      </c>
      <c r="DK194" s="228">
        <v>6.04</v>
      </c>
      <c r="DL194" s="228">
        <v>29.62</v>
      </c>
      <c r="DM194" s="228">
        <v>23.71</v>
      </c>
      <c r="DN194" s="228">
        <v>5.91</v>
      </c>
      <c r="DO194" s="228">
        <v>5.91</v>
      </c>
      <c r="DP194" s="228">
        <v>0.59</v>
      </c>
      <c r="DQ194" s="228">
        <v>0.95</v>
      </c>
      <c r="DR194" s="228">
        <v>-0.36</v>
      </c>
      <c r="DS194" s="229">
        <v>-0.37890000000000001</v>
      </c>
      <c r="DT194" s="228">
        <v>680</v>
      </c>
      <c r="DU194" s="228">
        <v>650</v>
      </c>
      <c r="DV194" s="228">
        <v>0.26</v>
      </c>
      <c r="DW194" s="228">
        <v>0.63</v>
      </c>
      <c r="DX194" s="228">
        <v>-0.37</v>
      </c>
      <c r="DY194" s="229">
        <v>-0.58730000000000004</v>
      </c>
      <c r="DZ194" s="229">
        <v>8.0299999999999996E-2</v>
      </c>
      <c r="EA194" s="230">
        <v>974400</v>
      </c>
      <c r="EB194" s="229">
        <v>4.1999999999999997E-3</v>
      </c>
      <c r="EC194" s="229">
        <v>8.0299999999999996E-2</v>
      </c>
      <c r="ED194" s="228">
        <v>1.49</v>
      </c>
      <c r="EE194" s="229">
        <v>2.2000000000000001E-3</v>
      </c>
      <c r="EF194" s="230">
        <v>1158963</v>
      </c>
      <c r="EG194" s="230">
        <v>208950</v>
      </c>
      <c r="EH194" s="229">
        <v>4.5465999999999998</v>
      </c>
      <c r="EI194" s="229">
        <v>0.1222</v>
      </c>
      <c r="EJ194" s="231">
        <v>480490.98</v>
      </c>
      <c r="EK194" s="231">
        <v>116262.81</v>
      </c>
      <c r="EL194" s="231">
        <v>77955</v>
      </c>
      <c r="EM194" s="231">
        <v>1894</v>
      </c>
      <c r="EN194" s="231">
        <v>674708.79</v>
      </c>
      <c r="EO194" s="231">
        <v>27103.49</v>
      </c>
      <c r="EP194" s="231">
        <v>647605.30000000005</v>
      </c>
      <c r="EQ194" s="229">
        <v>23.893799999999999</v>
      </c>
      <c r="ER194" s="231">
        <v>60246</v>
      </c>
      <c r="ES194" s="231">
        <v>32997</v>
      </c>
      <c r="ET194" s="231">
        <v>82205</v>
      </c>
      <c r="EU194" s="231">
        <v>25116370</v>
      </c>
      <c r="EV194" s="231">
        <v>175448</v>
      </c>
      <c r="EW194" s="231">
        <v>129990</v>
      </c>
      <c r="EX194" s="231">
        <v>45458</v>
      </c>
      <c r="EY194" s="229">
        <v>0.34970000000000001</v>
      </c>
      <c r="EZ194" s="229">
        <v>1.0184</v>
      </c>
      <c r="FA194" s="227" t="s">
        <v>556</v>
      </c>
      <c r="FB194" s="161">
        <f t="shared" si="4"/>
        <v>0</v>
      </c>
    </row>
    <row r="195" spans="1:158" ht="17.25" thickBot="1" x14ac:dyDescent="0.3">
      <c r="A195" s="226">
        <v>46029</v>
      </c>
      <c r="B195" s="227" t="s">
        <v>221</v>
      </c>
      <c r="C195" s="227" t="s">
        <v>295</v>
      </c>
      <c r="D195" s="228">
        <v>175</v>
      </c>
      <c r="E195" s="231">
        <v>3286.9</v>
      </c>
      <c r="F195" s="231">
        <v>3249.2</v>
      </c>
      <c r="G195" s="228">
        <v>37.700000000000003</v>
      </c>
      <c r="H195" s="229">
        <v>1.1599999999999999E-2</v>
      </c>
      <c r="I195" s="231">
        <v>3295.6</v>
      </c>
      <c r="J195" s="231">
        <v>3255.8</v>
      </c>
      <c r="K195" s="228">
        <v>39.799999999999997</v>
      </c>
      <c r="L195" s="229">
        <v>1.2200000000000001E-2</v>
      </c>
      <c r="M195" s="231">
        <v>3286.9</v>
      </c>
      <c r="N195" s="231">
        <v>3249.2</v>
      </c>
      <c r="O195" s="228">
        <v>37.700000000000003</v>
      </c>
      <c r="P195" s="229">
        <v>1.1599999999999999E-2</v>
      </c>
      <c r="Q195" s="231">
        <v>3305.7</v>
      </c>
      <c r="R195" s="231">
        <v>3267.6</v>
      </c>
      <c r="S195" s="228">
        <v>38.1</v>
      </c>
      <c r="T195" s="229">
        <v>1.17E-2</v>
      </c>
      <c r="U195" s="231">
        <v>3328.3</v>
      </c>
      <c r="V195" s="231">
        <v>3288.7</v>
      </c>
      <c r="W195" s="228">
        <v>39.6</v>
      </c>
      <c r="X195" s="229">
        <v>1.2E-2</v>
      </c>
      <c r="Y195" s="228">
        <v>-8.6999999999999993</v>
      </c>
      <c r="Z195" s="228">
        <v>-6.6</v>
      </c>
      <c r="AA195" s="228">
        <v>-2.1</v>
      </c>
      <c r="AB195" s="229">
        <v>-2.5999999999999999E-3</v>
      </c>
      <c r="AC195" s="228">
        <v>-8.6999999999999993</v>
      </c>
      <c r="AD195" s="228">
        <v>-6.6</v>
      </c>
      <c r="AE195" s="228">
        <v>-2.1</v>
      </c>
      <c r="AF195" s="229">
        <v>-2.5999999999999999E-3</v>
      </c>
      <c r="AG195" s="228">
        <v>10.1</v>
      </c>
      <c r="AH195" s="228">
        <v>11.8</v>
      </c>
      <c r="AI195" s="228">
        <v>-1.7</v>
      </c>
      <c r="AJ195" s="229">
        <v>3.0999999999999999E-3</v>
      </c>
      <c r="AK195" s="228">
        <v>32.700000000000003</v>
      </c>
      <c r="AL195" s="228">
        <v>32.9</v>
      </c>
      <c r="AM195" s="228">
        <v>-0.2</v>
      </c>
      <c r="AN195" s="229">
        <v>9.9000000000000008E-3</v>
      </c>
      <c r="AO195" s="231">
        <v>3279.04</v>
      </c>
      <c r="AP195" s="231">
        <v>3296.72</v>
      </c>
      <c r="AQ195" s="228">
        <v>0</v>
      </c>
      <c r="AR195" s="230">
        <v>3082800</v>
      </c>
      <c r="AS195" s="230">
        <v>2633400</v>
      </c>
      <c r="AT195" s="230">
        <v>449400</v>
      </c>
      <c r="AU195" s="229">
        <v>0.17069999999999999</v>
      </c>
      <c r="AV195" s="230">
        <v>2911300</v>
      </c>
      <c r="AW195" s="230">
        <v>2506000</v>
      </c>
      <c r="AX195" s="230">
        <v>405300</v>
      </c>
      <c r="AY195" s="229">
        <v>0.16170000000000001</v>
      </c>
      <c r="AZ195" s="230">
        <v>137025</v>
      </c>
      <c r="BA195" s="230">
        <v>99400</v>
      </c>
      <c r="BB195" s="230">
        <v>37625</v>
      </c>
      <c r="BC195" s="229">
        <v>0.3785</v>
      </c>
      <c r="BD195" s="230">
        <v>34475</v>
      </c>
      <c r="BE195" s="230">
        <v>28000</v>
      </c>
      <c r="BF195" s="230">
        <v>6475</v>
      </c>
      <c r="BG195" s="229">
        <v>0.23130000000000001</v>
      </c>
      <c r="BH195" s="230">
        <v>16385425</v>
      </c>
      <c r="BI195" s="230">
        <v>10999800</v>
      </c>
      <c r="BJ195" s="230">
        <v>5385625</v>
      </c>
      <c r="BK195" s="229">
        <v>0.48959999999999998</v>
      </c>
      <c r="BL195" s="230">
        <v>7000000</v>
      </c>
      <c r="BM195" s="230">
        <v>3907400</v>
      </c>
      <c r="BN195" s="230">
        <v>3092600</v>
      </c>
      <c r="BO195" s="229">
        <v>0.79149999999999998</v>
      </c>
      <c r="BP195" s="230">
        <v>26468225</v>
      </c>
      <c r="BQ195" s="230">
        <v>17540600</v>
      </c>
      <c r="BR195" s="230">
        <v>8927625</v>
      </c>
      <c r="BS195" s="229">
        <v>0.50900000000000001</v>
      </c>
      <c r="BT195" s="230">
        <v>2109383</v>
      </c>
      <c r="BU195" s="230">
        <v>2936991</v>
      </c>
      <c r="BV195" s="230">
        <v>-827608</v>
      </c>
      <c r="BW195" s="229">
        <v>-0.28179999999999999</v>
      </c>
      <c r="BX195" s="230">
        <v>19339075</v>
      </c>
      <c r="BY195" s="230">
        <v>19969250</v>
      </c>
      <c r="BZ195" s="230">
        <v>-630175</v>
      </c>
      <c r="CA195" s="229">
        <v>-3.1600000000000003E-2</v>
      </c>
      <c r="CB195" s="230">
        <v>18690700</v>
      </c>
      <c r="CC195" s="230">
        <v>19309675</v>
      </c>
      <c r="CD195" s="230">
        <v>-618975</v>
      </c>
      <c r="CE195" s="229">
        <v>-3.2099999999999997E-2</v>
      </c>
      <c r="CF195" s="230">
        <v>584150</v>
      </c>
      <c r="CG195" s="230">
        <v>596225</v>
      </c>
      <c r="CH195" s="230">
        <v>-12075</v>
      </c>
      <c r="CI195" s="229">
        <v>-2.0299999999999999E-2</v>
      </c>
      <c r="CJ195" s="230">
        <v>64225</v>
      </c>
      <c r="CK195" s="230">
        <v>63350</v>
      </c>
      <c r="CL195" s="228">
        <v>875</v>
      </c>
      <c r="CM195" s="229">
        <v>1.38E-2</v>
      </c>
      <c r="CN195" s="230">
        <v>12505325</v>
      </c>
      <c r="CO195" s="230">
        <v>11809000</v>
      </c>
      <c r="CP195" s="230">
        <v>696325</v>
      </c>
      <c r="CQ195" s="229">
        <v>5.8999999999999997E-2</v>
      </c>
      <c r="CR195" s="230">
        <v>6576500</v>
      </c>
      <c r="CS195" s="230">
        <v>6325200</v>
      </c>
      <c r="CT195" s="230">
        <v>251300</v>
      </c>
      <c r="CU195" s="229">
        <v>3.9699999999999999E-2</v>
      </c>
      <c r="CV195" s="230">
        <v>38420900</v>
      </c>
      <c r="CW195" s="230">
        <v>38103450</v>
      </c>
      <c r="CX195" s="230">
        <v>317450</v>
      </c>
      <c r="CY195" s="229">
        <v>8.3000000000000001E-3</v>
      </c>
      <c r="CZ195" s="228">
        <v>19.899999999999999</v>
      </c>
      <c r="DA195" s="228">
        <v>20.55</v>
      </c>
      <c r="DB195" s="228">
        <v>-0.65</v>
      </c>
      <c r="DC195" s="228">
        <v>-0.65</v>
      </c>
      <c r="DD195" s="228">
        <v>23.2</v>
      </c>
      <c r="DE195" s="228">
        <v>23.2</v>
      </c>
      <c r="DF195" s="228">
        <v>-3.3</v>
      </c>
      <c r="DG195" s="228">
        <v>0</v>
      </c>
      <c r="DH195" s="228">
        <v>19.57</v>
      </c>
      <c r="DI195" s="228">
        <v>20.37</v>
      </c>
      <c r="DJ195" s="228">
        <v>-0.8</v>
      </c>
      <c r="DK195" s="228">
        <v>-0.8</v>
      </c>
      <c r="DL195" s="228">
        <v>20.67</v>
      </c>
      <c r="DM195" s="228">
        <v>21.07</v>
      </c>
      <c r="DN195" s="228">
        <v>-0.4</v>
      </c>
      <c r="DO195" s="228">
        <v>-0.4</v>
      </c>
      <c r="DP195" s="228">
        <v>0.53</v>
      </c>
      <c r="DQ195" s="228">
        <v>0.54</v>
      </c>
      <c r="DR195" s="228">
        <v>-0.01</v>
      </c>
      <c r="DS195" s="229">
        <v>-1.8499999999999999E-2</v>
      </c>
      <c r="DT195" s="231">
        <v>3300</v>
      </c>
      <c r="DU195" s="231">
        <v>3200</v>
      </c>
      <c r="DV195" s="228">
        <v>0.43</v>
      </c>
      <c r="DW195" s="228">
        <v>0.36</v>
      </c>
      <c r="DX195" s="228">
        <v>7.0000000000000007E-2</v>
      </c>
      <c r="DY195" s="229">
        <v>0.19439999999999999</v>
      </c>
      <c r="DZ195" s="229">
        <v>3.3500000000000002E-2</v>
      </c>
      <c r="EA195" s="230">
        <v>659575</v>
      </c>
      <c r="EB195" s="229">
        <v>5.7000000000000002E-3</v>
      </c>
      <c r="EC195" s="229">
        <v>3.3500000000000002E-2</v>
      </c>
      <c r="ED195" s="228">
        <v>17.68</v>
      </c>
      <c r="EE195" s="229">
        <v>5.4000000000000003E-3</v>
      </c>
      <c r="EF195" s="230">
        <v>1250416</v>
      </c>
      <c r="EG195" s="230">
        <v>2190262</v>
      </c>
      <c r="EH195" s="229">
        <v>-0.42909999999999998</v>
      </c>
      <c r="EI195" s="229">
        <v>0.59279999999999999</v>
      </c>
      <c r="EJ195" s="231">
        <v>554780.24</v>
      </c>
      <c r="EK195" s="231">
        <v>224750.65</v>
      </c>
      <c r="EL195" s="231">
        <v>101124.27</v>
      </c>
      <c r="EM195" s="231">
        <v>13579</v>
      </c>
      <c r="EN195" s="231">
        <v>880655.16</v>
      </c>
      <c r="EO195" s="231">
        <v>581507.96</v>
      </c>
      <c r="EP195" s="231">
        <v>299147.2</v>
      </c>
      <c r="EQ195" s="229">
        <v>0.51439999999999997</v>
      </c>
      <c r="ER195" s="231">
        <v>420658</v>
      </c>
      <c r="ES195" s="231">
        <v>209357</v>
      </c>
      <c r="ET195" s="231">
        <v>635792</v>
      </c>
      <c r="EU195" s="231">
        <v>126444612</v>
      </c>
      <c r="EV195" s="231">
        <v>1265807</v>
      </c>
      <c r="EW195" s="231">
        <v>1246302</v>
      </c>
      <c r="EX195" s="231">
        <v>19505</v>
      </c>
      <c r="EY195" s="229">
        <v>1.5699999999999999E-2</v>
      </c>
      <c r="EZ195" s="229">
        <v>0.3039</v>
      </c>
      <c r="FA195" s="227" t="s">
        <v>556</v>
      </c>
      <c r="FB195" s="161">
        <f t="shared" ref="FB195:FB258" si="5">BX261-CB261</f>
        <v>0</v>
      </c>
    </row>
    <row r="196" spans="1:158" ht="17.25" thickBot="1" x14ac:dyDescent="0.3">
      <c r="A196" s="226">
        <v>46029</v>
      </c>
      <c r="B196" s="227" t="s">
        <v>221</v>
      </c>
      <c r="C196" s="227" t="s">
        <v>296</v>
      </c>
      <c r="D196" s="228">
        <v>600</v>
      </c>
      <c r="E196" s="231">
        <v>1632</v>
      </c>
      <c r="F196" s="231">
        <v>1608.7</v>
      </c>
      <c r="G196" s="228">
        <v>23.3</v>
      </c>
      <c r="H196" s="229">
        <v>1.4500000000000001E-2</v>
      </c>
      <c r="I196" s="231">
        <v>1625.2</v>
      </c>
      <c r="J196" s="231">
        <v>1601.8</v>
      </c>
      <c r="K196" s="228">
        <v>23.4</v>
      </c>
      <c r="L196" s="229">
        <v>1.46E-2</v>
      </c>
      <c r="M196" s="231">
        <v>1632</v>
      </c>
      <c r="N196" s="231">
        <v>1608.7</v>
      </c>
      <c r="O196" s="228">
        <v>23.3</v>
      </c>
      <c r="P196" s="229">
        <v>1.4500000000000001E-2</v>
      </c>
      <c r="Q196" s="231">
        <v>1642</v>
      </c>
      <c r="R196" s="231">
        <v>1617.9</v>
      </c>
      <c r="S196" s="228">
        <v>24.1</v>
      </c>
      <c r="T196" s="229">
        <v>1.49E-2</v>
      </c>
      <c r="U196" s="231">
        <v>1653</v>
      </c>
      <c r="V196" s="231">
        <v>1627</v>
      </c>
      <c r="W196" s="228">
        <v>26</v>
      </c>
      <c r="X196" s="229">
        <v>1.6E-2</v>
      </c>
      <c r="Y196" s="228">
        <v>6.8</v>
      </c>
      <c r="Z196" s="228">
        <v>6.9</v>
      </c>
      <c r="AA196" s="228">
        <v>-0.1</v>
      </c>
      <c r="AB196" s="229">
        <v>4.1999999999999997E-3</v>
      </c>
      <c r="AC196" s="228">
        <v>6.8</v>
      </c>
      <c r="AD196" s="228">
        <v>6.9</v>
      </c>
      <c r="AE196" s="228">
        <v>-0.1</v>
      </c>
      <c r="AF196" s="229">
        <v>4.1999999999999997E-3</v>
      </c>
      <c r="AG196" s="228">
        <v>16.8</v>
      </c>
      <c r="AH196" s="228">
        <v>16.100000000000001</v>
      </c>
      <c r="AI196" s="228">
        <v>0.7</v>
      </c>
      <c r="AJ196" s="229">
        <v>1.03E-2</v>
      </c>
      <c r="AK196" s="228">
        <v>27.8</v>
      </c>
      <c r="AL196" s="228">
        <v>25.2</v>
      </c>
      <c r="AM196" s="228">
        <v>2.6</v>
      </c>
      <c r="AN196" s="229">
        <v>1.7100000000000001E-2</v>
      </c>
      <c r="AO196" s="231">
        <v>1629.09</v>
      </c>
      <c r="AP196" s="231">
        <v>1637.96</v>
      </c>
      <c r="AQ196" s="228">
        <v>0</v>
      </c>
      <c r="AR196" s="230">
        <v>2867400</v>
      </c>
      <c r="AS196" s="230">
        <v>1193400</v>
      </c>
      <c r="AT196" s="230">
        <v>1674000</v>
      </c>
      <c r="AU196" s="229">
        <v>1.4027000000000001</v>
      </c>
      <c r="AV196" s="230">
        <v>2789400</v>
      </c>
      <c r="AW196" s="230">
        <v>1153200</v>
      </c>
      <c r="AX196" s="230">
        <v>1636200</v>
      </c>
      <c r="AY196" s="229">
        <v>1.4188000000000001</v>
      </c>
      <c r="AZ196" s="230">
        <v>74400</v>
      </c>
      <c r="BA196" s="230">
        <v>35400</v>
      </c>
      <c r="BB196" s="230">
        <v>39000</v>
      </c>
      <c r="BC196" s="229">
        <v>1.1016999999999999</v>
      </c>
      <c r="BD196" s="230">
        <v>3600</v>
      </c>
      <c r="BE196" s="230">
        <v>4800</v>
      </c>
      <c r="BF196" s="230">
        <v>-1200</v>
      </c>
      <c r="BG196" s="229">
        <v>-0.25</v>
      </c>
      <c r="BH196" s="230">
        <v>7674000</v>
      </c>
      <c r="BI196" s="230">
        <v>2326200</v>
      </c>
      <c r="BJ196" s="230">
        <v>5347800</v>
      </c>
      <c r="BK196" s="229">
        <v>2.2989000000000002</v>
      </c>
      <c r="BL196" s="230">
        <v>2057400</v>
      </c>
      <c r="BM196" s="230">
        <v>1053000</v>
      </c>
      <c r="BN196" s="230">
        <v>1004400</v>
      </c>
      <c r="BO196" s="229">
        <v>0.95379999999999998</v>
      </c>
      <c r="BP196" s="230">
        <v>12598800</v>
      </c>
      <c r="BQ196" s="230">
        <v>4572600</v>
      </c>
      <c r="BR196" s="230">
        <v>8026200</v>
      </c>
      <c r="BS196" s="229">
        <v>1.7553000000000001</v>
      </c>
      <c r="BT196" s="230">
        <v>1331377</v>
      </c>
      <c r="BU196" s="230">
        <v>582305</v>
      </c>
      <c r="BV196" s="230">
        <v>749072</v>
      </c>
      <c r="BW196" s="229">
        <v>1.2864</v>
      </c>
      <c r="BX196" s="230">
        <v>19678800</v>
      </c>
      <c r="BY196" s="230">
        <v>19520400</v>
      </c>
      <c r="BZ196" s="230">
        <v>158400</v>
      </c>
      <c r="CA196" s="229">
        <v>8.0999999999999996E-3</v>
      </c>
      <c r="CB196" s="230">
        <v>19499400</v>
      </c>
      <c r="CC196" s="230">
        <v>19352400</v>
      </c>
      <c r="CD196" s="230">
        <v>147000</v>
      </c>
      <c r="CE196" s="229">
        <v>7.6E-3</v>
      </c>
      <c r="CF196" s="230">
        <v>165000</v>
      </c>
      <c r="CG196" s="230">
        <v>153600</v>
      </c>
      <c r="CH196" s="230">
        <v>11400</v>
      </c>
      <c r="CI196" s="229">
        <v>7.4200000000000002E-2</v>
      </c>
      <c r="CJ196" s="230">
        <v>14400</v>
      </c>
      <c r="CK196" s="230">
        <v>14400</v>
      </c>
      <c r="CL196" s="228">
        <v>0</v>
      </c>
      <c r="CM196" s="229">
        <v>0</v>
      </c>
      <c r="CN196" s="230">
        <v>3985800</v>
      </c>
      <c r="CO196" s="230">
        <v>3883200</v>
      </c>
      <c r="CP196" s="230">
        <v>102600</v>
      </c>
      <c r="CQ196" s="229">
        <v>2.64E-2</v>
      </c>
      <c r="CR196" s="230">
        <v>3045600</v>
      </c>
      <c r="CS196" s="230">
        <v>3011400</v>
      </c>
      <c r="CT196" s="230">
        <v>34200</v>
      </c>
      <c r="CU196" s="229">
        <v>1.14E-2</v>
      </c>
      <c r="CV196" s="230">
        <v>26710200</v>
      </c>
      <c r="CW196" s="230">
        <v>26415000</v>
      </c>
      <c r="CX196" s="230">
        <v>295200</v>
      </c>
      <c r="CY196" s="229">
        <v>1.12E-2</v>
      </c>
      <c r="CZ196" s="228">
        <v>26.28</v>
      </c>
      <c r="DA196" s="228">
        <v>25.84</v>
      </c>
      <c r="DB196" s="228">
        <v>0.44</v>
      </c>
      <c r="DC196" s="228">
        <v>0.44</v>
      </c>
      <c r="DD196" s="228">
        <v>28.01</v>
      </c>
      <c r="DE196" s="228">
        <v>28.01</v>
      </c>
      <c r="DF196" s="228">
        <v>-1.73</v>
      </c>
      <c r="DG196" s="228">
        <v>0</v>
      </c>
      <c r="DH196" s="228">
        <v>26.15</v>
      </c>
      <c r="DI196" s="228">
        <v>25.57</v>
      </c>
      <c r="DJ196" s="228">
        <v>0.57999999999999996</v>
      </c>
      <c r="DK196" s="228">
        <v>0.57999999999999996</v>
      </c>
      <c r="DL196" s="228">
        <v>26.79</v>
      </c>
      <c r="DM196" s="228">
        <v>26.42</v>
      </c>
      <c r="DN196" s="228">
        <v>0.37</v>
      </c>
      <c r="DO196" s="228">
        <v>0.37</v>
      </c>
      <c r="DP196" s="228">
        <v>0.76</v>
      </c>
      <c r="DQ196" s="228">
        <v>0.78</v>
      </c>
      <c r="DR196" s="228">
        <v>-0.02</v>
      </c>
      <c r="DS196" s="229">
        <v>-2.5600000000000001E-2</v>
      </c>
      <c r="DT196" s="231">
        <v>1800</v>
      </c>
      <c r="DU196" s="231">
        <v>1620</v>
      </c>
      <c r="DV196" s="228">
        <v>0.27</v>
      </c>
      <c r="DW196" s="228">
        <v>0.45</v>
      </c>
      <c r="DX196" s="228">
        <v>-0.18</v>
      </c>
      <c r="DY196" s="229">
        <v>-0.4</v>
      </c>
      <c r="DZ196" s="229">
        <v>9.1000000000000004E-3</v>
      </c>
      <c r="EA196" s="230">
        <v>168000</v>
      </c>
      <c r="EB196" s="229">
        <v>6.1000000000000004E-3</v>
      </c>
      <c r="EC196" s="229">
        <v>9.1000000000000004E-3</v>
      </c>
      <c r="ED196" s="228">
        <v>8.8699999999999992</v>
      </c>
      <c r="EE196" s="229">
        <v>5.4000000000000003E-3</v>
      </c>
      <c r="EF196" s="230">
        <v>717465</v>
      </c>
      <c r="EG196" s="230">
        <v>278635</v>
      </c>
      <c r="EH196" s="229">
        <v>1.5749</v>
      </c>
      <c r="EI196" s="229">
        <v>0.53890000000000005</v>
      </c>
      <c r="EJ196" s="231">
        <v>129956.38</v>
      </c>
      <c r="EK196" s="231">
        <v>32880.85</v>
      </c>
      <c r="EL196" s="231">
        <v>46719.95</v>
      </c>
      <c r="EM196" s="231">
        <v>2764</v>
      </c>
      <c r="EN196" s="231">
        <v>209557.18</v>
      </c>
      <c r="EO196" s="231">
        <v>75143.16</v>
      </c>
      <c r="EP196" s="231">
        <v>134414.01999999999</v>
      </c>
      <c r="EQ196" s="229">
        <v>1.7887999999999999</v>
      </c>
      <c r="ER196" s="231">
        <v>66981</v>
      </c>
      <c r="ES196" s="231">
        <v>46994</v>
      </c>
      <c r="ET196" s="231">
        <v>321178</v>
      </c>
      <c r="EU196" s="231">
        <v>80031540</v>
      </c>
      <c r="EV196" s="231">
        <v>435152</v>
      </c>
      <c r="EW196" s="231">
        <v>425544</v>
      </c>
      <c r="EX196" s="231">
        <v>9608</v>
      </c>
      <c r="EY196" s="229">
        <v>2.2599999999999999E-2</v>
      </c>
      <c r="EZ196" s="229">
        <v>0.3337</v>
      </c>
      <c r="FA196" s="227" t="s">
        <v>555</v>
      </c>
      <c r="FB196" s="161">
        <f t="shared" si="5"/>
        <v>0</v>
      </c>
    </row>
    <row r="197" spans="1:158" ht="17.25" thickBot="1" x14ac:dyDescent="0.3">
      <c r="A197" s="226">
        <v>46029</v>
      </c>
      <c r="B197" s="227" t="s">
        <v>184</v>
      </c>
      <c r="C197" s="227" t="s">
        <v>595</v>
      </c>
      <c r="D197" s="228">
        <v>200</v>
      </c>
      <c r="E197" s="231">
        <v>2533</v>
      </c>
      <c r="F197" s="231">
        <v>2561.6</v>
      </c>
      <c r="G197" s="228">
        <v>-28.6</v>
      </c>
      <c r="H197" s="229">
        <v>-1.12E-2</v>
      </c>
      <c r="I197" s="231">
        <v>2527.4</v>
      </c>
      <c r="J197" s="231">
        <v>2549</v>
      </c>
      <c r="K197" s="228">
        <v>-21.6</v>
      </c>
      <c r="L197" s="229">
        <v>-8.5000000000000006E-3</v>
      </c>
      <c r="M197" s="231">
        <v>2533</v>
      </c>
      <c r="N197" s="231">
        <v>2561.6</v>
      </c>
      <c r="O197" s="228">
        <v>-28.6</v>
      </c>
      <c r="P197" s="229">
        <v>-1.12E-2</v>
      </c>
      <c r="Q197" s="231">
        <v>2547.6</v>
      </c>
      <c r="R197" s="231">
        <v>2576</v>
      </c>
      <c r="S197" s="228">
        <v>-28.4</v>
      </c>
      <c r="T197" s="229">
        <v>-1.0999999999999999E-2</v>
      </c>
      <c r="U197" s="231">
        <v>2561</v>
      </c>
      <c r="V197" s="231">
        <v>2590</v>
      </c>
      <c r="W197" s="228">
        <v>-29</v>
      </c>
      <c r="X197" s="229">
        <v>-1.12E-2</v>
      </c>
      <c r="Y197" s="228">
        <v>5.6</v>
      </c>
      <c r="Z197" s="228">
        <v>12.6</v>
      </c>
      <c r="AA197" s="228">
        <v>-7</v>
      </c>
      <c r="AB197" s="229">
        <v>2.2000000000000001E-3</v>
      </c>
      <c r="AC197" s="228">
        <v>5.6</v>
      </c>
      <c r="AD197" s="228">
        <v>12.6</v>
      </c>
      <c r="AE197" s="228">
        <v>-7</v>
      </c>
      <c r="AF197" s="229">
        <v>2.2000000000000001E-3</v>
      </c>
      <c r="AG197" s="228">
        <v>20.2</v>
      </c>
      <c r="AH197" s="228">
        <v>27</v>
      </c>
      <c r="AI197" s="228">
        <v>-6.8</v>
      </c>
      <c r="AJ197" s="229">
        <v>8.0000000000000002E-3</v>
      </c>
      <c r="AK197" s="228">
        <v>33.6</v>
      </c>
      <c r="AL197" s="228">
        <v>41</v>
      </c>
      <c r="AM197" s="228">
        <v>-7.4</v>
      </c>
      <c r="AN197" s="229">
        <v>1.3299999999999999E-2</v>
      </c>
      <c r="AO197" s="231">
        <v>2543.9</v>
      </c>
      <c r="AP197" s="231">
        <v>2557.9699999999998</v>
      </c>
      <c r="AQ197" s="228">
        <v>0</v>
      </c>
      <c r="AR197" s="230">
        <v>328800</v>
      </c>
      <c r="AS197" s="230">
        <v>327600</v>
      </c>
      <c r="AT197" s="230">
        <v>1200</v>
      </c>
      <c r="AU197" s="229">
        <v>3.7000000000000002E-3</v>
      </c>
      <c r="AV197" s="230">
        <v>308400</v>
      </c>
      <c r="AW197" s="230">
        <v>306400</v>
      </c>
      <c r="AX197" s="230">
        <v>2000</v>
      </c>
      <c r="AY197" s="229">
        <v>6.4999999999999997E-3</v>
      </c>
      <c r="AZ197" s="230">
        <v>19200</v>
      </c>
      <c r="BA197" s="230">
        <v>19800</v>
      </c>
      <c r="BB197" s="228">
        <v>-600</v>
      </c>
      <c r="BC197" s="229">
        <v>-3.0300000000000001E-2</v>
      </c>
      <c r="BD197" s="230">
        <v>1200</v>
      </c>
      <c r="BE197" s="230">
        <v>1400</v>
      </c>
      <c r="BF197" s="228">
        <v>-200</v>
      </c>
      <c r="BG197" s="229">
        <v>-0.1429</v>
      </c>
      <c r="BH197" s="230">
        <v>600800</v>
      </c>
      <c r="BI197" s="230">
        <v>647600</v>
      </c>
      <c r="BJ197" s="230">
        <v>-46800</v>
      </c>
      <c r="BK197" s="229">
        <v>-7.2300000000000003E-2</v>
      </c>
      <c r="BL197" s="230">
        <v>284200</v>
      </c>
      <c r="BM197" s="230">
        <v>314600</v>
      </c>
      <c r="BN197" s="230">
        <v>-30400</v>
      </c>
      <c r="BO197" s="229">
        <v>-9.6600000000000005E-2</v>
      </c>
      <c r="BP197" s="230">
        <v>1213800</v>
      </c>
      <c r="BQ197" s="230">
        <v>1289800</v>
      </c>
      <c r="BR197" s="230">
        <v>-76000</v>
      </c>
      <c r="BS197" s="229">
        <v>-5.8900000000000001E-2</v>
      </c>
      <c r="BT197" s="230">
        <v>171468</v>
      </c>
      <c r="BU197" s="230">
        <v>449177</v>
      </c>
      <c r="BV197" s="230">
        <v>-277709</v>
      </c>
      <c r="BW197" s="229">
        <v>-0.61829999999999996</v>
      </c>
      <c r="BX197" s="230">
        <v>3895600</v>
      </c>
      <c r="BY197" s="230">
        <v>3915000</v>
      </c>
      <c r="BZ197" s="230">
        <v>-19400</v>
      </c>
      <c r="CA197" s="229">
        <v>-5.0000000000000001E-3</v>
      </c>
      <c r="CB197" s="230">
        <v>3809000</v>
      </c>
      <c r="CC197" s="230">
        <v>3833600</v>
      </c>
      <c r="CD197" s="230">
        <v>-24600</v>
      </c>
      <c r="CE197" s="229">
        <v>-6.4000000000000003E-3</v>
      </c>
      <c r="CF197" s="230">
        <v>80600</v>
      </c>
      <c r="CG197" s="230">
        <v>76400</v>
      </c>
      <c r="CH197" s="230">
        <v>4200</v>
      </c>
      <c r="CI197" s="229">
        <v>5.5E-2</v>
      </c>
      <c r="CJ197" s="230">
        <v>6000</v>
      </c>
      <c r="CK197" s="230">
        <v>5000</v>
      </c>
      <c r="CL197" s="230">
        <v>1000</v>
      </c>
      <c r="CM197" s="229">
        <v>0.2</v>
      </c>
      <c r="CN197" s="230">
        <v>756600</v>
      </c>
      <c r="CO197" s="230">
        <v>697200</v>
      </c>
      <c r="CP197" s="230">
        <v>59400</v>
      </c>
      <c r="CQ197" s="229">
        <v>8.5199999999999998E-2</v>
      </c>
      <c r="CR197" s="230">
        <v>592200</v>
      </c>
      <c r="CS197" s="230">
        <v>611400</v>
      </c>
      <c r="CT197" s="230">
        <v>-19200</v>
      </c>
      <c r="CU197" s="229">
        <v>-3.1399999999999997E-2</v>
      </c>
      <c r="CV197" s="230">
        <v>5244400</v>
      </c>
      <c r="CW197" s="230">
        <v>5223600</v>
      </c>
      <c r="CX197" s="230">
        <v>20800</v>
      </c>
      <c r="CY197" s="229">
        <v>4.0000000000000001E-3</v>
      </c>
      <c r="CZ197" s="228">
        <v>28.31</v>
      </c>
      <c r="DA197" s="228">
        <v>27.82</v>
      </c>
      <c r="DB197" s="228">
        <v>0.49</v>
      </c>
      <c r="DC197" s="228">
        <v>0.49</v>
      </c>
      <c r="DD197" s="228">
        <v>39.869999999999997</v>
      </c>
      <c r="DE197" s="228">
        <v>39.94</v>
      </c>
      <c r="DF197" s="228">
        <v>-11.56</v>
      </c>
      <c r="DG197" s="228">
        <v>-7.0000000000000007E-2</v>
      </c>
      <c r="DH197" s="228">
        <v>28.45</v>
      </c>
      <c r="DI197" s="228">
        <v>27.87</v>
      </c>
      <c r="DJ197" s="228">
        <v>0.57999999999999996</v>
      </c>
      <c r="DK197" s="228">
        <v>0.57999999999999996</v>
      </c>
      <c r="DL197" s="228">
        <v>28.03</v>
      </c>
      <c r="DM197" s="228">
        <v>27.73</v>
      </c>
      <c r="DN197" s="228">
        <v>0.3</v>
      </c>
      <c r="DO197" s="228">
        <v>0.3</v>
      </c>
      <c r="DP197" s="228">
        <v>0.78</v>
      </c>
      <c r="DQ197" s="228">
        <v>0.88</v>
      </c>
      <c r="DR197" s="228">
        <v>-0.1</v>
      </c>
      <c r="DS197" s="229">
        <v>-0.11360000000000001</v>
      </c>
      <c r="DT197" s="231">
        <v>2600</v>
      </c>
      <c r="DU197" s="231">
        <v>2500</v>
      </c>
      <c r="DV197" s="228">
        <v>0.47</v>
      </c>
      <c r="DW197" s="228">
        <v>0.49</v>
      </c>
      <c r="DX197" s="228">
        <v>-0.02</v>
      </c>
      <c r="DY197" s="229">
        <v>-4.0800000000000003E-2</v>
      </c>
      <c r="DZ197" s="229">
        <v>2.2200000000000001E-2</v>
      </c>
      <c r="EA197" s="230">
        <v>81400</v>
      </c>
      <c r="EB197" s="229">
        <v>5.7999999999999996E-3</v>
      </c>
      <c r="EC197" s="229">
        <v>2.2200000000000001E-2</v>
      </c>
      <c r="ED197" s="228">
        <v>14.07</v>
      </c>
      <c r="EE197" s="229">
        <v>5.4999999999999997E-3</v>
      </c>
      <c r="EF197" s="230">
        <v>85964</v>
      </c>
      <c r="EG197" s="230">
        <v>331167</v>
      </c>
      <c r="EH197" s="229">
        <v>-0.74039999999999995</v>
      </c>
      <c r="EI197" s="229">
        <v>0.50129999999999997</v>
      </c>
      <c r="EJ197" s="231">
        <v>16088.8</v>
      </c>
      <c r="EK197" s="231">
        <v>7249.53</v>
      </c>
      <c r="EL197" s="231">
        <v>8367.33</v>
      </c>
      <c r="EM197" s="231">
        <v>1775</v>
      </c>
      <c r="EN197" s="231">
        <v>31705.66</v>
      </c>
      <c r="EO197" s="231">
        <v>33638.620000000003</v>
      </c>
      <c r="EP197" s="231">
        <v>-1932.96</v>
      </c>
      <c r="EQ197" s="229">
        <v>-5.7500000000000002E-2</v>
      </c>
      <c r="ER197" s="231">
        <v>20281</v>
      </c>
      <c r="ES197" s="231">
        <v>15182</v>
      </c>
      <c r="ET197" s="231">
        <v>98689</v>
      </c>
      <c r="EU197" s="231">
        <v>15879795</v>
      </c>
      <c r="EV197" s="231">
        <v>134151</v>
      </c>
      <c r="EW197" s="231">
        <v>134735</v>
      </c>
      <c r="EX197" s="228">
        <v>-584</v>
      </c>
      <c r="EY197" s="229">
        <v>-4.3E-3</v>
      </c>
      <c r="EZ197" s="229">
        <v>0.33029999999999998</v>
      </c>
      <c r="FA197" s="227" t="s">
        <v>568</v>
      </c>
      <c r="FB197" s="161">
        <f t="shared" si="5"/>
        <v>0</v>
      </c>
    </row>
    <row r="198" spans="1:158" ht="17.25" thickBot="1" x14ac:dyDescent="0.3">
      <c r="A198" s="226">
        <v>46029</v>
      </c>
      <c r="B198" s="227" t="s">
        <v>168</v>
      </c>
      <c r="C198" s="227" t="s">
        <v>297</v>
      </c>
      <c r="D198" s="228">
        <v>175</v>
      </c>
      <c r="E198" s="231">
        <v>4293.1000000000004</v>
      </c>
      <c r="F198" s="231">
        <v>4121.3</v>
      </c>
      <c r="G198" s="228">
        <v>171.8</v>
      </c>
      <c r="H198" s="229">
        <v>4.1700000000000001E-2</v>
      </c>
      <c r="I198" s="231">
        <v>4273.2</v>
      </c>
      <c r="J198" s="231">
        <v>4111.8</v>
      </c>
      <c r="K198" s="228">
        <v>161.4</v>
      </c>
      <c r="L198" s="229">
        <v>3.9300000000000002E-2</v>
      </c>
      <c r="M198" s="231">
        <v>4293.1000000000004</v>
      </c>
      <c r="N198" s="231">
        <v>4121.3</v>
      </c>
      <c r="O198" s="228">
        <v>171.8</v>
      </c>
      <c r="P198" s="229">
        <v>4.1700000000000001E-2</v>
      </c>
      <c r="Q198" s="231">
        <v>4318.1000000000004</v>
      </c>
      <c r="R198" s="231">
        <v>4144.8</v>
      </c>
      <c r="S198" s="228">
        <v>173.3</v>
      </c>
      <c r="T198" s="229">
        <v>4.1799999999999997E-2</v>
      </c>
      <c r="U198" s="231">
        <v>4341.8999999999996</v>
      </c>
      <c r="V198" s="231">
        <v>4167.1000000000004</v>
      </c>
      <c r="W198" s="228">
        <v>174.8</v>
      </c>
      <c r="X198" s="229">
        <v>4.19E-2</v>
      </c>
      <c r="Y198" s="228">
        <v>19.899999999999999</v>
      </c>
      <c r="Z198" s="228">
        <v>9.5</v>
      </c>
      <c r="AA198" s="228">
        <v>10.4</v>
      </c>
      <c r="AB198" s="229">
        <v>4.7000000000000002E-3</v>
      </c>
      <c r="AC198" s="228">
        <v>19.899999999999999</v>
      </c>
      <c r="AD198" s="228">
        <v>9.5</v>
      </c>
      <c r="AE198" s="228">
        <v>10.4</v>
      </c>
      <c r="AF198" s="229">
        <v>4.7000000000000002E-3</v>
      </c>
      <c r="AG198" s="228">
        <v>44.9</v>
      </c>
      <c r="AH198" s="228">
        <v>33</v>
      </c>
      <c r="AI198" s="228">
        <v>11.9</v>
      </c>
      <c r="AJ198" s="229">
        <v>1.0500000000000001E-2</v>
      </c>
      <c r="AK198" s="228">
        <v>68.7</v>
      </c>
      <c r="AL198" s="228">
        <v>55.3</v>
      </c>
      <c r="AM198" s="228">
        <v>13.4</v>
      </c>
      <c r="AN198" s="229">
        <v>1.61E-2</v>
      </c>
      <c r="AO198" s="231">
        <v>4279.57</v>
      </c>
      <c r="AP198" s="231">
        <v>4311.5</v>
      </c>
      <c r="AQ198" s="228">
        <v>0</v>
      </c>
      <c r="AR198" s="230">
        <v>4824925</v>
      </c>
      <c r="AS198" s="230">
        <v>1178975</v>
      </c>
      <c r="AT198" s="230">
        <v>3645950</v>
      </c>
      <c r="AU198" s="229">
        <v>3.0924999999999998</v>
      </c>
      <c r="AV198" s="230">
        <v>4598650</v>
      </c>
      <c r="AW198" s="230">
        <v>1146775</v>
      </c>
      <c r="AX198" s="230">
        <v>3451875</v>
      </c>
      <c r="AY198" s="229">
        <v>3.0101</v>
      </c>
      <c r="AZ198" s="230">
        <v>188475</v>
      </c>
      <c r="BA198" s="230">
        <v>27650</v>
      </c>
      <c r="BB198" s="230">
        <v>160825</v>
      </c>
      <c r="BC198" s="229">
        <v>5.8164999999999996</v>
      </c>
      <c r="BD198" s="230">
        <v>37800</v>
      </c>
      <c r="BE198" s="230">
        <v>4550</v>
      </c>
      <c r="BF198" s="230">
        <v>33250</v>
      </c>
      <c r="BG198" s="229">
        <v>7.3076999999999996</v>
      </c>
      <c r="BH198" s="230">
        <v>36200150</v>
      </c>
      <c r="BI198" s="230">
        <v>4627000</v>
      </c>
      <c r="BJ198" s="230">
        <v>31573150</v>
      </c>
      <c r="BK198" s="229">
        <v>6.8236999999999997</v>
      </c>
      <c r="BL198" s="230">
        <v>18924675</v>
      </c>
      <c r="BM198" s="230">
        <v>1921325</v>
      </c>
      <c r="BN198" s="230">
        <v>17003350</v>
      </c>
      <c r="BO198" s="229">
        <v>8.8498000000000001</v>
      </c>
      <c r="BP198" s="230">
        <v>59949750</v>
      </c>
      <c r="BQ198" s="230">
        <v>7727300</v>
      </c>
      <c r="BR198" s="230">
        <v>52222450</v>
      </c>
      <c r="BS198" s="229">
        <v>6.7582000000000004</v>
      </c>
      <c r="BT198" s="230">
        <v>3773851</v>
      </c>
      <c r="BU198" s="230">
        <v>830420</v>
      </c>
      <c r="BV198" s="230">
        <v>2943431</v>
      </c>
      <c r="BW198" s="229">
        <v>3.5445000000000002</v>
      </c>
      <c r="BX198" s="230">
        <v>9632525</v>
      </c>
      <c r="BY198" s="230">
        <v>9455250</v>
      </c>
      <c r="BZ198" s="230">
        <v>177275</v>
      </c>
      <c r="CA198" s="229">
        <v>1.8700000000000001E-2</v>
      </c>
      <c r="CB198" s="230">
        <v>9403625</v>
      </c>
      <c r="CC198" s="230">
        <v>9272200</v>
      </c>
      <c r="CD198" s="230">
        <v>131425</v>
      </c>
      <c r="CE198" s="229">
        <v>1.4200000000000001E-2</v>
      </c>
      <c r="CF198" s="230">
        <v>197925</v>
      </c>
      <c r="CG198" s="230">
        <v>163800</v>
      </c>
      <c r="CH198" s="230">
        <v>34125</v>
      </c>
      <c r="CI198" s="229">
        <v>0.20830000000000001</v>
      </c>
      <c r="CJ198" s="230">
        <v>30975</v>
      </c>
      <c r="CK198" s="230">
        <v>19250</v>
      </c>
      <c r="CL198" s="230">
        <v>11725</v>
      </c>
      <c r="CM198" s="229">
        <v>0.60909999999999997</v>
      </c>
      <c r="CN198" s="230">
        <v>5364625</v>
      </c>
      <c r="CO198" s="230">
        <v>3879050</v>
      </c>
      <c r="CP198" s="230">
        <v>1485575</v>
      </c>
      <c r="CQ198" s="229">
        <v>0.38300000000000001</v>
      </c>
      <c r="CR198" s="230">
        <v>4216975</v>
      </c>
      <c r="CS198" s="230">
        <v>2751700</v>
      </c>
      <c r="CT198" s="230">
        <v>1465275</v>
      </c>
      <c r="CU198" s="229">
        <v>0.53249999999999997</v>
      </c>
      <c r="CV198" s="230">
        <v>19214125</v>
      </c>
      <c r="CW198" s="230">
        <v>16086000</v>
      </c>
      <c r="CX198" s="230">
        <v>3128125</v>
      </c>
      <c r="CY198" s="229">
        <v>0.19450000000000001</v>
      </c>
      <c r="CZ198" s="228">
        <v>19.41</v>
      </c>
      <c r="DA198" s="228">
        <v>21.93</v>
      </c>
      <c r="DB198" s="228">
        <v>-2.52</v>
      </c>
      <c r="DC198" s="228">
        <v>-2.52</v>
      </c>
      <c r="DD198" s="228">
        <v>24.86</v>
      </c>
      <c r="DE198" s="228">
        <v>24.37</v>
      </c>
      <c r="DF198" s="228">
        <v>-5.45</v>
      </c>
      <c r="DG198" s="228">
        <v>0.49</v>
      </c>
      <c r="DH198" s="228">
        <v>18.940000000000001</v>
      </c>
      <c r="DI198" s="228">
        <v>21.59</v>
      </c>
      <c r="DJ198" s="228">
        <v>-2.65</v>
      </c>
      <c r="DK198" s="228">
        <v>-2.65</v>
      </c>
      <c r="DL198" s="228">
        <v>20.309999999999999</v>
      </c>
      <c r="DM198" s="228">
        <v>22.76</v>
      </c>
      <c r="DN198" s="228">
        <v>-2.4500000000000002</v>
      </c>
      <c r="DO198" s="228">
        <v>-2.4500000000000002</v>
      </c>
      <c r="DP198" s="228">
        <v>0.79</v>
      </c>
      <c r="DQ198" s="228">
        <v>0.71</v>
      </c>
      <c r="DR198" s="228">
        <v>0.08</v>
      </c>
      <c r="DS198" s="229">
        <v>0.11269999999999999</v>
      </c>
      <c r="DT198" s="231">
        <v>4400</v>
      </c>
      <c r="DU198" s="231">
        <v>4000</v>
      </c>
      <c r="DV198" s="228">
        <v>0.52</v>
      </c>
      <c r="DW198" s="228">
        <v>0.42</v>
      </c>
      <c r="DX198" s="228">
        <v>0.1</v>
      </c>
      <c r="DY198" s="229">
        <v>0.23810000000000001</v>
      </c>
      <c r="DZ198" s="229">
        <v>2.3800000000000002E-2</v>
      </c>
      <c r="EA198" s="230">
        <v>183050</v>
      </c>
      <c r="EB198" s="229">
        <v>5.7999999999999996E-3</v>
      </c>
      <c r="EC198" s="229">
        <v>2.3800000000000002E-2</v>
      </c>
      <c r="ED198" s="228">
        <v>31.93</v>
      </c>
      <c r="EE198" s="229">
        <v>7.4999999999999997E-3</v>
      </c>
      <c r="EF198" s="230">
        <v>1267217</v>
      </c>
      <c r="EG198" s="230">
        <v>553760</v>
      </c>
      <c r="EH198" s="229">
        <v>1.2884</v>
      </c>
      <c r="EI198" s="229">
        <v>0.33579999999999999</v>
      </c>
      <c r="EJ198" s="231">
        <v>1593640.6</v>
      </c>
      <c r="EK198" s="231">
        <v>788184.14</v>
      </c>
      <c r="EL198" s="231">
        <v>206569.68</v>
      </c>
      <c r="EM198" s="231">
        <v>6686</v>
      </c>
      <c r="EN198" s="231">
        <v>2588394.42</v>
      </c>
      <c r="EO198" s="231">
        <v>323588.59999999998</v>
      </c>
      <c r="EP198" s="231">
        <v>2264805.8199999998</v>
      </c>
      <c r="EQ198" s="229">
        <v>6.9989999999999997</v>
      </c>
      <c r="ER198" s="231">
        <v>229599</v>
      </c>
      <c r="ES198" s="231">
        <v>170768</v>
      </c>
      <c r="ET198" s="231">
        <v>413599</v>
      </c>
      <c r="EU198" s="231">
        <v>45680146</v>
      </c>
      <c r="EV198" s="231">
        <v>813965</v>
      </c>
      <c r="EW198" s="231">
        <v>659841</v>
      </c>
      <c r="EX198" s="231">
        <v>154124</v>
      </c>
      <c r="EY198" s="229">
        <v>0.2336</v>
      </c>
      <c r="EZ198" s="229">
        <v>0.42059999999999997</v>
      </c>
      <c r="FA198" s="227" t="s">
        <v>555</v>
      </c>
      <c r="FB198" s="161">
        <f t="shared" si="5"/>
        <v>0</v>
      </c>
    </row>
    <row r="199" spans="1:158" ht="17.25" thickBot="1" x14ac:dyDescent="0.3">
      <c r="A199" s="226">
        <v>46029</v>
      </c>
      <c r="B199" s="227" t="s">
        <v>162</v>
      </c>
      <c r="C199" s="227" t="s">
        <v>689</v>
      </c>
      <c r="D199" s="228">
        <v>800</v>
      </c>
      <c r="E199" s="228">
        <v>364.2</v>
      </c>
      <c r="F199" s="228">
        <v>369.8</v>
      </c>
      <c r="G199" s="228">
        <v>-5.6</v>
      </c>
      <c r="H199" s="229">
        <v>-1.5100000000000001E-2</v>
      </c>
      <c r="I199" s="228">
        <v>363.35</v>
      </c>
      <c r="J199" s="228">
        <v>368.9</v>
      </c>
      <c r="K199" s="228">
        <v>-5.55</v>
      </c>
      <c r="L199" s="229">
        <v>-1.4999999999999999E-2</v>
      </c>
      <c r="M199" s="228">
        <v>364.2</v>
      </c>
      <c r="N199" s="228">
        <v>369.8</v>
      </c>
      <c r="O199" s="228">
        <v>-5.6</v>
      </c>
      <c r="P199" s="229">
        <v>-1.5100000000000001E-2</v>
      </c>
      <c r="Q199" s="228">
        <v>366.15</v>
      </c>
      <c r="R199" s="228">
        <v>371.9</v>
      </c>
      <c r="S199" s="228">
        <v>-5.75</v>
      </c>
      <c r="T199" s="229">
        <v>-1.55E-2</v>
      </c>
      <c r="U199" s="228">
        <v>368.65</v>
      </c>
      <c r="V199" s="228">
        <v>374.25</v>
      </c>
      <c r="W199" s="228">
        <v>-5.6</v>
      </c>
      <c r="X199" s="229">
        <v>-1.4999999999999999E-2</v>
      </c>
      <c r="Y199" s="228">
        <v>0.85</v>
      </c>
      <c r="Z199" s="228">
        <v>0.9</v>
      </c>
      <c r="AA199" s="228">
        <v>-0.05</v>
      </c>
      <c r="AB199" s="229">
        <v>2.3E-3</v>
      </c>
      <c r="AC199" s="228">
        <v>0.85</v>
      </c>
      <c r="AD199" s="228">
        <v>0.9</v>
      </c>
      <c r="AE199" s="228">
        <v>-0.05</v>
      </c>
      <c r="AF199" s="229">
        <v>2.3E-3</v>
      </c>
      <c r="AG199" s="228">
        <v>2.8</v>
      </c>
      <c r="AH199" s="228">
        <v>3</v>
      </c>
      <c r="AI199" s="228">
        <v>-0.2</v>
      </c>
      <c r="AJ199" s="229">
        <v>7.7000000000000002E-3</v>
      </c>
      <c r="AK199" s="228">
        <v>5.3</v>
      </c>
      <c r="AL199" s="228">
        <v>5.35</v>
      </c>
      <c r="AM199" s="228">
        <v>-0.05</v>
      </c>
      <c r="AN199" s="229">
        <v>1.46E-2</v>
      </c>
      <c r="AO199" s="228">
        <v>362.73</v>
      </c>
      <c r="AP199" s="228">
        <v>364.93</v>
      </c>
      <c r="AQ199" s="228">
        <v>0</v>
      </c>
      <c r="AR199" s="230">
        <v>15852800</v>
      </c>
      <c r="AS199" s="230">
        <v>21668000</v>
      </c>
      <c r="AT199" s="230">
        <v>-5815200</v>
      </c>
      <c r="AU199" s="229">
        <v>-0.26840000000000003</v>
      </c>
      <c r="AV199" s="230">
        <v>13815200</v>
      </c>
      <c r="AW199" s="230">
        <v>19780000</v>
      </c>
      <c r="AX199" s="230">
        <v>-5964800</v>
      </c>
      <c r="AY199" s="229">
        <v>-0.30159999999999998</v>
      </c>
      <c r="AZ199" s="230">
        <v>1611200</v>
      </c>
      <c r="BA199" s="230">
        <v>1536000</v>
      </c>
      <c r="BB199" s="230">
        <v>75200</v>
      </c>
      <c r="BC199" s="229">
        <v>4.9000000000000002E-2</v>
      </c>
      <c r="BD199" s="230">
        <v>426400</v>
      </c>
      <c r="BE199" s="230">
        <v>352000</v>
      </c>
      <c r="BF199" s="230">
        <v>74400</v>
      </c>
      <c r="BG199" s="229">
        <v>0.2114</v>
      </c>
      <c r="BH199" s="230">
        <v>49424800</v>
      </c>
      <c r="BI199" s="230">
        <v>61901600</v>
      </c>
      <c r="BJ199" s="230">
        <v>-12476800</v>
      </c>
      <c r="BK199" s="229">
        <v>-0.2016</v>
      </c>
      <c r="BL199" s="230">
        <v>26588000</v>
      </c>
      <c r="BM199" s="230">
        <v>34790400</v>
      </c>
      <c r="BN199" s="230">
        <v>-8202400</v>
      </c>
      <c r="BO199" s="229">
        <v>-0.23580000000000001</v>
      </c>
      <c r="BP199" s="230">
        <v>91865600</v>
      </c>
      <c r="BQ199" s="230">
        <v>118360000</v>
      </c>
      <c r="BR199" s="230">
        <v>-26494400</v>
      </c>
      <c r="BS199" s="229">
        <v>-0.2238</v>
      </c>
      <c r="BT199" s="230">
        <v>10682229</v>
      </c>
      <c r="BU199" s="230">
        <v>17493345</v>
      </c>
      <c r="BV199" s="230">
        <v>-6811116</v>
      </c>
      <c r="BW199" s="229">
        <v>-0.38940000000000002</v>
      </c>
      <c r="BX199" s="230">
        <v>92799200</v>
      </c>
      <c r="BY199" s="230">
        <v>91401600</v>
      </c>
      <c r="BZ199" s="230">
        <v>1397600</v>
      </c>
      <c r="CA199" s="229">
        <v>1.5299999999999999E-2</v>
      </c>
      <c r="CB199" s="230">
        <v>87276800</v>
      </c>
      <c r="CC199" s="230">
        <v>86587200</v>
      </c>
      <c r="CD199" s="230">
        <v>689600</v>
      </c>
      <c r="CE199" s="229">
        <v>8.0000000000000002E-3</v>
      </c>
      <c r="CF199" s="230">
        <v>4471200</v>
      </c>
      <c r="CG199" s="230">
        <v>3949600</v>
      </c>
      <c r="CH199" s="230">
        <v>521600</v>
      </c>
      <c r="CI199" s="229">
        <v>0.1321</v>
      </c>
      <c r="CJ199" s="230">
        <v>1051200</v>
      </c>
      <c r="CK199" s="230">
        <v>864800</v>
      </c>
      <c r="CL199" s="230">
        <v>186400</v>
      </c>
      <c r="CM199" s="229">
        <v>0.2155</v>
      </c>
      <c r="CN199" s="230">
        <v>41900800</v>
      </c>
      <c r="CO199" s="230">
        <v>36848000</v>
      </c>
      <c r="CP199" s="230">
        <v>5052800</v>
      </c>
      <c r="CQ199" s="229">
        <v>0.1371</v>
      </c>
      <c r="CR199" s="230">
        <v>24952800</v>
      </c>
      <c r="CS199" s="230">
        <v>24792800</v>
      </c>
      <c r="CT199" s="230">
        <v>160000</v>
      </c>
      <c r="CU199" s="229">
        <v>6.4999999999999997E-3</v>
      </c>
      <c r="CV199" s="230">
        <v>159652800</v>
      </c>
      <c r="CW199" s="230">
        <v>153042400</v>
      </c>
      <c r="CX199" s="230">
        <v>6610400</v>
      </c>
      <c r="CY199" s="229">
        <v>4.3200000000000002E-2</v>
      </c>
      <c r="CZ199" s="228">
        <v>25.75</v>
      </c>
      <c r="DA199" s="228">
        <v>25.53</v>
      </c>
      <c r="DB199" s="228">
        <v>0.22</v>
      </c>
      <c r="DC199" s="228">
        <v>0.22</v>
      </c>
      <c r="DD199" s="228">
        <v>33.450000000000003</v>
      </c>
      <c r="DE199" s="228">
        <v>33.47</v>
      </c>
      <c r="DF199" s="228">
        <v>-7.7</v>
      </c>
      <c r="DG199" s="228">
        <v>-0.02</v>
      </c>
      <c r="DH199" s="228">
        <v>25.75</v>
      </c>
      <c r="DI199" s="228">
        <v>25.36</v>
      </c>
      <c r="DJ199" s="228">
        <v>0.39</v>
      </c>
      <c r="DK199" s="228">
        <v>0.39</v>
      </c>
      <c r="DL199" s="228">
        <v>25.77</v>
      </c>
      <c r="DM199" s="228">
        <v>25.84</v>
      </c>
      <c r="DN199" s="228">
        <v>-7.0000000000000007E-2</v>
      </c>
      <c r="DO199" s="228">
        <v>-7.0000000000000007E-2</v>
      </c>
      <c r="DP199" s="228">
        <v>0.6</v>
      </c>
      <c r="DQ199" s="228">
        <v>0.67</v>
      </c>
      <c r="DR199" s="228">
        <v>-7.0000000000000007E-2</v>
      </c>
      <c r="DS199" s="229">
        <v>-0.1045</v>
      </c>
      <c r="DT199" s="228">
        <v>400</v>
      </c>
      <c r="DU199" s="228">
        <v>360</v>
      </c>
      <c r="DV199" s="228">
        <v>0.54</v>
      </c>
      <c r="DW199" s="228">
        <v>0.56000000000000005</v>
      </c>
      <c r="DX199" s="228">
        <v>-0.02</v>
      </c>
      <c r="DY199" s="229">
        <v>-3.5700000000000003E-2</v>
      </c>
      <c r="DZ199" s="229">
        <v>5.9499999999999997E-2</v>
      </c>
      <c r="EA199" s="230">
        <v>4814400</v>
      </c>
      <c r="EB199" s="229">
        <v>5.4000000000000003E-3</v>
      </c>
      <c r="EC199" s="229">
        <v>5.9499999999999997E-2</v>
      </c>
      <c r="ED199" s="228">
        <v>2.2000000000000002</v>
      </c>
      <c r="EE199" s="229">
        <v>6.1000000000000004E-3</v>
      </c>
      <c r="EF199" s="230">
        <v>5379806</v>
      </c>
      <c r="EG199" s="230">
        <v>9885210</v>
      </c>
      <c r="EH199" s="229">
        <v>-0.45579999999999998</v>
      </c>
      <c r="EI199" s="229">
        <v>0.50360000000000005</v>
      </c>
      <c r="EJ199" s="231">
        <v>189911.96</v>
      </c>
      <c r="EK199" s="231">
        <v>95763.97</v>
      </c>
      <c r="EL199" s="231">
        <v>57556.56</v>
      </c>
      <c r="EM199" s="231">
        <v>18364</v>
      </c>
      <c r="EN199" s="231">
        <v>343232.49</v>
      </c>
      <c r="EO199" s="231">
        <v>446033.49</v>
      </c>
      <c r="EP199" s="231">
        <v>-102801</v>
      </c>
      <c r="EQ199" s="229">
        <v>-0.23050000000000001</v>
      </c>
      <c r="ER199" s="231">
        <v>162274</v>
      </c>
      <c r="ES199" s="231">
        <v>89447</v>
      </c>
      <c r="ET199" s="231">
        <v>338109</v>
      </c>
      <c r="EU199" s="231">
        <v>317235726</v>
      </c>
      <c r="EV199" s="231">
        <v>589830</v>
      </c>
      <c r="EW199" s="231">
        <v>570386</v>
      </c>
      <c r="EX199" s="231">
        <v>19444</v>
      </c>
      <c r="EY199" s="229">
        <v>3.4099999999999998E-2</v>
      </c>
      <c r="EZ199" s="229">
        <v>0.50329999999999997</v>
      </c>
      <c r="FA199" s="227" t="s">
        <v>567</v>
      </c>
      <c r="FB199" s="161">
        <f t="shared" si="5"/>
        <v>0</v>
      </c>
    </row>
    <row r="200" spans="1:158" ht="17.25" thickBot="1" x14ac:dyDescent="0.3">
      <c r="A200" s="226">
        <v>46029</v>
      </c>
      <c r="B200" s="227" t="s">
        <v>170</v>
      </c>
      <c r="C200" s="227" t="s">
        <v>298</v>
      </c>
      <c r="D200" s="228">
        <v>250</v>
      </c>
      <c r="E200" s="231">
        <v>4080.3</v>
      </c>
      <c r="F200" s="231">
        <v>3937.7</v>
      </c>
      <c r="G200" s="228">
        <v>142.6</v>
      </c>
      <c r="H200" s="229">
        <v>3.6200000000000003E-2</v>
      </c>
      <c r="I200" s="231">
        <v>4092.2</v>
      </c>
      <c r="J200" s="231">
        <v>3936.8</v>
      </c>
      <c r="K200" s="228">
        <v>155.4</v>
      </c>
      <c r="L200" s="229">
        <v>3.95E-2</v>
      </c>
      <c r="M200" s="231">
        <v>4080.3</v>
      </c>
      <c r="N200" s="231">
        <v>3937.7</v>
      </c>
      <c r="O200" s="228">
        <v>142.6</v>
      </c>
      <c r="P200" s="229">
        <v>3.6200000000000003E-2</v>
      </c>
      <c r="Q200" s="231">
        <v>4081.2</v>
      </c>
      <c r="R200" s="231">
        <v>3937.4</v>
      </c>
      <c r="S200" s="228">
        <v>143.80000000000001</v>
      </c>
      <c r="T200" s="229">
        <v>3.6499999999999998E-2</v>
      </c>
      <c r="U200" s="231">
        <v>4080</v>
      </c>
      <c r="V200" s="231">
        <v>3945</v>
      </c>
      <c r="W200" s="228">
        <v>135</v>
      </c>
      <c r="X200" s="229">
        <v>3.4200000000000001E-2</v>
      </c>
      <c r="Y200" s="228">
        <v>-11.9</v>
      </c>
      <c r="Z200" s="228">
        <v>0.9</v>
      </c>
      <c r="AA200" s="228">
        <v>-12.8</v>
      </c>
      <c r="AB200" s="229">
        <v>-2.8999999999999998E-3</v>
      </c>
      <c r="AC200" s="228">
        <v>-11.9</v>
      </c>
      <c r="AD200" s="228">
        <v>0.9</v>
      </c>
      <c r="AE200" s="228">
        <v>-12.8</v>
      </c>
      <c r="AF200" s="229">
        <v>-2.8999999999999998E-3</v>
      </c>
      <c r="AG200" s="228">
        <v>-11</v>
      </c>
      <c r="AH200" s="228">
        <v>0.6</v>
      </c>
      <c r="AI200" s="228">
        <v>-11.6</v>
      </c>
      <c r="AJ200" s="229">
        <v>-2.7000000000000001E-3</v>
      </c>
      <c r="AK200" s="228">
        <v>-12.2</v>
      </c>
      <c r="AL200" s="228">
        <v>8.1999999999999993</v>
      </c>
      <c r="AM200" s="228">
        <v>-20.399999999999999</v>
      </c>
      <c r="AN200" s="229">
        <v>-3.0000000000000001E-3</v>
      </c>
      <c r="AO200" s="231">
        <v>4034.68</v>
      </c>
      <c r="AP200" s="231">
        <v>4048.97</v>
      </c>
      <c r="AQ200" s="228">
        <v>0</v>
      </c>
      <c r="AR200" s="230">
        <v>1205750</v>
      </c>
      <c r="AS200" s="230">
        <v>358500</v>
      </c>
      <c r="AT200" s="230">
        <v>847250</v>
      </c>
      <c r="AU200" s="229">
        <v>2.3633000000000002</v>
      </c>
      <c r="AV200" s="230">
        <v>1107750</v>
      </c>
      <c r="AW200" s="230">
        <v>350000</v>
      </c>
      <c r="AX200" s="230">
        <v>757750</v>
      </c>
      <c r="AY200" s="229">
        <v>2.165</v>
      </c>
      <c r="AZ200" s="230">
        <v>94750</v>
      </c>
      <c r="BA200" s="230">
        <v>7500</v>
      </c>
      <c r="BB200" s="230">
        <v>87250</v>
      </c>
      <c r="BC200" s="229">
        <v>11.6333</v>
      </c>
      <c r="BD200" s="230">
        <v>3250</v>
      </c>
      <c r="BE200" s="230">
        <v>1000</v>
      </c>
      <c r="BF200" s="230">
        <v>2250</v>
      </c>
      <c r="BG200" s="229">
        <v>2.25</v>
      </c>
      <c r="BH200" s="230">
        <v>4752000</v>
      </c>
      <c r="BI200" s="230">
        <v>1083500</v>
      </c>
      <c r="BJ200" s="230">
        <v>3668500</v>
      </c>
      <c r="BK200" s="229">
        <v>3.3858000000000001</v>
      </c>
      <c r="BL200" s="230">
        <v>898500</v>
      </c>
      <c r="BM200" s="230">
        <v>220000</v>
      </c>
      <c r="BN200" s="230">
        <v>678500</v>
      </c>
      <c r="BO200" s="229">
        <v>3.0840999999999998</v>
      </c>
      <c r="BP200" s="230">
        <v>6856250</v>
      </c>
      <c r="BQ200" s="230">
        <v>1662000</v>
      </c>
      <c r="BR200" s="230">
        <v>5194250</v>
      </c>
      <c r="BS200" s="229">
        <v>3.1253000000000002</v>
      </c>
      <c r="BT200" s="230">
        <v>915659</v>
      </c>
      <c r="BU200" s="230">
        <v>195942</v>
      </c>
      <c r="BV200" s="230">
        <v>719717</v>
      </c>
      <c r="BW200" s="229">
        <v>3.6730999999999998</v>
      </c>
      <c r="BX200" s="230">
        <v>2318750</v>
      </c>
      <c r="BY200" s="230">
        <v>2139000</v>
      </c>
      <c r="BZ200" s="230">
        <v>179750</v>
      </c>
      <c r="CA200" s="229">
        <v>8.4000000000000005E-2</v>
      </c>
      <c r="CB200" s="230">
        <v>2248250</v>
      </c>
      <c r="CC200" s="230">
        <v>2124750</v>
      </c>
      <c r="CD200" s="230">
        <v>123500</v>
      </c>
      <c r="CE200" s="229">
        <v>5.8099999999999999E-2</v>
      </c>
      <c r="CF200" s="230">
        <v>68000</v>
      </c>
      <c r="CG200" s="230">
        <v>13500</v>
      </c>
      <c r="CH200" s="230">
        <v>54500</v>
      </c>
      <c r="CI200" s="229">
        <v>4.0369999999999999</v>
      </c>
      <c r="CJ200" s="230">
        <v>2500</v>
      </c>
      <c r="CK200" s="228">
        <v>750</v>
      </c>
      <c r="CL200" s="230">
        <v>1750</v>
      </c>
      <c r="CM200" s="229">
        <v>2.3332999999999999</v>
      </c>
      <c r="CN200" s="230">
        <v>533000</v>
      </c>
      <c r="CO200" s="230">
        <v>395750</v>
      </c>
      <c r="CP200" s="230">
        <v>137250</v>
      </c>
      <c r="CQ200" s="229">
        <v>0.3468</v>
      </c>
      <c r="CR200" s="230">
        <v>323750</v>
      </c>
      <c r="CS200" s="230">
        <v>191250</v>
      </c>
      <c r="CT200" s="230">
        <v>132500</v>
      </c>
      <c r="CU200" s="229">
        <v>0.69279999999999997</v>
      </c>
      <c r="CV200" s="230">
        <v>3175500</v>
      </c>
      <c r="CW200" s="230">
        <v>2726000</v>
      </c>
      <c r="CX200" s="230">
        <v>449500</v>
      </c>
      <c r="CY200" s="229">
        <v>0.16489999999999999</v>
      </c>
      <c r="CZ200" s="228">
        <v>20.7</v>
      </c>
      <c r="DA200" s="228">
        <v>19.8</v>
      </c>
      <c r="DB200" s="228">
        <v>0.9</v>
      </c>
      <c r="DC200" s="228">
        <v>0.9</v>
      </c>
      <c r="DD200" s="228">
        <v>25.28</v>
      </c>
      <c r="DE200" s="228">
        <v>24.79</v>
      </c>
      <c r="DF200" s="228">
        <v>-4.58</v>
      </c>
      <c r="DG200" s="228">
        <v>0.49</v>
      </c>
      <c r="DH200" s="228">
        <v>20.58</v>
      </c>
      <c r="DI200" s="228">
        <v>19.84</v>
      </c>
      <c r="DJ200" s="228">
        <v>0.74</v>
      </c>
      <c r="DK200" s="228">
        <v>0.74</v>
      </c>
      <c r="DL200" s="228">
        <v>21.37</v>
      </c>
      <c r="DM200" s="228">
        <v>19.59</v>
      </c>
      <c r="DN200" s="228">
        <v>1.78</v>
      </c>
      <c r="DO200" s="228">
        <v>1.78</v>
      </c>
      <c r="DP200" s="228">
        <v>0.61</v>
      </c>
      <c r="DQ200" s="228">
        <v>0.48</v>
      </c>
      <c r="DR200" s="228">
        <v>0.13</v>
      </c>
      <c r="DS200" s="229">
        <v>0.27079999999999999</v>
      </c>
      <c r="DT200" s="231">
        <v>4100</v>
      </c>
      <c r="DU200" s="231">
        <v>4000</v>
      </c>
      <c r="DV200" s="228">
        <v>0.19</v>
      </c>
      <c r="DW200" s="228">
        <v>0.2</v>
      </c>
      <c r="DX200" s="228">
        <v>-0.01</v>
      </c>
      <c r="DY200" s="229">
        <v>-0.05</v>
      </c>
      <c r="DZ200" s="229">
        <v>3.04E-2</v>
      </c>
      <c r="EA200" s="230">
        <v>14250</v>
      </c>
      <c r="EB200" s="229">
        <v>2.0000000000000001E-4</v>
      </c>
      <c r="EC200" s="229">
        <v>3.04E-2</v>
      </c>
      <c r="ED200" s="228">
        <v>14.29</v>
      </c>
      <c r="EE200" s="229">
        <v>3.5000000000000001E-3</v>
      </c>
      <c r="EF200" s="230">
        <v>449421</v>
      </c>
      <c r="EG200" s="230">
        <v>86918</v>
      </c>
      <c r="EH200" s="229">
        <v>4.1706000000000003</v>
      </c>
      <c r="EI200" s="229">
        <v>0.49080000000000001</v>
      </c>
      <c r="EJ200" s="231">
        <v>196791.46</v>
      </c>
      <c r="EK200" s="231">
        <v>35551.980000000003</v>
      </c>
      <c r="EL200" s="231">
        <v>48661.9</v>
      </c>
      <c r="EM200" s="228">
        <v>957</v>
      </c>
      <c r="EN200" s="231">
        <v>281005.34000000003</v>
      </c>
      <c r="EO200" s="231">
        <v>66220.38</v>
      </c>
      <c r="EP200" s="231">
        <v>214784.96</v>
      </c>
      <c r="EQ200" s="229">
        <v>3.2435</v>
      </c>
      <c r="ER200" s="231">
        <v>21706</v>
      </c>
      <c r="ES200" s="231">
        <v>12401</v>
      </c>
      <c r="ET200" s="231">
        <v>94613</v>
      </c>
      <c r="EU200" s="231">
        <v>10726004</v>
      </c>
      <c r="EV200" s="231">
        <v>128719</v>
      </c>
      <c r="EW200" s="231">
        <v>107108</v>
      </c>
      <c r="EX200" s="231">
        <v>21611</v>
      </c>
      <c r="EY200" s="229">
        <v>0.20180000000000001</v>
      </c>
      <c r="EZ200" s="229">
        <v>0.29609999999999997</v>
      </c>
      <c r="FA200" s="227" t="s">
        <v>555</v>
      </c>
      <c r="FB200" s="161">
        <f t="shared" si="5"/>
        <v>0</v>
      </c>
    </row>
    <row r="201" spans="1:158" ht="17.25" thickBot="1" x14ac:dyDescent="0.3">
      <c r="A201" s="226">
        <v>46029</v>
      </c>
      <c r="B201" s="227" t="s">
        <v>161</v>
      </c>
      <c r="C201" s="227" t="s">
        <v>299</v>
      </c>
      <c r="D201" s="228">
        <v>425</v>
      </c>
      <c r="E201" s="231">
        <v>1397.5</v>
      </c>
      <c r="F201" s="231">
        <v>1410.8</v>
      </c>
      <c r="G201" s="228">
        <v>-13.3</v>
      </c>
      <c r="H201" s="229">
        <v>-9.4000000000000004E-3</v>
      </c>
      <c r="I201" s="231">
        <v>1396.8</v>
      </c>
      <c r="J201" s="231">
        <v>1409</v>
      </c>
      <c r="K201" s="228">
        <v>-12.2</v>
      </c>
      <c r="L201" s="229">
        <v>-8.6999999999999994E-3</v>
      </c>
      <c r="M201" s="231">
        <v>1397.5</v>
      </c>
      <c r="N201" s="231">
        <v>1410.8</v>
      </c>
      <c r="O201" s="228">
        <v>-13.3</v>
      </c>
      <c r="P201" s="229">
        <v>-9.4000000000000004E-3</v>
      </c>
      <c r="Q201" s="231">
        <v>1394.8</v>
      </c>
      <c r="R201" s="231">
        <v>1405.5</v>
      </c>
      <c r="S201" s="228">
        <v>-10.7</v>
      </c>
      <c r="T201" s="229">
        <v>-7.6E-3</v>
      </c>
      <c r="U201" s="231">
        <v>1411</v>
      </c>
      <c r="V201" s="231">
        <v>1408</v>
      </c>
      <c r="W201" s="228">
        <v>3</v>
      </c>
      <c r="X201" s="229">
        <v>2.0999999999999999E-3</v>
      </c>
      <c r="Y201" s="228">
        <v>0.7</v>
      </c>
      <c r="Z201" s="228">
        <v>1.8</v>
      </c>
      <c r="AA201" s="228">
        <v>-1.1000000000000001</v>
      </c>
      <c r="AB201" s="229">
        <v>5.0000000000000001E-4</v>
      </c>
      <c r="AC201" s="228">
        <v>0.7</v>
      </c>
      <c r="AD201" s="228">
        <v>1.8</v>
      </c>
      <c r="AE201" s="228">
        <v>-1.1000000000000001</v>
      </c>
      <c r="AF201" s="229">
        <v>5.0000000000000001E-4</v>
      </c>
      <c r="AG201" s="228">
        <v>-2</v>
      </c>
      <c r="AH201" s="228">
        <v>-3.5</v>
      </c>
      <c r="AI201" s="228">
        <v>1.5</v>
      </c>
      <c r="AJ201" s="229">
        <v>-1.4E-3</v>
      </c>
      <c r="AK201" s="228">
        <v>14.2</v>
      </c>
      <c r="AL201" s="228">
        <v>-1</v>
      </c>
      <c r="AM201" s="228">
        <v>15.2</v>
      </c>
      <c r="AN201" s="229">
        <v>1.0200000000000001E-2</v>
      </c>
      <c r="AO201" s="231">
        <v>1398.65</v>
      </c>
      <c r="AP201" s="231">
        <v>1395.36</v>
      </c>
      <c r="AQ201" s="228">
        <v>0</v>
      </c>
      <c r="AR201" s="230">
        <v>428825</v>
      </c>
      <c r="AS201" s="230">
        <v>366350</v>
      </c>
      <c r="AT201" s="230">
        <v>62475</v>
      </c>
      <c r="AU201" s="229">
        <v>0.17050000000000001</v>
      </c>
      <c r="AV201" s="230">
        <v>411400</v>
      </c>
      <c r="AW201" s="230">
        <v>362100</v>
      </c>
      <c r="AX201" s="230">
        <v>49300</v>
      </c>
      <c r="AY201" s="229">
        <v>0.13619999999999999</v>
      </c>
      <c r="AZ201" s="230">
        <v>14450</v>
      </c>
      <c r="BA201" s="230">
        <v>4250</v>
      </c>
      <c r="BB201" s="230">
        <v>10200</v>
      </c>
      <c r="BC201" s="229">
        <v>2.4</v>
      </c>
      <c r="BD201" s="230">
        <v>2975</v>
      </c>
      <c r="BE201" s="228">
        <v>0</v>
      </c>
      <c r="BF201" s="230">
        <v>2975</v>
      </c>
      <c r="BG201" s="229">
        <v>0</v>
      </c>
      <c r="BH201" s="230">
        <v>875500</v>
      </c>
      <c r="BI201" s="230">
        <v>1063350</v>
      </c>
      <c r="BJ201" s="230">
        <v>-187850</v>
      </c>
      <c r="BK201" s="229">
        <v>-0.1767</v>
      </c>
      <c r="BL201" s="230">
        <v>314075</v>
      </c>
      <c r="BM201" s="230">
        <v>352750</v>
      </c>
      <c r="BN201" s="230">
        <v>-38675</v>
      </c>
      <c r="BO201" s="229">
        <v>-0.1096</v>
      </c>
      <c r="BP201" s="230">
        <v>1618400</v>
      </c>
      <c r="BQ201" s="230">
        <v>1782450</v>
      </c>
      <c r="BR201" s="230">
        <v>-164050</v>
      </c>
      <c r="BS201" s="229">
        <v>-9.1999999999999998E-2</v>
      </c>
      <c r="BT201" s="230">
        <v>210327</v>
      </c>
      <c r="BU201" s="230">
        <v>289638</v>
      </c>
      <c r="BV201" s="230">
        <v>-79311</v>
      </c>
      <c r="BW201" s="229">
        <v>-0.27379999999999999</v>
      </c>
      <c r="BX201" s="230">
        <v>2867900</v>
      </c>
      <c r="BY201" s="230">
        <v>2903600</v>
      </c>
      <c r="BZ201" s="230">
        <v>-35700</v>
      </c>
      <c r="CA201" s="229">
        <v>-1.23E-2</v>
      </c>
      <c r="CB201" s="230">
        <v>2793950</v>
      </c>
      <c r="CC201" s="230">
        <v>2829225</v>
      </c>
      <c r="CD201" s="230">
        <v>-35275</v>
      </c>
      <c r="CE201" s="229">
        <v>-1.2500000000000001E-2</v>
      </c>
      <c r="CF201" s="230">
        <v>65875</v>
      </c>
      <c r="CG201" s="230">
        <v>65875</v>
      </c>
      <c r="CH201" s="228">
        <v>0</v>
      </c>
      <c r="CI201" s="229">
        <v>0</v>
      </c>
      <c r="CJ201" s="230">
        <v>8075</v>
      </c>
      <c r="CK201" s="230">
        <v>8500</v>
      </c>
      <c r="CL201" s="228">
        <v>-425</v>
      </c>
      <c r="CM201" s="229">
        <v>-0.05</v>
      </c>
      <c r="CN201" s="230">
        <v>1133475</v>
      </c>
      <c r="CO201" s="230">
        <v>1065050</v>
      </c>
      <c r="CP201" s="230">
        <v>68425</v>
      </c>
      <c r="CQ201" s="229">
        <v>6.4199999999999993E-2</v>
      </c>
      <c r="CR201" s="230">
        <v>678300</v>
      </c>
      <c r="CS201" s="230">
        <v>694025</v>
      </c>
      <c r="CT201" s="230">
        <v>-15725</v>
      </c>
      <c r="CU201" s="229">
        <v>-2.2700000000000001E-2</v>
      </c>
      <c r="CV201" s="230">
        <v>4679675</v>
      </c>
      <c r="CW201" s="230">
        <v>4662675</v>
      </c>
      <c r="CX201" s="230">
        <v>17000</v>
      </c>
      <c r="CY201" s="229">
        <v>3.5999999999999999E-3</v>
      </c>
      <c r="CZ201" s="228">
        <v>26.22</v>
      </c>
      <c r="DA201" s="228">
        <v>25.63</v>
      </c>
      <c r="DB201" s="228">
        <v>0.59</v>
      </c>
      <c r="DC201" s="228">
        <v>0.59</v>
      </c>
      <c r="DD201" s="228">
        <v>39.65</v>
      </c>
      <c r="DE201" s="228">
        <v>39.729999999999997</v>
      </c>
      <c r="DF201" s="228">
        <v>-13.43</v>
      </c>
      <c r="DG201" s="228">
        <v>-0.08</v>
      </c>
      <c r="DH201" s="228">
        <v>25.96</v>
      </c>
      <c r="DI201" s="228">
        <v>25.36</v>
      </c>
      <c r="DJ201" s="228">
        <v>0.6</v>
      </c>
      <c r="DK201" s="228">
        <v>0.6</v>
      </c>
      <c r="DL201" s="228">
        <v>26.95</v>
      </c>
      <c r="DM201" s="228">
        <v>26.43</v>
      </c>
      <c r="DN201" s="228">
        <v>0.52</v>
      </c>
      <c r="DO201" s="228">
        <v>0.52</v>
      </c>
      <c r="DP201" s="228">
        <v>0.6</v>
      </c>
      <c r="DQ201" s="228">
        <v>0.65</v>
      </c>
      <c r="DR201" s="228">
        <v>-0.05</v>
      </c>
      <c r="DS201" s="229">
        <v>-7.6899999999999996E-2</v>
      </c>
      <c r="DT201" s="231">
        <v>1400</v>
      </c>
      <c r="DU201" s="231">
        <v>1300</v>
      </c>
      <c r="DV201" s="228">
        <v>0.36</v>
      </c>
      <c r="DW201" s="228">
        <v>0.33</v>
      </c>
      <c r="DX201" s="228">
        <v>0.03</v>
      </c>
      <c r="DY201" s="229">
        <v>9.0899999999999995E-2</v>
      </c>
      <c r="DZ201" s="229">
        <v>2.58E-2</v>
      </c>
      <c r="EA201" s="230">
        <v>74375</v>
      </c>
      <c r="EB201" s="229">
        <v>-1.9E-3</v>
      </c>
      <c r="EC201" s="229">
        <v>2.58E-2</v>
      </c>
      <c r="ED201" s="228">
        <v>-3.29</v>
      </c>
      <c r="EE201" s="229">
        <v>-2.3999999999999998E-3</v>
      </c>
      <c r="EF201" s="230">
        <v>84928</v>
      </c>
      <c r="EG201" s="230">
        <v>157082</v>
      </c>
      <c r="EH201" s="229">
        <v>-0.45929999999999999</v>
      </c>
      <c r="EI201" s="229">
        <v>0.40379999999999999</v>
      </c>
      <c r="EJ201" s="231">
        <v>12724.46</v>
      </c>
      <c r="EK201" s="231">
        <v>4244.82</v>
      </c>
      <c r="EL201" s="231">
        <v>5997.3</v>
      </c>
      <c r="EM201" s="231">
        <v>1719</v>
      </c>
      <c r="EN201" s="231">
        <v>22966.58</v>
      </c>
      <c r="EO201" s="231">
        <v>25373.39</v>
      </c>
      <c r="EP201" s="231">
        <v>-2406.81</v>
      </c>
      <c r="EQ201" s="229">
        <v>-9.4899999999999998E-2</v>
      </c>
      <c r="ER201" s="231">
        <v>16051</v>
      </c>
      <c r="ES201" s="231">
        <v>8930</v>
      </c>
      <c r="ET201" s="231">
        <v>40078</v>
      </c>
      <c r="EU201" s="231">
        <v>24646022</v>
      </c>
      <c r="EV201" s="231">
        <v>65059</v>
      </c>
      <c r="EW201" s="231">
        <v>65111</v>
      </c>
      <c r="EX201" s="228">
        <v>-52</v>
      </c>
      <c r="EY201" s="229">
        <v>-8.0000000000000004E-4</v>
      </c>
      <c r="EZ201" s="229">
        <v>0.18990000000000001</v>
      </c>
      <c r="FA201" s="227" t="s">
        <v>568</v>
      </c>
      <c r="FB201" s="161">
        <f t="shared" si="5"/>
        <v>0</v>
      </c>
    </row>
    <row r="202" spans="1:158" ht="17.25" thickBot="1" x14ac:dyDescent="0.3">
      <c r="A202" s="226">
        <v>46029</v>
      </c>
      <c r="B202" s="227" t="s">
        <v>197</v>
      </c>
      <c r="C202" s="227" t="s">
        <v>482</v>
      </c>
      <c r="D202" s="228">
        <v>100</v>
      </c>
      <c r="E202" s="231">
        <v>4079.5</v>
      </c>
      <c r="F202" s="231">
        <v>4067</v>
      </c>
      <c r="G202" s="228">
        <v>12.5</v>
      </c>
      <c r="H202" s="229">
        <v>3.0999999999999999E-3</v>
      </c>
      <c r="I202" s="231">
        <v>4060.5</v>
      </c>
      <c r="J202" s="231">
        <v>4047.6</v>
      </c>
      <c r="K202" s="228">
        <v>12.9</v>
      </c>
      <c r="L202" s="229">
        <v>3.2000000000000002E-3</v>
      </c>
      <c r="M202" s="231">
        <v>4079.5</v>
      </c>
      <c r="N202" s="231">
        <v>4067</v>
      </c>
      <c r="O202" s="228">
        <v>12.5</v>
      </c>
      <c r="P202" s="229">
        <v>3.0999999999999999E-3</v>
      </c>
      <c r="Q202" s="231">
        <v>4103</v>
      </c>
      <c r="R202" s="231">
        <v>4090.4</v>
      </c>
      <c r="S202" s="228">
        <v>12.6</v>
      </c>
      <c r="T202" s="229">
        <v>3.0999999999999999E-3</v>
      </c>
      <c r="U202" s="231">
        <v>4127.7</v>
      </c>
      <c r="V202" s="231">
        <v>4119.1000000000004</v>
      </c>
      <c r="W202" s="228">
        <v>8.6</v>
      </c>
      <c r="X202" s="229">
        <v>2.0999999999999999E-3</v>
      </c>
      <c r="Y202" s="228">
        <v>19</v>
      </c>
      <c r="Z202" s="228">
        <v>19.399999999999999</v>
      </c>
      <c r="AA202" s="228">
        <v>-0.4</v>
      </c>
      <c r="AB202" s="229">
        <v>4.7000000000000002E-3</v>
      </c>
      <c r="AC202" s="228">
        <v>19</v>
      </c>
      <c r="AD202" s="228">
        <v>19.399999999999999</v>
      </c>
      <c r="AE202" s="228">
        <v>-0.4</v>
      </c>
      <c r="AF202" s="229">
        <v>4.7000000000000002E-3</v>
      </c>
      <c r="AG202" s="228">
        <v>42.5</v>
      </c>
      <c r="AH202" s="228">
        <v>42.8</v>
      </c>
      <c r="AI202" s="228">
        <v>-0.3</v>
      </c>
      <c r="AJ202" s="229">
        <v>1.0500000000000001E-2</v>
      </c>
      <c r="AK202" s="228">
        <v>67.2</v>
      </c>
      <c r="AL202" s="228">
        <v>71.5</v>
      </c>
      <c r="AM202" s="228">
        <v>-4.3</v>
      </c>
      <c r="AN202" s="229">
        <v>1.6500000000000001E-2</v>
      </c>
      <c r="AO202" s="231">
        <v>4052.12</v>
      </c>
      <c r="AP202" s="231">
        <v>4074.91</v>
      </c>
      <c r="AQ202" s="228">
        <v>0</v>
      </c>
      <c r="AR202" s="230">
        <v>1607100</v>
      </c>
      <c r="AS202" s="230">
        <v>5721500</v>
      </c>
      <c r="AT202" s="230">
        <v>-4114400</v>
      </c>
      <c r="AU202" s="229">
        <v>-0.71909999999999996</v>
      </c>
      <c r="AV202" s="230">
        <v>1419100</v>
      </c>
      <c r="AW202" s="230">
        <v>5193600</v>
      </c>
      <c r="AX202" s="230">
        <v>-3774500</v>
      </c>
      <c r="AY202" s="229">
        <v>-0.7268</v>
      </c>
      <c r="AZ202" s="230">
        <v>152700</v>
      </c>
      <c r="BA202" s="230">
        <v>434900</v>
      </c>
      <c r="BB202" s="230">
        <v>-282200</v>
      </c>
      <c r="BC202" s="229">
        <v>-0.64890000000000003</v>
      </c>
      <c r="BD202" s="230">
        <v>35300</v>
      </c>
      <c r="BE202" s="230">
        <v>93000</v>
      </c>
      <c r="BF202" s="230">
        <v>-57700</v>
      </c>
      <c r="BG202" s="229">
        <v>-0.62039999999999995</v>
      </c>
      <c r="BH202" s="230">
        <v>9600600</v>
      </c>
      <c r="BI202" s="230">
        <v>21477600</v>
      </c>
      <c r="BJ202" s="230">
        <v>-11877000</v>
      </c>
      <c r="BK202" s="229">
        <v>-0.55300000000000005</v>
      </c>
      <c r="BL202" s="230">
        <v>6344100</v>
      </c>
      <c r="BM202" s="230">
        <v>16862600</v>
      </c>
      <c r="BN202" s="230">
        <v>-10518500</v>
      </c>
      <c r="BO202" s="229">
        <v>-0.62380000000000002</v>
      </c>
      <c r="BP202" s="230">
        <v>17551800</v>
      </c>
      <c r="BQ202" s="230">
        <v>44061700</v>
      </c>
      <c r="BR202" s="230">
        <v>-26509900</v>
      </c>
      <c r="BS202" s="229">
        <v>-0.60170000000000001</v>
      </c>
      <c r="BT202" s="230">
        <v>1587775</v>
      </c>
      <c r="BU202" s="230">
        <v>6385458</v>
      </c>
      <c r="BV202" s="230">
        <v>-4797683</v>
      </c>
      <c r="BW202" s="229">
        <v>-0.75129999999999997</v>
      </c>
      <c r="BX202" s="230">
        <v>9546200</v>
      </c>
      <c r="BY202" s="230">
        <v>9632800</v>
      </c>
      <c r="BZ202" s="230">
        <v>-86600</v>
      </c>
      <c r="CA202" s="229">
        <v>-8.9999999999999993E-3</v>
      </c>
      <c r="CB202" s="230">
        <v>8986100</v>
      </c>
      <c r="CC202" s="230">
        <v>9124200</v>
      </c>
      <c r="CD202" s="230">
        <v>-138100</v>
      </c>
      <c r="CE202" s="229">
        <v>-1.5100000000000001E-2</v>
      </c>
      <c r="CF202" s="230">
        <v>475300</v>
      </c>
      <c r="CG202" s="230">
        <v>429900</v>
      </c>
      <c r="CH202" s="230">
        <v>45400</v>
      </c>
      <c r="CI202" s="229">
        <v>0.1056</v>
      </c>
      <c r="CJ202" s="230">
        <v>84800</v>
      </c>
      <c r="CK202" s="230">
        <v>78700</v>
      </c>
      <c r="CL202" s="230">
        <v>6100</v>
      </c>
      <c r="CM202" s="229">
        <v>7.7499999999999999E-2</v>
      </c>
      <c r="CN202" s="230">
        <v>5965300</v>
      </c>
      <c r="CO202" s="230">
        <v>5366300</v>
      </c>
      <c r="CP202" s="230">
        <v>599000</v>
      </c>
      <c r="CQ202" s="229">
        <v>0.1116</v>
      </c>
      <c r="CR202" s="230">
        <v>3364700</v>
      </c>
      <c r="CS202" s="230">
        <v>3244400</v>
      </c>
      <c r="CT202" s="230">
        <v>120300</v>
      </c>
      <c r="CU202" s="229">
        <v>3.7100000000000001E-2</v>
      </c>
      <c r="CV202" s="230">
        <v>18876200</v>
      </c>
      <c r="CW202" s="230">
        <v>18243500</v>
      </c>
      <c r="CX202" s="230">
        <v>632700</v>
      </c>
      <c r="CY202" s="229">
        <v>3.4700000000000002E-2</v>
      </c>
      <c r="CZ202" s="228">
        <v>29.04</v>
      </c>
      <c r="DA202" s="228">
        <v>30.99</v>
      </c>
      <c r="DB202" s="228">
        <v>-1.95</v>
      </c>
      <c r="DC202" s="228">
        <v>-1.95</v>
      </c>
      <c r="DD202" s="228">
        <v>43.35</v>
      </c>
      <c r="DE202" s="228">
        <v>43.45</v>
      </c>
      <c r="DF202" s="228">
        <v>-14.31</v>
      </c>
      <c r="DG202" s="228">
        <v>-0.1</v>
      </c>
      <c r="DH202" s="228">
        <v>28.91</v>
      </c>
      <c r="DI202" s="228">
        <v>31.03</v>
      </c>
      <c r="DJ202" s="228">
        <v>-2.12</v>
      </c>
      <c r="DK202" s="228">
        <v>-2.12</v>
      </c>
      <c r="DL202" s="228">
        <v>29.24</v>
      </c>
      <c r="DM202" s="228">
        <v>30.94</v>
      </c>
      <c r="DN202" s="228">
        <v>-1.7</v>
      </c>
      <c r="DO202" s="228">
        <v>-1.7</v>
      </c>
      <c r="DP202" s="228">
        <v>0.56000000000000005</v>
      </c>
      <c r="DQ202" s="228">
        <v>0.6</v>
      </c>
      <c r="DR202" s="228">
        <v>-0.04</v>
      </c>
      <c r="DS202" s="229">
        <v>-6.6699999999999995E-2</v>
      </c>
      <c r="DT202" s="231">
        <v>4200</v>
      </c>
      <c r="DU202" s="231">
        <v>4000</v>
      </c>
      <c r="DV202" s="228">
        <v>0.66</v>
      </c>
      <c r="DW202" s="228">
        <v>0.79</v>
      </c>
      <c r="DX202" s="228">
        <v>-0.13</v>
      </c>
      <c r="DY202" s="229">
        <v>-0.1646</v>
      </c>
      <c r="DZ202" s="229">
        <v>5.8700000000000002E-2</v>
      </c>
      <c r="EA202" s="230">
        <v>508600</v>
      </c>
      <c r="EB202" s="229">
        <v>5.7999999999999996E-3</v>
      </c>
      <c r="EC202" s="229">
        <v>5.8700000000000002E-2</v>
      </c>
      <c r="ED202" s="228">
        <v>22.79</v>
      </c>
      <c r="EE202" s="229">
        <v>5.5999999999999999E-3</v>
      </c>
      <c r="EF202" s="230">
        <v>616692</v>
      </c>
      <c r="EG202" s="230">
        <v>2736173</v>
      </c>
      <c r="EH202" s="229">
        <v>-0.77459999999999996</v>
      </c>
      <c r="EI202" s="229">
        <v>0.38840000000000002</v>
      </c>
      <c r="EJ202" s="231">
        <v>416615.2</v>
      </c>
      <c r="EK202" s="231">
        <v>252496.79</v>
      </c>
      <c r="EL202" s="231">
        <v>65172.25</v>
      </c>
      <c r="EM202" s="231">
        <v>21424</v>
      </c>
      <c r="EN202" s="231">
        <v>734284.24</v>
      </c>
      <c r="EO202" s="231">
        <v>1869226.6</v>
      </c>
      <c r="EP202" s="231">
        <v>-1134942.3600000001</v>
      </c>
      <c r="EQ202" s="229">
        <v>-0.60719999999999996</v>
      </c>
      <c r="ER202" s="231">
        <v>262240</v>
      </c>
      <c r="ES202" s="231">
        <v>136882</v>
      </c>
      <c r="ET202" s="231">
        <v>389590</v>
      </c>
      <c r="EU202" s="231">
        <v>33590487</v>
      </c>
      <c r="EV202" s="231">
        <v>788712</v>
      </c>
      <c r="EW202" s="231">
        <v>761206</v>
      </c>
      <c r="EX202" s="231">
        <v>27506</v>
      </c>
      <c r="EY202" s="229">
        <v>3.61E-2</v>
      </c>
      <c r="EZ202" s="229">
        <v>0.56200000000000006</v>
      </c>
      <c r="FA202" s="227" t="s">
        <v>556</v>
      </c>
      <c r="FB202" s="161">
        <f t="shared" si="5"/>
        <v>0</v>
      </c>
    </row>
    <row r="203" spans="1:158" ht="17.25" thickBot="1" x14ac:dyDescent="0.3">
      <c r="A203" s="226">
        <v>46029</v>
      </c>
      <c r="B203" s="227" t="s">
        <v>162</v>
      </c>
      <c r="C203" s="227" t="s">
        <v>300</v>
      </c>
      <c r="D203" s="228">
        <v>175</v>
      </c>
      <c r="E203" s="231">
        <v>3856.8</v>
      </c>
      <c r="F203" s="231">
        <v>3887.1</v>
      </c>
      <c r="G203" s="228">
        <v>-30.3</v>
      </c>
      <c r="H203" s="229">
        <v>-7.7999999999999996E-3</v>
      </c>
      <c r="I203" s="231">
        <v>3840.2</v>
      </c>
      <c r="J203" s="231">
        <v>3866.1</v>
      </c>
      <c r="K203" s="228">
        <v>-25.9</v>
      </c>
      <c r="L203" s="229">
        <v>-6.7000000000000002E-3</v>
      </c>
      <c r="M203" s="231">
        <v>3856.8</v>
      </c>
      <c r="N203" s="231">
        <v>3887.1</v>
      </c>
      <c r="O203" s="228">
        <v>-30.3</v>
      </c>
      <c r="P203" s="229">
        <v>-7.7999999999999996E-3</v>
      </c>
      <c r="Q203" s="231">
        <v>3873.6</v>
      </c>
      <c r="R203" s="231">
        <v>3902.6</v>
      </c>
      <c r="S203" s="228">
        <v>-29</v>
      </c>
      <c r="T203" s="229">
        <v>-7.4000000000000003E-3</v>
      </c>
      <c r="U203" s="231">
        <v>3890</v>
      </c>
      <c r="V203" s="231">
        <v>3921.3</v>
      </c>
      <c r="W203" s="228">
        <v>-31.3</v>
      </c>
      <c r="X203" s="229">
        <v>-8.0000000000000002E-3</v>
      </c>
      <c r="Y203" s="228">
        <v>16.600000000000001</v>
      </c>
      <c r="Z203" s="228">
        <v>21</v>
      </c>
      <c r="AA203" s="228">
        <v>-4.4000000000000004</v>
      </c>
      <c r="AB203" s="229">
        <v>4.3E-3</v>
      </c>
      <c r="AC203" s="228">
        <v>16.600000000000001</v>
      </c>
      <c r="AD203" s="228">
        <v>21</v>
      </c>
      <c r="AE203" s="228">
        <v>-4.4000000000000004</v>
      </c>
      <c r="AF203" s="229">
        <v>4.3E-3</v>
      </c>
      <c r="AG203" s="228">
        <v>33.4</v>
      </c>
      <c r="AH203" s="228">
        <v>36.5</v>
      </c>
      <c r="AI203" s="228">
        <v>-3.1</v>
      </c>
      <c r="AJ203" s="229">
        <v>8.6999999999999994E-3</v>
      </c>
      <c r="AK203" s="228">
        <v>49.8</v>
      </c>
      <c r="AL203" s="228">
        <v>55.2</v>
      </c>
      <c r="AM203" s="228">
        <v>-5.4</v>
      </c>
      <c r="AN203" s="229">
        <v>1.2999999999999999E-2</v>
      </c>
      <c r="AO203" s="231">
        <v>3864.11</v>
      </c>
      <c r="AP203" s="231">
        <v>3879.09</v>
      </c>
      <c r="AQ203" s="228">
        <v>0</v>
      </c>
      <c r="AR203" s="230">
        <v>565600</v>
      </c>
      <c r="AS203" s="230">
        <v>628425</v>
      </c>
      <c r="AT203" s="230">
        <v>-62825</v>
      </c>
      <c r="AU203" s="229">
        <v>-0.1</v>
      </c>
      <c r="AV203" s="230">
        <v>539875</v>
      </c>
      <c r="AW203" s="230">
        <v>612675</v>
      </c>
      <c r="AX203" s="230">
        <v>-72800</v>
      </c>
      <c r="AY203" s="229">
        <v>-0.1188</v>
      </c>
      <c r="AZ203" s="230">
        <v>24150</v>
      </c>
      <c r="BA203" s="230">
        <v>14350</v>
      </c>
      <c r="BB203" s="230">
        <v>9800</v>
      </c>
      <c r="BC203" s="229">
        <v>0.68289999999999995</v>
      </c>
      <c r="BD203" s="230">
        <v>1575</v>
      </c>
      <c r="BE203" s="230">
        <v>1400</v>
      </c>
      <c r="BF203" s="228">
        <v>175</v>
      </c>
      <c r="BG203" s="229">
        <v>0.125</v>
      </c>
      <c r="BH203" s="230">
        <v>1288000</v>
      </c>
      <c r="BI203" s="230">
        <v>1567475</v>
      </c>
      <c r="BJ203" s="230">
        <v>-279475</v>
      </c>
      <c r="BK203" s="229">
        <v>-0.17829999999999999</v>
      </c>
      <c r="BL203" s="230">
        <v>1177225</v>
      </c>
      <c r="BM203" s="230">
        <v>975450</v>
      </c>
      <c r="BN203" s="230">
        <v>201775</v>
      </c>
      <c r="BO203" s="229">
        <v>0.2069</v>
      </c>
      <c r="BP203" s="230">
        <v>3030825</v>
      </c>
      <c r="BQ203" s="230">
        <v>3171350</v>
      </c>
      <c r="BR203" s="230">
        <v>-140525</v>
      </c>
      <c r="BS203" s="229">
        <v>-4.4299999999999999E-2</v>
      </c>
      <c r="BT203" s="230">
        <v>351829</v>
      </c>
      <c r="BU203" s="230">
        <v>388617</v>
      </c>
      <c r="BV203" s="230">
        <v>-36788</v>
      </c>
      <c r="BW203" s="229">
        <v>-9.4700000000000006E-2</v>
      </c>
      <c r="BX203" s="230">
        <v>7674625</v>
      </c>
      <c r="BY203" s="230">
        <v>7706125</v>
      </c>
      <c r="BZ203" s="230">
        <v>-31500</v>
      </c>
      <c r="CA203" s="229">
        <v>-4.1000000000000003E-3</v>
      </c>
      <c r="CB203" s="230">
        <v>7597275</v>
      </c>
      <c r="CC203" s="230">
        <v>7621600</v>
      </c>
      <c r="CD203" s="230">
        <v>-24325</v>
      </c>
      <c r="CE203" s="229">
        <v>-3.2000000000000002E-3</v>
      </c>
      <c r="CF203" s="230">
        <v>68075</v>
      </c>
      <c r="CG203" s="230">
        <v>75250</v>
      </c>
      <c r="CH203" s="230">
        <v>-7175</v>
      </c>
      <c r="CI203" s="229">
        <v>-9.5299999999999996E-2</v>
      </c>
      <c r="CJ203" s="230">
        <v>9275</v>
      </c>
      <c r="CK203" s="230">
        <v>9275</v>
      </c>
      <c r="CL203" s="228">
        <v>0</v>
      </c>
      <c r="CM203" s="229">
        <v>0</v>
      </c>
      <c r="CN203" s="230">
        <v>2038575</v>
      </c>
      <c r="CO203" s="230">
        <v>1957550</v>
      </c>
      <c r="CP203" s="230">
        <v>81025</v>
      </c>
      <c r="CQ203" s="229">
        <v>4.1399999999999999E-2</v>
      </c>
      <c r="CR203" s="230">
        <v>1454075</v>
      </c>
      <c r="CS203" s="230">
        <v>1437800</v>
      </c>
      <c r="CT203" s="230">
        <v>16275</v>
      </c>
      <c r="CU203" s="229">
        <v>1.1299999999999999E-2</v>
      </c>
      <c r="CV203" s="230">
        <v>11167275</v>
      </c>
      <c r="CW203" s="230">
        <v>11101475</v>
      </c>
      <c r="CX203" s="230">
        <v>65800</v>
      </c>
      <c r="CY203" s="229">
        <v>5.8999999999999999E-3</v>
      </c>
      <c r="CZ203" s="228">
        <v>24.42</v>
      </c>
      <c r="DA203" s="228">
        <v>23.81</v>
      </c>
      <c r="DB203" s="228">
        <v>0.61</v>
      </c>
      <c r="DC203" s="228">
        <v>0.61</v>
      </c>
      <c r="DD203" s="228">
        <v>29.45</v>
      </c>
      <c r="DE203" s="228">
        <v>29.51</v>
      </c>
      <c r="DF203" s="228">
        <v>-5.03</v>
      </c>
      <c r="DG203" s="228">
        <v>-0.06</v>
      </c>
      <c r="DH203" s="228">
        <v>23.91</v>
      </c>
      <c r="DI203" s="228">
        <v>23.34</v>
      </c>
      <c r="DJ203" s="228">
        <v>0.56999999999999995</v>
      </c>
      <c r="DK203" s="228">
        <v>0.56999999999999995</v>
      </c>
      <c r="DL203" s="228">
        <v>24.98</v>
      </c>
      <c r="DM203" s="228">
        <v>24.55</v>
      </c>
      <c r="DN203" s="228">
        <v>0.43</v>
      </c>
      <c r="DO203" s="228">
        <v>0.43</v>
      </c>
      <c r="DP203" s="228">
        <v>0.71</v>
      </c>
      <c r="DQ203" s="228">
        <v>0.73</v>
      </c>
      <c r="DR203" s="228">
        <v>-0.02</v>
      </c>
      <c r="DS203" s="229">
        <v>-2.7400000000000001E-2</v>
      </c>
      <c r="DT203" s="231">
        <v>3900</v>
      </c>
      <c r="DU203" s="231">
        <v>3600</v>
      </c>
      <c r="DV203" s="228">
        <v>0.91</v>
      </c>
      <c r="DW203" s="228">
        <v>0.62</v>
      </c>
      <c r="DX203" s="228">
        <v>0.28999999999999998</v>
      </c>
      <c r="DY203" s="229">
        <v>0.4677</v>
      </c>
      <c r="DZ203" s="229">
        <v>1.01E-2</v>
      </c>
      <c r="EA203" s="230">
        <v>84525</v>
      </c>
      <c r="EB203" s="229">
        <v>4.4000000000000003E-3</v>
      </c>
      <c r="EC203" s="229">
        <v>1.01E-2</v>
      </c>
      <c r="ED203" s="228">
        <v>14.98</v>
      </c>
      <c r="EE203" s="229">
        <v>3.8999999999999998E-3</v>
      </c>
      <c r="EF203" s="230">
        <v>210227</v>
      </c>
      <c r="EG203" s="230">
        <v>223489</v>
      </c>
      <c r="EH203" s="229">
        <v>-5.9299999999999999E-2</v>
      </c>
      <c r="EI203" s="229">
        <v>0.59750000000000003</v>
      </c>
      <c r="EJ203" s="231">
        <v>51616.62</v>
      </c>
      <c r="EK203" s="231">
        <v>44864.99</v>
      </c>
      <c r="EL203" s="231">
        <v>21859.42</v>
      </c>
      <c r="EM203" s="231">
        <v>5595</v>
      </c>
      <c r="EN203" s="231">
        <v>118341.03</v>
      </c>
      <c r="EO203" s="231">
        <v>124311.22</v>
      </c>
      <c r="EP203" s="231">
        <v>-5970.19</v>
      </c>
      <c r="EQ203" s="229">
        <v>-4.8000000000000001E-2</v>
      </c>
      <c r="ER203" s="231">
        <v>79421</v>
      </c>
      <c r="ES203" s="231">
        <v>53210</v>
      </c>
      <c r="ET203" s="231">
        <v>296009</v>
      </c>
      <c r="EU203" s="231">
        <v>31634588</v>
      </c>
      <c r="EV203" s="231">
        <v>428641</v>
      </c>
      <c r="EW203" s="231">
        <v>428494</v>
      </c>
      <c r="EX203" s="228">
        <v>147</v>
      </c>
      <c r="EY203" s="229">
        <v>2.9999999999999997E-4</v>
      </c>
      <c r="EZ203" s="229">
        <v>0.35299999999999998</v>
      </c>
      <c r="FA203" s="227" t="s">
        <v>568</v>
      </c>
      <c r="FB203" s="161">
        <f t="shared" si="5"/>
        <v>0</v>
      </c>
    </row>
    <row r="204" spans="1:158" ht="17.25" thickBot="1" x14ac:dyDescent="0.3">
      <c r="A204" s="226">
        <v>46029</v>
      </c>
      <c r="B204" s="227" t="s">
        <v>157</v>
      </c>
      <c r="C204" s="227" t="s">
        <v>302</v>
      </c>
      <c r="D204" s="228">
        <v>50</v>
      </c>
      <c r="E204" s="231">
        <v>12210</v>
      </c>
      <c r="F204" s="231">
        <v>12256</v>
      </c>
      <c r="G204" s="228">
        <v>-46</v>
      </c>
      <c r="H204" s="229">
        <v>-3.8E-3</v>
      </c>
      <c r="I204" s="231">
        <v>12184</v>
      </c>
      <c r="J204" s="231">
        <v>12204</v>
      </c>
      <c r="K204" s="228">
        <v>-20</v>
      </c>
      <c r="L204" s="229">
        <v>-1.6000000000000001E-3</v>
      </c>
      <c r="M204" s="231">
        <v>12210</v>
      </c>
      <c r="N204" s="231">
        <v>12256</v>
      </c>
      <c r="O204" s="228">
        <v>-46</v>
      </c>
      <c r="P204" s="229">
        <v>-3.8E-3</v>
      </c>
      <c r="Q204" s="231">
        <v>12281</v>
      </c>
      <c r="R204" s="231">
        <v>12325</v>
      </c>
      <c r="S204" s="228">
        <v>-44</v>
      </c>
      <c r="T204" s="229">
        <v>-3.5999999999999999E-3</v>
      </c>
      <c r="U204" s="231">
        <v>12353</v>
      </c>
      <c r="V204" s="231">
        <v>12423</v>
      </c>
      <c r="W204" s="228">
        <v>-70</v>
      </c>
      <c r="X204" s="229">
        <v>-5.5999999999999999E-3</v>
      </c>
      <c r="Y204" s="228">
        <v>26</v>
      </c>
      <c r="Z204" s="228">
        <v>52</v>
      </c>
      <c r="AA204" s="228">
        <v>-26</v>
      </c>
      <c r="AB204" s="229">
        <v>2.0999999999999999E-3</v>
      </c>
      <c r="AC204" s="228">
        <v>26</v>
      </c>
      <c r="AD204" s="228">
        <v>52</v>
      </c>
      <c r="AE204" s="228">
        <v>-26</v>
      </c>
      <c r="AF204" s="229">
        <v>2.0999999999999999E-3</v>
      </c>
      <c r="AG204" s="228">
        <v>97</v>
      </c>
      <c r="AH204" s="228">
        <v>121</v>
      </c>
      <c r="AI204" s="228">
        <v>-24</v>
      </c>
      <c r="AJ204" s="229">
        <v>8.0000000000000002E-3</v>
      </c>
      <c r="AK204" s="228">
        <v>169</v>
      </c>
      <c r="AL204" s="228">
        <v>219</v>
      </c>
      <c r="AM204" s="228">
        <v>-50</v>
      </c>
      <c r="AN204" s="229">
        <v>1.3899999999999999E-2</v>
      </c>
      <c r="AO204" s="231">
        <v>12184.85</v>
      </c>
      <c r="AP204" s="231">
        <v>12256.41</v>
      </c>
      <c r="AQ204" s="228">
        <v>0</v>
      </c>
      <c r="AR204" s="230">
        <v>261400</v>
      </c>
      <c r="AS204" s="230">
        <v>400050</v>
      </c>
      <c r="AT204" s="230">
        <v>-138650</v>
      </c>
      <c r="AU204" s="229">
        <v>-0.34660000000000002</v>
      </c>
      <c r="AV204" s="230">
        <v>256500</v>
      </c>
      <c r="AW204" s="230">
        <v>388300</v>
      </c>
      <c r="AX204" s="230">
        <v>-131800</v>
      </c>
      <c r="AY204" s="229">
        <v>-0.33939999999999998</v>
      </c>
      <c r="AZ204" s="230">
        <v>3900</v>
      </c>
      <c r="BA204" s="230">
        <v>10200</v>
      </c>
      <c r="BB204" s="230">
        <v>-6300</v>
      </c>
      <c r="BC204" s="229">
        <v>-0.61760000000000004</v>
      </c>
      <c r="BD204" s="230">
        <v>1000</v>
      </c>
      <c r="BE204" s="230">
        <v>1550</v>
      </c>
      <c r="BF204" s="228">
        <v>-550</v>
      </c>
      <c r="BG204" s="229">
        <v>-0.3548</v>
      </c>
      <c r="BH204" s="230">
        <v>784250</v>
      </c>
      <c r="BI204" s="230">
        <v>1121700</v>
      </c>
      <c r="BJ204" s="230">
        <v>-337450</v>
      </c>
      <c r="BK204" s="229">
        <v>-0.30080000000000001</v>
      </c>
      <c r="BL204" s="230">
        <v>382650</v>
      </c>
      <c r="BM204" s="230">
        <v>478550</v>
      </c>
      <c r="BN204" s="230">
        <v>-95900</v>
      </c>
      <c r="BO204" s="229">
        <v>-0.20039999999999999</v>
      </c>
      <c r="BP204" s="230">
        <v>1428300</v>
      </c>
      <c r="BQ204" s="230">
        <v>2000300</v>
      </c>
      <c r="BR204" s="230">
        <v>-572000</v>
      </c>
      <c r="BS204" s="229">
        <v>-0.28599999999999998</v>
      </c>
      <c r="BT204" s="230">
        <v>250201</v>
      </c>
      <c r="BU204" s="230">
        <v>229024</v>
      </c>
      <c r="BV204" s="230">
        <v>21177</v>
      </c>
      <c r="BW204" s="229">
        <v>9.2499999999999999E-2</v>
      </c>
      <c r="BX204" s="230">
        <v>2853700</v>
      </c>
      <c r="BY204" s="230">
        <v>2888100</v>
      </c>
      <c r="BZ204" s="230">
        <v>-34400</v>
      </c>
      <c r="CA204" s="229">
        <v>-1.1900000000000001E-2</v>
      </c>
      <c r="CB204" s="230">
        <v>2820850</v>
      </c>
      <c r="CC204" s="230">
        <v>2855750</v>
      </c>
      <c r="CD204" s="230">
        <v>-34900</v>
      </c>
      <c r="CE204" s="229">
        <v>-1.2200000000000001E-2</v>
      </c>
      <c r="CF204" s="230">
        <v>29500</v>
      </c>
      <c r="CG204" s="230">
        <v>29250</v>
      </c>
      <c r="CH204" s="228">
        <v>250</v>
      </c>
      <c r="CI204" s="229">
        <v>8.5000000000000006E-3</v>
      </c>
      <c r="CJ204" s="230">
        <v>3350</v>
      </c>
      <c r="CK204" s="230">
        <v>3100</v>
      </c>
      <c r="CL204" s="228">
        <v>250</v>
      </c>
      <c r="CM204" s="229">
        <v>8.0600000000000005E-2</v>
      </c>
      <c r="CN204" s="230">
        <v>513500</v>
      </c>
      <c r="CO204" s="230">
        <v>443700</v>
      </c>
      <c r="CP204" s="230">
        <v>69800</v>
      </c>
      <c r="CQ204" s="229">
        <v>0.1573</v>
      </c>
      <c r="CR204" s="230">
        <v>395500</v>
      </c>
      <c r="CS204" s="230">
        <v>389900</v>
      </c>
      <c r="CT204" s="230">
        <v>5600</v>
      </c>
      <c r="CU204" s="229">
        <v>1.44E-2</v>
      </c>
      <c r="CV204" s="230">
        <v>3762700</v>
      </c>
      <c r="CW204" s="230">
        <v>3721700</v>
      </c>
      <c r="CX204" s="230">
        <v>41000</v>
      </c>
      <c r="CY204" s="229">
        <v>1.0999999999999999E-2</v>
      </c>
      <c r="CZ204" s="228">
        <v>18.18</v>
      </c>
      <c r="DA204" s="228">
        <v>18.440000000000001</v>
      </c>
      <c r="DB204" s="228">
        <v>-0.26</v>
      </c>
      <c r="DC204" s="228">
        <v>-0.26</v>
      </c>
      <c r="DD204" s="228">
        <v>23.55</v>
      </c>
      <c r="DE204" s="228">
        <v>23.61</v>
      </c>
      <c r="DF204" s="228">
        <v>-5.37</v>
      </c>
      <c r="DG204" s="228">
        <v>-0.06</v>
      </c>
      <c r="DH204" s="228">
        <v>18</v>
      </c>
      <c r="DI204" s="228">
        <v>18.18</v>
      </c>
      <c r="DJ204" s="228">
        <v>-0.18</v>
      </c>
      <c r="DK204" s="228">
        <v>-0.18</v>
      </c>
      <c r="DL204" s="228">
        <v>18.559999999999999</v>
      </c>
      <c r="DM204" s="228">
        <v>19.059999999999999</v>
      </c>
      <c r="DN204" s="228">
        <v>-0.5</v>
      </c>
      <c r="DO204" s="228">
        <v>-0.5</v>
      </c>
      <c r="DP204" s="228">
        <v>0.77</v>
      </c>
      <c r="DQ204" s="228">
        <v>0.88</v>
      </c>
      <c r="DR204" s="228">
        <v>-0.11</v>
      </c>
      <c r="DS204" s="229">
        <v>-0.125</v>
      </c>
      <c r="DT204" s="231">
        <v>12200</v>
      </c>
      <c r="DU204" s="231">
        <v>11500</v>
      </c>
      <c r="DV204" s="228">
        <v>0.49</v>
      </c>
      <c r="DW204" s="228">
        <v>0.43</v>
      </c>
      <c r="DX204" s="228">
        <v>0.06</v>
      </c>
      <c r="DY204" s="229">
        <v>0.13950000000000001</v>
      </c>
      <c r="DZ204" s="229">
        <v>1.15E-2</v>
      </c>
      <c r="EA204" s="230">
        <v>32350</v>
      </c>
      <c r="EB204" s="229">
        <v>5.7999999999999996E-3</v>
      </c>
      <c r="EC204" s="229">
        <v>1.15E-2</v>
      </c>
      <c r="ED204" s="228">
        <v>71.56</v>
      </c>
      <c r="EE204" s="229">
        <v>5.8999999999999999E-3</v>
      </c>
      <c r="EF204" s="230">
        <v>166892</v>
      </c>
      <c r="EG204" s="230">
        <v>129271</v>
      </c>
      <c r="EH204" s="229">
        <v>0.29099999999999998</v>
      </c>
      <c r="EI204" s="229">
        <v>0.66700000000000004</v>
      </c>
      <c r="EJ204" s="231">
        <v>98857.74</v>
      </c>
      <c r="EK204" s="231">
        <v>45801.93</v>
      </c>
      <c r="EL204" s="231">
        <v>31855.43</v>
      </c>
      <c r="EM204" s="231">
        <v>5879</v>
      </c>
      <c r="EN204" s="231">
        <v>176515.1</v>
      </c>
      <c r="EO204" s="231">
        <v>247785.12</v>
      </c>
      <c r="EP204" s="231">
        <v>-71270.02</v>
      </c>
      <c r="EQ204" s="229">
        <v>-0.28760000000000002</v>
      </c>
      <c r="ER204" s="231">
        <v>63846</v>
      </c>
      <c r="ES204" s="231">
        <v>46067</v>
      </c>
      <c r="ET204" s="231">
        <v>348463</v>
      </c>
      <c r="EU204" s="231">
        <v>11955674</v>
      </c>
      <c r="EV204" s="231">
        <v>458376</v>
      </c>
      <c r="EW204" s="231">
        <v>454646</v>
      </c>
      <c r="EX204" s="231">
        <v>3730</v>
      </c>
      <c r="EY204" s="229">
        <v>8.2000000000000007E-3</v>
      </c>
      <c r="EZ204" s="229">
        <v>0.31469999999999998</v>
      </c>
      <c r="FA204" s="227" t="s">
        <v>568</v>
      </c>
      <c r="FB204" s="161">
        <f t="shared" si="5"/>
        <v>0</v>
      </c>
    </row>
    <row r="205" spans="1:158" ht="17.25" thickBot="1" x14ac:dyDescent="0.3">
      <c r="A205" s="226">
        <v>46029</v>
      </c>
      <c r="B205" s="227" t="s">
        <v>172</v>
      </c>
      <c r="C205" s="227" t="s">
        <v>593</v>
      </c>
      <c r="D205" s="228">
        <v>4425</v>
      </c>
      <c r="E205" s="228">
        <v>166.79</v>
      </c>
      <c r="F205" s="228">
        <v>166.18</v>
      </c>
      <c r="G205" s="228">
        <v>0.61</v>
      </c>
      <c r="H205" s="229">
        <v>3.7000000000000002E-3</v>
      </c>
      <c r="I205" s="228">
        <v>166.33</v>
      </c>
      <c r="J205" s="228">
        <v>165.74</v>
      </c>
      <c r="K205" s="228">
        <v>0.59</v>
      </c>
      <c r="L205" s="229">
        <v>3.5999999999999999E-3</v>
      </c>
      <c r="M205" s="228">
        <v>166.79</v>
      </c>
      <c r="N205" s="228">
        <v>166.18</v>
      </c>
      <c r="O205" s="228">
        <v>0.61</v>
      </c>
      <c r="P205" s="229">
        <v>3.7000000000000002E-3</v>
      </c>
      <c r="Q205" s="228">
        <v>167.82</v>
      </c>
      <c r="R205" s="228">
        <v>167.14</v>
      </c>
      <c r="S205" s="228">
        <v>0.68</v>
      </c>
      <c r="T205" s="229">
        <v>4.1000000000000003E-3</v>
      </c>
      <c r="U205" s="228">
        <v>168.9</v>
      </c>
      <c r="V205" s="228">
        <v>168.09</v>
      </c>
      <c r="W205" s="228">
        <v>0.81</v>
      </c>
      <c r="X205" s="229">
        <v>4.7999999999999996E-3</v>
      </c>
      <c r="Y205" s="228">
        <v>0.46</v>
      </c>
      <c r="Z205" s="228">
        <v>0.44</v>
      </c>
      <c r="AA205" s="228">
        <v>0.02</v>
      </c>
      <c r="AB205" s="229">
        <v>2.8E-3</v>
      </c>
      <c r="AC205" s="228">
        <v>0.46</v>
      </c>
      <c r="AD205" s="228">
        <v>0.44</v>
      </c>
      <c r="AE205" s="228">
        <v>0.02</v>
      </c>
      <c r="AF205" s="229">
        <v>2.8E-3</v>
      </c>
      <c r="AG205" s="228">
        <v>1.49</v>
      </c>
      <c r="AH205" s="228">
        <v>1.4</v>
      </c>
      <c r="AI205" s="228">
        <v>0.09</v>
      </c>
      <c r="AJ205" s="229">
        <v>8.9999999999999993E-3</v>
      </c>
      <c r="AK205" s="228">
        <v>2.57</v>
      </c>
      <c r="AL205" s="228">
        <v>2.35</v>
      </c>
      <c r="AM205" s="228">
        <v>0.22</v>
      </c>
      <c r="AN205" s="229">
        <v>1.55E-2</v>
      </c>
      <c r="AO205" s="228">
        <v>165.86</v>
      </c>
      <c r="AP205" s="228">
        <v>166.83</v>
      </c>
      <c r="AQ205" s="228">
        <v>0</v>
      </c>
      <c r="AR205" s="230">
        <v>13637850</v>
      </c>
      <c r="AS205" s="230">
        <v>28143000</v>
      </c>
      <c r="AT205" s="230">
        <v>-14505150</v>
      </c>
      <c r="AU205" s="229">
        <v>-0.51539999999999997</v>
      </c>
      <c r="AV205" s="230">
        <v>12819225</v>
      </c>
      <c r="AW205" s="230">
        <v>25775625</v>
      </c>
      <c r="AX205" s="230">
        <v>-12956400</v>
      </c>
      <c r="AY205" s="229">
        <v>-0.50270000000000004</v>
      </c>
      <c r="AZ205" s="230">
        <v>712425</v>
      </c>
      <c r="BA205" s="230">
        <v>2079750</v>
      </c>
      <c r="BB205" s="230">
        <v>-1367325</v>
      </c>
      <c r="BC205" s="229">
        <v>-0.65739999999999998</v>
      </c>
      <c r="BD205" s="230">
        <v>106200</v>
      </c>
      <c r="BE205" s="230">
        <v>287625</v>
      </c>
      <c r="BF205" s="230">
        <v>-181425</v>
      </c>
      <c r="BG205" s="229">
        <v>-0.63080000000000003</v>
      </c>
      <c r="BH205" s="230">
        <v>21001050</v>
      </c>
      <c r="BI205" s="230">
        <v>86628225</v>
      </c>
      <c r="BJ205" s="230">
        <v>-65627175</v>
      </c>
      <c r="BK205" s="229">
        <v>-0.75760000000000005</v>
      </c>
      <c r="BL205" s="230">
        <v>12805950</v>
      </c>
      <c r="BM205" s="230">
        <v>40378125</v>
      </c>
      <c r="BN205" s="230">
        <v>-27572175</v>
      </c>
      <c r="BO205" s="229">
        <v>-0.68279999999999996</v>
      </c>
      <c r="BP205" s="230">
        <v>47444850</v>
      </c>
      <c r="BQ205" s="230">
        <v>155149350</v>
      </c>
      <c r="BR205" s="230">
        <v>-107704500</v>
      </c>
      <c r="BS205" s="229">
        <v>-0.69420000000000004</v>
      </c>
      <c r="BT205" s="230">
        <v>10096883</v>
      </c>
      <c r="BU205" s="230">
        <v>29032756</v>
      </c>
      <c r="BV205" s="230">
        <v>-18935873</v>
      </c>
      <c r="BW205" s="229">
        <v>-0.6522</v>
      </c>
      <c r="BX205" s="230">
        <v>71100900</v>
      </c>
      <c r="BY205" s="230">
        <v>71401800</v>
      </c>
      <c r="BZ205" s="230">
        <v>-300900</v>
      </c>
      <c r="CA205" s="229">
        <v>-4.1999999999999997E-3</v>
      </c>
      <c r="CB205" s="230">
        <v>69149475</v>
      </c>
      <c r="CC205" s="230">
        <v>69432675</v>
      </c>
      <c r="CD205" s="230">
        <v>-283200</v>
      </c>
      <c r="CE205" s="229">
        <v>-4.1000000000000003E-3</v>
      </c>
      <c r="CF205" s="230">
        <v>1615125</v>
      </c>
      <c r="CG205" s="230">
        <v>1677075</v>
      </c>
      <c r="CH205" s="230">
        <v>-61950</v>
      </c>
      <c r="CI205" s="229">
        <v>-3.6900000000000002E-2</v>
      </c>
      <c r="CJ205" s="230">
        <v>336300</v>
      </c>
      <c r="CK205" s="230">
        <v>292050</v>
      </c>
      <c r="CL205" s="230">
        <v>44250</v>
      </c>
      <c r="CM205" s="229">
        <v>0.1515</v>
      </c>
      <c r="CN205" s="230">
        <v>27129675</v>
      </c>
      <c r="CO205" s="230">
        <v>26182725</v>
      </c>
      <c r="CP205" s="230">
        <v>946950</v>
      </c>
      <c r="CQ205" s="229">
        <v>3.6200000000000003E-2</v>
      </c>
      <c r="CR205" s="230">
        <v>25678275</v>
      </c>
      <c r="CS205" s="230">
        <v>25558800</v>
      </c>
      <c r="CT205" s="230">
        <v>119475</v>
      </c>
      <c r="CU205" s="229">
        <v>4.7000000000000002E-3</v>
      </c>
      <c r="CV205" s="230">
        <v>123908850</v>
      </c>
      <c r="CW205" s="230">
        <v>123143325</v>
      </c>
      <c r="CX205" s="230">
        <v>765525</v>
      </c>
      <c r="CY205" s="229">
        <v>6.1999999999999998E-3</v>
      </c>
      <c r="CZ205" s="228">
        <v>30.14</v>
      </c>
      <c r="DA205" s="228">
        <v>30.02</v>
      </c>
      <c r="DB205" s="228">
        <v>0.12</v>
      </c>
      <c r="DC205" s="228">
        <v>0.12</v>
      </c>
      <c r="DD205" s="228">
        <v>39.94</v>
      </c>
      <c r="DE205" s="228">
        <v>40.04</v>
      </c>
      <c r="DF205" s="228">
        <v>-9.8000000000000007</v>
      </c>
      <c r="DG205" s="228">
        <v>-0.1</v>
      </c>
      <c r="DH205" s="228">
        <v>29.87</v>
      </c>
      <c r="DI205" s="228">
        <v>29.94</v>
      </c>
      <c r="DJ205" s="228">
        <v>-7.0000000000000007E-2</v>
      </c>
      <c r="DK205" s="228">
        <v>-7.0000000000000007E-2</v>
      </c>
      <c r="DL205" s="228">
        <v>30.57</v>
      </c>
      <c r="DM205" s="228">
        <v>30.19</v>
      </c>
      <c r="DN205" s="228">
        <v>0.38</v>
      </c>
      <c r="DO205" s="228">
        <v>0.38</v>
      </c>
      <c r="DP205" s="228">
        <v>0.95</v>
      </c>
      <c r="DQ205" s="228">
        <v>0.98</v>
      </c>
      <c r="DR205" s="228">
        <v>-0.03</v>
      </c>
      <c r="DS205" s="229">
        <v>-3.0599999999999999E-2</v>
      </c>
      <c r="DT205" s="228">
        <v>170</v>
      </c>
      <c r="DU205" s="228">
        <v>155</v>
      </c>
      <c r="DV205" s="228">
        <v>0.61</v>
      </c>
      <c r="DW205" s="228">
        <v>0.47</v>
      </c>
      <c r="DX205" s="228">
        <v>0.14000000000000001</v>
      </c>
      <c r="DY205" s="229">
        <v>0.2979</v>
      </c>
      <c r="DZ205" s="229">
        <v>2.7400000000000001E-2</v>
      </c>
      <c r="EA205" s="230">
        <v>1969125</v>
      </c>
      <c r="EB205" s="229">
        <v>6.1999999999999998E-3</v>
      </c>
      <c r="EC205" s="229">
        <v>2.7400000000000001E-2</v>
      </c>
      <c r="ED205" s="228">
        <v>0.97</v>
      </c>
      <c r="EE205" s="229">
        <v>5.7999999999999996E-3</v>
      </c>
      <c r="EF205" s="230">
        <v>4558780</v>
      </c>
      <c r="EG205" s="230">
        <v>10521210</v>
      </c>
      <c r="EH205" s="229">
        <v>-0.56669999999999998</v>
      </c>
      <c r="EI205" s="229">
        <v>0.45150000000000001</v>
      </c>
      <c r="EJ205" s="231">
        <v>36589.35</v>
      </c>
      <c r="EK205" s="231">
        <v>20701.45</v>
      </c>
      <c r="EL205" s="231">
        <v>22628.97</v>
      </c>
      <c r="EM205" s="231">
        <v>5885</v>
      </c>
      <c r="EN205" s="231">
        <v>79919.77</v>
      </c>
      <c r="EO205" s="231">
        <v>263083.51</v>
      </c>
      <c r="EP205" s="231">
        <v>-183163.74</v>
      </c>
      <c r="EQ205" s="229">
        <v>-0.69620000000000004</v>
      </c>
      <c r="ER205" s="231">
        <v>45528</v>
      </c>
      <c r="ES205" s="231">
        <v>39600</v>
      </c>
      <c r="ET205" s="231">
        <v>118613</v>
      </c>
      <c r="EU205" s="231">
        <v>289041713</v>
      </c>
      <c r="EV205" s="231">
        <v>203741</v>
      </c>
      <c r="EW205" s="231">
        <v>201825</v>
      </c>
      <c r="EX205" s="231">
        <v>1916</v>
      </c>
      <c r="EY205" s="229">
        <v>9.4999999999999998E-3</v>
      </c>
      <c r="EZ205" s="229">
        <v>0.42870000000000003</v>
      </c>
      <c r="FA205" s="227" t="s">
        <v>556</v>
      </c>
      <c r="FB205" s="161">
        <f t="shared" si="5"/>
        <v>0</v>
      </c>
    </row>
    <row r="206" spans="1:158" ht="17.25" thickBot="1" x14ac:dyDescent="0.3">
      <c r="A206" s="226">
        <v>46029</v>
      </c>
      <c r="B206" s="227" t="s">
        <v>168</v>
      </c>
      <c r="C206" s="227" t="s">
        <v>569</v>
      </c>
      <c r="D206" s="228">
        <v>400</v>
      </c>
      <c r="E206" s="231">
        <v>1380.8</v>
      </c>
      <c r="F206" s="231">
        <v>1383.6</v>
      </c>
      <c r="G206" s="228">
        <v>-2.8</v>
      </c>
      <c r="H206" s="229">
        <v>-2E-3</v>
      </c>
      <c r="I206" s="231">
        <v>1377.8</v>
      </c>
      <c r="J206" s="231">
        <v>1376.6</v>
      </c>
      <c r="K206" s="228">
        <v>1.2</v>
      </c>
      <c r="L206" s="229">
        <v>8.9999999999999998E-4</v>
      </c>
      <c r="M206" s="231">
        <v>1380.8</v>
      </c>
      <c r="N206" s="231">
        <v>1383.6</v>
      </c>
      <c r="O206" s="228">
        <v>-2.8</v>
      </c>
      <c r="P206" s="229">
        <v>-2E-3</v>
      </c>
      <c r="Q206" s="231">
        <v>1389.3</v>
      </c>
      <c r="R206" s="231">
        <v>1391.5</v>
      </c>
      <c r="S206" s="228">
        <v>-2.2000000000000002</v>
      </c>
      <c r="T206" s="229">
        <v>-1.6000000000000001E-3</v>
      </c>
      <c r="U206" s="231">
        <v>1397.9</v>
      </c>
      <c r="V206" s="231">
        <v>1402.4</v>
      </c>
      <c r="W206" s="228">
        <v>-4.5</v>
      </c>
      <c r="X206" s="229">
        <v>-3.2000000000000002E-3</v>
      </c>
      <c r="Y206" s="228">
        <v>3</v>
      </c>
      <c r="Z206" s="228">
        <v>7</v>
      </c>
      <c r="AA206" s="228">
        <v>-4</v>
      </c>
      <c r="AB206" s="229">
        <v>2.2000000000000001E-3</v>
      </c>
      <c r="AC206" s="228">
        <v>3</v>
      </c>
      <c r="AD206" s="228">
        <v>7</v>
      </c>
      <c r="AE206" s="228">
        <v>-4</v>
      </c>
      <c r="AF206" s="229">
        <v>2.2000000000000001E-3</v>
      </c>
      <c r="AG206" s="228">
        <v>11.5</v>
      </c>
      <c r="AH206" s="228">
        <v>14.9</v>
      </c>
      <c r="AI206" s="228">
        <v>-3.4</v>
      </c>
      <c r="AJ206" s="229">
        <v>8.3000000000000001E-3</v>
      </c>
      <c r="AK206" s="228">
        <v>20.100000000000001</v>
      </c>
      <c r="AL206" s="228">
        <v>25.8</v>
      </c>
      <c r="AM206" s="228">
        <v>-5.7</v>
      </c>
      <c r="AN206" s="229">
        <v>1.46E-2</v>
      </c>
      <c r="AO206" s="231">
        <v>1378.93</v>
      </c>
      <c r="AP206" s="231">
        <v>1385.42</v>
      </c>
      <c r="AQ206" s="228">
        <v>0</v>
      </c>
      <c r="AR206" s="230">
        <v>750000</v>
      </c>
      <c r="AS206" s="230">
        <v>1467600</v>
      </c>
      <c r="AT206" s="230">
        <v>-717600</v>
      </c>
      <c r="AU206" s="229">
        <v>-0.48899999999999999</v>
      </c>
      <c r="AV206" s="230">
        <v>706400</v>
      </c>
      <c r="AW206" s="230">
        <v>1392800</v>
      </c>
      <c r="AX206" s="230">
        <v>-686400</v>
      </c>
      <c r="AY206" s="229">
        <v>-0.49280000000000002</v>
      </c>
      <c r="AZ206" s="230">
        <v>26400</v>
      </c>
      <c r="BA206" s="230">
        <v>56400</v>
      </c>
      <c r="BB206" s="230">
        <v>-30000</v>
      </c>
      <c r="BC206" s="229">
        <v>-0.53190000000000004</v>
      </c>
      <c r="BD206" s="230">
        <v>17200</v>
      </c>
      <c r="BE206" s="230">
        <v>18400</v>
      </c>
      <c r="BF206" s="230">
        <v>-1200</v>
      </c>
      <c r="BG206" s="229">
        <v>-6.5199999999999994E-2</v>
      </c>
      <c r="BH206" s="230">
        <v>1350000</v>
      </c>
      <c r="BI206" s="230">
        <v>2269600</v>
      </c>
      <c r="BJ206" s="230">
        <v>-919600</v>
      </c>
      <c r="BK206" s="229">
        <v>-0.4052</v>
      </c>
      <c r="BL206" s="230">
        <v>338800</v>
      </c>
      <c r="BM206" s="230">
        <v>776000</v>
      </c>
      <c r="BN206" s="230">
        <v>-437200</v>
      </c>
      <c r="BO206" s="229">
        <v>-0.56340000000000001</v>
      </c>
      <c r="BP206" s="230">
        <v>2438800</v>
      </c>
      <c r="BQ206" s="230">
        <v>4513200</v>
      </c>
      <c r="BR206" s="230">
        <v>-2074400</v>
      </c>
      <c r="BS206" s="229">
        <v>-0.45960000000000001</v>
      </c>
      <c r="BT206" s="230">
        <v>1161083</v>
      </c>
      <c r="BU206" s="230">
        <v>1211458</v>
      </c>
      <c r="BV206" s="230">
        <v>-50375</v>
      </c>
      <c r="BW206" s="229">
        <v>-4.1599999999999998E-2</v>
      </c>
      <c r="BX206" s="230">
        <v>13104000</v>
      </c>
      <c r="BY206" s="230">
        <v>13065200</v>
      </c>
      <c r="BZ206" s="230">
        <v>38800</v>
      </c>
      <c r="CA206" s="229">
        <v>3.0000000000000001E-3</v>
      </c>
      <c r="CB206" s="230">
        <v>12843600</v>
      </c>
      <c r="CC206" s="230">
        <v>12820400</v>
      </c>
      <c r="CD206" s="230">
        <v>23200</v>
      </c>
      <c r="CE206" s="229">
        <v>1.8E-3</v>
      </c>
      <c r="CF206" s="230">
        <v>209600</v>
      </c>
      <c r="CG206" s="230">
        <v>201200</v>
      </c>
      <c r="CH206" s="230">
        <v>8400</v>
      </c>
      <c r="CI206" s="229">
        <v>4.1700000000000001E-2</v>
      </c>
      <c r="CJ206" s="230">
        <v>50800</v>
      </c>
      <c r="CK206" s="230">
        <v>43600</v>
      </c>
      <c r="CL206" s="230">
        <v>7200</v>
      </c>
      <c r="CM206" s="229">
        <v>0.1651</v>
      </c>
      <c r="CN206" s="230">
        <v>4129600</v>
      </c>
      <c r="CO206" s="230">
        <v>4013600</v>
      </c>
      <c r="CP206" s="230">
        <v>116000</v>
      </c>
      <c r="CQ206" s="229">
        <v>2.8899999999999999E-2</v>
      </c>
      <c r="CR206" s="230">
        <v>2986000</v>
      </c>
      <c r="CS206" s="230">
        <v>2962800</v>
      </c>
      <c r="CT206" s="230">
        <v>23200</v>
      </c>
      <c r="CU206" s="229">
        <v>7.7999999999999996E-3</v>
      </c>
      <c r="CV206" s="230">
        <v>20219600</v>
      </c>
      <c r="CW206" s="230">
        <v>20041600</v>
      </c>
      <c r="CX206" s="230">
        <v>178000</v>
      </c>
      <c r="CY206" s="229">
        <v>8.8999999999999999E-3</v>
      </c>
      <c r="CZ206" s="228">
        <v>24.27</v>
      </c>
      <c r="DA206" s="228">
        <v>24.13</v>
      </c>
      <c r="DB206" s="228">
        <v>0.14000000000000001</v>
      </c>
      <c r="DC206" s="228">
        <v>0.14000000000000001</v>
      </c>
      <c r="DD206" s="228">
        <v>26.93</v>
      </c>
      <c r="DE206" s="228">
        <v>27</v>
      </c>
      <c r="DF206" s="228">
        <v>-2.66</v>
      </c>
      <c r="DG206" s="228">
        <v>-7.0000000000000007E-2</v>
      </c>
      <c r="DH206" s="228">
        <v>24.33</v>
      </c>
      <c r="DI206" s="228">
        <v>24.2</v>
      </c>
      <c r="DJ206" s="228">
        <v>0.13</v>
      </c>
      <c r="DK206" s="228">
        <v>0.13</v>
      </c>
      <c r="DL206" s="228">
        <v>24.05</v>
      </c>
      <c r="DM206" s="228">
        <v>23.93</v>
      </c>
      <c r="DN206" s="228">
        <v>0.12</v>
      </c>
      <c r="DO206" s="228">
        <v>0.12</v>
      </c>
      <c r="DP206" s="228">
        <v>0.72</v>
      </c>
      <c r="DQ206" s="228">
        <v>0.74</v>
      </c>
      <c r="DR206" s="228">
        <v>-0.02</v>
      </c>
      <c r="DS206" s="229">
        <v>-2.7E-2</v>
      </c>
      <c r="DT206" s="231">
        <v>1440</v>
      </c>
      <c r="DU206" s="231">
        <v>1300</v>
      </c>
      <c r="DV206" s="228">
        <v>0.25</v>
      </c>
      <c r="DW206" s="228">
        <v>0.34</v>
      </c>
      <c r="DX206" s="228">
        <v>-0.09</v>
      </c>
      <c r="DY206" s="229">
        <v>-0.26469999999999999</v>
      </c>
      <c r="DZ206" s="229">
        <v>1.9900000000000001E-2</v>
      </c>
      <c r="EA206" s="230">
        <v>244800</v>
      </c>
      <c r="EB206" s="229">
        <v>6.1999999999999998E-3</v>
      </c>
      <c r="EC206" s="229">
        <v>1.9900000000000001E-2</v>
      </c>
      <c r="ED206" s="228">
        <v>6.49</v>
      </c>
      <c r="EE206" s="229">
        <v>4.7000000000000002E-3</v>
      </c>
      <c r="EF206" s="230">
        <v>862362</v>
      </c>
      <c r="EG206" s="230">
        <v>853783</v>
      </c>
      <c r="EH206" s="229">
        <v>0.01</v>
      </c>
      <c r="EI206" s="229">
        <v>0.74270000000000003</v>
      </c>
      <c r="EJ206" s="231">
        <v>19484.97</v>
      </c>
      <c r="EK206" s="231">
        <v>4639.92</v>
      </c>
      <c r="EL206" s="231">
        <v>10346.33</v>
      </c>
      <c r="EM206" s="231">
        <v>4482</v>
      </c>
      <c r="EN206" s="231">
        <v>34471.22</v>
      </c>
      <c r="EO206" s="231">
        <v>63674.94</v>
      </c>
      <c r="EP206" s="231">
        <v>-29203.72</v>
      </c>
      <c r="EQ206" s="229">
        <v>-0.45860000000000001</v>
      </c>
      <c r="ER206" s="231">
        <v>60059</v>
      </c>
      <c r="ES206" s="231">
        <v>41268</v>
      </c>
      <c r="ET206" s="231">
        <v>180967</v>
      </c>
      <c r="EU206" s="231">
        <v>37091426</v>
      </c>
      <c r="EV206" s="231">
        <v>282293</v>
      </c>
      <c r="EW206" s="231">
        <v>280191</v>
      </c>
      <c r="EX206" s="231">
        <v>2102</v>
      </c>
      <c r="EY206" s="229">
        <v>7.4999999999999997E-3</v>
      </c>
      <c r="EZ206" s="229">
        <v>0.54510000000000003</v>
      </c>
      <c r="FA206" s="227" t="s">
        <v>567</v>
      </c>
      <c r="FB206" s="161">
        <f t="shared" si="5"/>
        <v>0</v>
      </c>
    </row>
    <row r="207" spans="1:158" ht="17.25" thickBot="1" x14ac:dyDescent="0.3">
      <c r="A207" s="226">
        <v>46029</v>
      </c>
      <c r="B207" s="227" t="s">
        <v>162</v>
      </c>
      <c r="C207" s="227" t="s">
        <v>674</v>
      </c>
      <c r="D207" s="228">
        <v>550</v>
      </c>
      <c r="E207" s="231">
        <v>1323.1</v>
      </c>
      <c r="F207" s="231">
        <v>1324</v>
      </c>
      <c r="G207" s="228">
        <v>-0.9</v>
      </c>
      <c r="H207" s="229">
        <v>-6.9999999999999999E-4</v>
      </c>
      <c r="I207" s="231">
        <v>1318.2</v>
      </c>
      <c r="J207" s="231">
        <v>1320.9</v>
      </c>
      <c r="K207" s="228">
        <v>-2.7</v>
      </c>
      <c r="L207" s="229">
        <v>-2E-3</v>
      </c>
      <c r="M207" s="231">
        <v>1323.1</v>
      </c>
      <c r="N207" s="231">
        <v>1324</v>
      </c>
      <c r="O207" s="228">
        <v>-0.9</v>
      </c>
      <c r="P207" s="229">
        <v>-6.9999999999999999E-4</v>
      </c>
      <c r="Q207" s="231">
        <v>1331.7</v>
      </c>
      <c r="R207" s="231">
        <v>1331.7</v>
      </c>
      <c r="S207" s="228">
        <v>0</v>
      </c>
      <c r="T207" s="229">
        <v>0</v>
      </c>
      <c r="U207" s="231">
        <v>1335.8</v>
      </c>
      <c r="V207" s="228">
        <v>0</v>
      </c>
      <c r="W207" s="231">
        <v>1335.8</v>
      </c>
      <c r="X207" s="229">
        <v>0</v>
      </c>
      <c r="Y207" s="228">
        <v>4.9000000000000004</v>
      </c>
      <c r="Z207" s="228">
        <v>3.1</v>
      </c>
      <c r="AA207" s="228">
        <v>1.8</v>
      </c>
      <c r="AB207" s="229">
        <v>3.7000000000000002E-3</v>
      </c>
      <c r="AC207" s="228">
        <v>4.9000000000000004</v>
      </c>
      <c r="AD207" s="228">
        <v>3.1</v>
      </c>
      <c r="AE207" s="228">
        <v>1.8</v>
      </c>
      <c r="AF207" s="229">
        <v>3.7000000000000002E-3</v>
      </c>
      <c r="AG207" s="228">
        <v>13.5</v>
      </c>
      <c r="AH207" s="228">
        <v>10.8</v>
      </c>
      <c r="AI207" s="228">
        <v>2.7</v>
      </c>
      <c r="AJ207" s="229">
        <v>1.0200000000000001E-2</v>
      </c>
      <c r="AK207" s="228">
        <v>17.600000000000001</v>
      </c>
      <c r="AL207" s="228">
        <v>0</v>
      </c>
      <c r="AM207" s="228">
        <v>17.600000000000001</v>
      </c>
      <c r="AN207" s="229">
        <v>1.34E-2</v>
      </c>
      <c r="AO207" s="231">
        <v>1321.46</v>
      </c>
      <c r="AP207" s="231">
        <v>1326.8</v>
      </c>
      <c r="AQ207" s="228">
        <v>0</v>
      </c>
      <c r="AR207" s="230">
        <v>1889800</v>
      </c>
      <c r="AS207" s="230">
        <v>916850</v>
      </c>
      <c r="AT207" s="230">
        <v>972950</v>
      </c>
      <c r="AU207" s="229">
        <v>1.0611999999999999</v>
      </c>
      <c r="AV207" s="230">
        <v>1398650</v>
      </c>
      <c r="AW207" s="230">
        <v>903100</v>
      </c>
      <c r="AX207" s="230">
        <v>495550</v>
      </c>
      <c r="AY207" s="229">
        <v>0.54869999999999997</v>
      </c>
      <c r="AZ207" s="230">
        <v>486750</v>
      </c>
      <c r="BA207" s="230">
        <v>13750</v>
      </c>
      <c r="BB207" s="230">
        <v>473000</v>
      </c>
      <c r="BC207" s="229">
        <v>34.4</v>
      </c>
      <c r="BD207" s="230">
        <v>4400</v>
      </c>
      <c r="BE207" s="228">
        <v>0</v>
      </c>
      <c r="BF207" s="230">
        <v>4400</v>
      </c>
      <c r="BG207" s="229">
        <v>0</v>
      </c>
      <c r="BH207" s="230">
        <v>3747700</v>
      </c>
      <c r="BI207" s="230">
        <v>1171500</v>
      </c>
      <c r="BJ207" s="230">
        <v>2576200</v>
      </c>
      <c r="BK207" s="229">
        <v>2.1991000000000001</v>
      </c>
      <c r="BL207" s="230">
        <v>1626900</v>
      </c>
      <c r="BM207" s="230">
        <v>394900</v>
      </c>
      <c r="BN207" s="230">
        <v>1232000</v>
      </c>
      <c r="BO207" s="229">
        <v>3.1198000000000001</v>
      </c>
      <c r="BP207" s="230">
        <v>7264400</v>
      </c>
      <c r="BQ207" s="230">
        <v>2483250</v>
      </c>
      <c r="BR207" s="230">
        <v>4781150</v>
      </c>
      <c r="BS207" s="229">
        <v>1.9254</v>
      </c>
      <c r="BT207" s="230">
        <v>619142</v>
      </c>
      <c r="BU207" s="230">
        <v>403647</v>
      </c>
      <c r="BV207" s="230">
        <v>215495</v>
      </c>
      <c r="BW207" s="229">
        <v>0.53390000000000004</v>
      </c>
      <c r="BX207" s="230">
        <v>4446750</v>
      </c>
      <c r="BY207" s="230">
        <v>4376900</v>
      </c>
      <c r="BZ207" s="230">
        <v>69850</v>
      </c>
      <c r="CA207" s="229">
        <v>1.6E-2</v>
      </c>
      <c r="CB207" s="230">
        <v>4365900</v>
      </c>
      <c r="CC207" s="230">
        <v>4336200</v>
      </c>
      <c r="CD207" s="230">
        <v>29700</v>
      </c>
      <c r="CE207" s="229">
        <v>6.7999999999999996E-3</v>
      </c>
      <c r="CF207" s="230">
        <v>76450</v>
      </c>
      <c r="CG207" s="230">
        <v>40700</v>
      </c>
      <c r="CH207" s="230">
        <v>35750</v>
      </c>
      <c r="CI207" s="229">
        <v>0.87839999999999996</v>
      </c>
      <c r="CJ207" s="230">
        <v>4400</v>
      </c>
      <c r="CK207" s="228">
        <v>0</v>
      </c>
      <c r="CL207" s="230">
        <v>4400</v>
      </c>
      <c r="CM207" s="229">
        <v>0</v>
      </c>
      <c r="CN207" s="230">
        <v>1160500</v>
      </c>
      <c r="CO207" s="230">
        <v>1045550</v>
      </c>
      <c r="CP207" s="230">
        <v>114950</v>
      </c>
      <c r="CQ207" s="229">
        <v>0.1099</v>
      </c>
      <c r="CR207" s="230">
        <v>796950</v>
      </c>
      <c r="CS207" s="230">
        <v>682000</v>
      </c>
      <c r="CT207" s="230">
        <v>114950</v>
      </c>
      <c r="CU207" s="229">
        <v>0.16850000000000001</v>
      </c>
      <c r="CV207" s="230">
        <v>6404200</v>
      </c>
      <c r="CW207" s="230">
        <v>6104450</v>
      </c>
      <c r="CX207" s="230">
        <v>299750</v>
      </c>
      <c r="CY207" s="229">
        <v>4.9099999999999998E-2</v>
      </c>
      <c r="CZ207" s="228">
        <v>27.16</v>
      </c>
      <c r="DA207" s="228">
        <v>27.75</v>
      </c>
      <c r="DB207" s="228">
        <v>-0.59</v>
      </c>
      <c r="DC207" s="228">
        <v>-0.59</v>
      </c>
      <c r="DD207" s="228">
        <v>39.75</v>
      </c>
      <c r="DE207" s="228">
        <v>39.85</v>
      </c>
      <c r="DF207" s="228">
        <v>-12.59</v>
      </c>
      <c r="DG207" s="228">
        <v>-0.1</v>
      </c>
      <c r="DH207" s="228">
        <v>27.57</v>
      </c>
      <c r="DI207" s="228">
        <v>27.64</v>
      </c>
      <c r="DJ207" s="228">
        <v>-7.0000000000000007E-2</v>
      </c>
      <c r="DK207" s="228">
        <v>-7.0000000000000007E-2</v>
      </c>
      <c r="DL207" s="228">
        <v>26.21</v>
      </c>
      <c r="DM207" s="228">
        <v>28.09</v>
      </c>
      <c r="DN207" s="228">
        <v>-1.88</v>
      </c>
      <c r="DO207" s="228">
        <v>-1.88</v>
      </c>
      <c r="DP207" s="228">
        <v>0.69</v>
      </c>
      <c r="DQ207" s="228">
        <v>0.65</v>
      </c>
      <c r="DR207" s="228">
        <v>0.04</v>
      </c>
      <c r="DS207" s="229">
        <v>6.1499999999999999E-2</v>
      </c>
      <c r="DT207" s="231">
        <v>1340</v>
      </c>
      <c r="DU207" s="231">
        <v>1340</v>
      </c>
      <c r="DV207" s="228">
        <v>0.43</v>
      </c>
      <c r="DW207" s="228">
        <v>0.34</v>
      </c>
      <c r="DX207" s="228">
        <v>0.09</v>
      </c>
      <c r="DY207" s="229">
        <v>0.26469999999999999</v>
      </c>
      <c r="DZ207" s="229">
        <v>1.8200000000000001E-2</v>
      </c>
      <c r="EA207" s="230">
        <v>40700</v>
      </c>
      <c r="EB207" s="229">
        <v>6.4999999999999997E-3</v>
      </c>
      <c r="EC207" s="229">
        <v>1.8200000000000001E-2</v>
      </c>
      <c r="ED207" s="228">
        <v>5.34</v>
      </c>
      <c r="EE207" s="229">
        <v>4.0000000000000001E-3</v>
      </c>
      <c r="EF207" s="230">
        <v>158294</v>
      </c>
      <c r="EG207" s="230">
        <v>206154</v>
      </c>
      <c r="EH207" s="229">
        <v>-0.23219999999999999</v>
      </c>
      <c r="EI207" s="229">
        <v>0.25569999999999998</v>
      </c>
      <c r="EJ207" s="231">
        <v>51303.88</v>
      </c>
      <c r="EK207" s="231">
        <v>21873.72</v>
      </c>
      <c r="EL207" s="231">
        <v>24999.67</v>
      </c>
      <c r="EM207" s="231">
        <v>2030</v>
      </c>
      <c r="EN207" s="231">
        <v>98177.27</v>
      </c>
      <c r="EO207" s="231">
        <v>33525.61</v>
      </c>
      <c r="EP207" s="231">
        <v>64651.66</v>
      </c>
      <c r="EQ207" s="229">
        <v>1.9283999999999999</v>
      </c>
      <c r="ER207" s="231">
        <v>15806</v>
      </c>
      <c r="ES207" s="231">
        <v>10143</v>
      </c>
      <c r="ET207" s="231">
        <v>58842</v>
      </c>
      <c r="EU207" s="231">
        <v>27292222</v>
      </c>
      <c r="EV207" s="231">
        <v>84791</v>
      </c>
      <c r="EW207" s="231">
        <v>80828</v>
      </c>
      <c r="EX207" s="231">
        <v>3963</v>
      </c>
      <c r="EY207" s="229">
        <v>4.9000000000000002E-2</v>
      </c>
      <c r="EZ207" s="229">
        <v>0.23469999999999999</v>
      </c>
      <c r="FA207" s="227" t="s">
        <v>567</v>
      </c>
      <c r="FB207" s="161">
        <f t="shared" si="5"/>
        <v>0</v>
      </c>
    </row>
    <row r="208" spans="1:158" ht="17.25" thickBot="1" x14ac:dyDescent="0.3">
      <c r="A208" s="226">
        <v>46029</v>
      </c>
      <c r="B208" s="227" t="s">
        <v>498</v>
      </c>
      <c r="C208" s="227" t="s">
        <v>303</v>
      </c>
      <c r="D208" s="228">
        <v>1355</v>
      </c>
      <c r="E208" s="228">
        <v>806.8</v>
      </c>
      <c r="F208" s="228">
        <v>803.5</v>
      </c>
      <c r="G208" s="228">
        <v>3.3</v>
      </c>
      <c r="H208" s="229">
        <v>4.1000000000000003E-3</v>
      </c>
      <c r="I208" s="228">
        <v>802.95</v>
      </c>
      <c r="J208" s="228">
        <v>799.3</v>
      </c>
      <c r="K208" s="228">
        <v>3.65</v>
      </c>
      <c r="L208" s="229">
        <v>4.5999999999999999E-3</v>
      </c>
      <c r="M208" s="228">
        <v>806.8</v>
      </c>
      <c r="N208" s="228">
        <v>803.5</v>
      </c>
      <c r="O208" s="228">
        <v>3.3</v>
      </c>
      <c r="P208" s="229">
        <v>4.1000000000000003E-3</v>
      </c>
      <c r="Q208" s="228">
        <v>812.4</v>
      </c>
      <c r="R208" s="228">
        <v>807.65</v>
      </c>
      <c r="S208" s="228">
        <v>4.75</v>
      </c>
      <c r="T208" s="229">
        <v>5.8999999999999999E-3</v>
      </c>
      <c r="U208" s="228">
        <v>816.5</v>
      </c>
      <c r="V208" s="228">
        <v>812.75</v>
      </c>
      <c r="W208" s="228">
        <v>3.75</v>
      </c>
      <c r="X208" s="229">
        <v>4.5999999999999999E-3</v>
      </c>
      <c r="Y208" s="228">
        <v>3.85</v>
      </c>
      <c r="Z208" s="228">
        <v>4.2</v>
      </c>
      <c r="AA208" s="228">
        <v>-0.35</v>
      </c>
      <c r="AB208" s="229">
        <v>4.7999999999999996E-3</v>
      </c>
      <c r="AC208" s="228">
        <v>3.85</v>
      </c>
      <c r="AD208" s="228">
        <v>4.2</v>
      </c>
      <c r="AE208" s="228">
        <v>-0.35</v>
      </c>
      <c r="AF208" s="229">
        <v>4.7999999999999996E-3</v>
      </c>
      <c r="AG208" s="228">
        <v>9.4499999999999993</v>
      </c>
      <c r="AH208" s="228">
        <v>8.35</v>
      </c>
      <c r="AI208" s="228">
        <v>1.1000000000000001</v>
      </c>
      <c r="AJ208" s="229">
        <v>1.18E-2</v>
      </c>
      <c r="AK208" s="228">
        <v>13.55</v>
      </c>
      <c r="AL208" s="228">
        <v>13.45</v>
      </c>
      <c r="AM208" s="228">
        <v>0.1</v>
      </c>
      <c r="AN208" s="229">
        <v>1.6899999999999998E-2</v>
      </c>
      <c r="AO208" s="228">
        <v>806.09</v>
      </c>
      <c r="AP208" s="228">
        <v>811.37</v>
      </c>
      <c r="AQ208" s="228">
        <v>0</v>
      </c>
      <c r="AR208" s="230">
        <v>5938965</v>
      </c>
      <c r="AS208" s="230">
        <v>4331935</v>
      </c>
      <c r="AT208" s="230">
        <v>1607030</v>
      </c>
      <c r="AU208" s="229">
        <v>0.371</v>
      </c>
      <c r="AV208" s="230">
        <v>5799400</v>
      </c>
      <c r="AW208" s="230">
        <v>4192370</v>
      </c>
      <c r="AX208" s="230">
        <v>1607030</v>
      </c>
      <c r="AY208" s="229">
        <v>0.38329999999999997</v>
      </c>
      <c r="AZ208" s="230">
        <v>124660</v>
      </c>
      <c r="BA208" s="230">
        <v>117885</v>
      </c>
      <c r="BB208" s="230">
        <v>6775</v>
      </c>
      <c r="BC208" s="229">
        <v>5.7500000000000002E-2</v>
      </c>
      <c r="BD208" s="230">
        <v>14905</v>
      </c>
      <c r="BE208" s="230">
        <v>21680</v>
      </c>
      <c r="BF208" s="230">
        <v>-6775</v>
      </c>
      <c r="BG208" s="229">
        <v>-0.3125</v>
      </c>
      <c r="BH208" s="230">
        <v>14316930</v>
      </c>
      <c r="BI208" s="230">
        <v>11406390</v>
      </c>
      <c r="BJ208" s="230">
        <v>2910540</v>
      </c>
      <c r="BK208" s="229">
        <v>0.25519999999999998</v>
      </c>
      <c r="BL208" s="230">
        <v>5413225</v>
      </c>
      <c r="BM208" s="230">
        <v>4792635</v>
      </c>
      <c r="BN208" s="230">
        <v>620590</v>
      </c>
      <c r="BO208" s="229">
        <v>0.1295</v>
      </c>
      <c r="BP208" s="230">
        <v>25669120</v>
      </c>
      <c r="BQ208" s="230">
        <v>20530960</v>
      </c>
      <c r="BR208" s="230">
        <v>5138160</v>
      </c>
      <c r="BS208" s="229">
        <v>0.25030000000000002</v>
      </c>
      <c r="BT208" s="230">
        <v>3983555</v>
      </c>
      <c r="BU208" s="230">
        <v>1887833</v>
      </c>
      <c r="BV208" s="230">
        <v>2095722</v>
      </c>
      <c r="BW208" s="229">
        <v>1.1101000000000001</v>
      </c>
      <c r="BX208" s="230">
        <v>39740795</v>
      </c>
      <c r="BY208" s="230">
        <v>40366805</v>
      </c>
      <c r="BZ208" s="230">
        <v>-626010</v>
      </c>
      <c r="CA208" s="229">
        <v>-1.55E-2</v>
      </c>
      <c r="CB208" s="230">
        <v>39259770</v>
      </c>
      <c r="CC208" s="230">
        <v>39910170</v>
      </c>
      <c r="CD208" s="230">
        <v>-650400</v>
      </c>
      <c r="CE208" s="229">
        <v>-1.6299999999999999E-2</v>
      </c>
      <c r="CF208" s="230">
        <v>405145</v>
      </c>
      <c r="CG208" s="230">
        <v>386175</v>
      </c>
      <c r="CH208" s="230">
        <v>18970</v>
      </c>
      <c r="CI208" s="229">
        <v>4.9099999999999998E-2</v>
      </c>
      <c r="CJ208" s="230">
        <v>75880</v>
      </c>
      <c r="CK208" s="230">
        <v>70460</v>
      </c>
      <c r="CL208" s="230">
        <v>5420</v>
      </c>
      <c r="CM208" s="229">
        <v>7.6899999999999996E-2</v>
      </c>
      <c r="CN208" s="230">
        <v>12761390</v>
      </c>
      <c r="CO208" s="230">
        <v>12110990</v>
      </c>
      <c r="CP208" s="230">
        <v>650400</v>
      </c>
      <c r="CQ208" s="229">
        <v>5.3699999999999998E-2</v>
      </c>
      <c r="CR208" s="230">
        <v>7960625</v>
      </c>
      <c r="CS208" s="230">
        <v>7623230</v>
      </c>
      <c r="CT208" s="230">
        <v>337395</v>
      </c>
      <c r="CU208" s="229">
        <v>4.4299999999999999E-2</v>
      </c>
      <c r="CV208" s="230">
        <v>60462810</v>
      </c>
      <c r="CW208" s="230">
        <v>60101025</v>
      </c>
      <c r="CX208" s="230">
        <v>361785</v>
      </c>
      <c r="CY208" s="229">
        <v>6.0000000000000001E-3</v>
      </c>
      <c r="CZ208" s="228">
        <v>24.4</v>
      </c>
      <c r="DA208" s="228">
        <v>24.65</v>
      </c>
      <c r="DB208" s="228">
        <v>-0.25</v>
      </c>
      <c r="DC208" s="228">
        <v>-0.25</v>
      </c>
      <c r="DD208" s="228">
        <v>31.57</v>
      </c>
      <c r="DE208" s="228">
        <v>31.65</v>
      </c>
      <c r="DF208" s="228">
        <v>-7.17</v>
      </c>
      <c r="DG208" s="228">
        <v>-0.08</v>
      </c>
      <c r="DH208" s="228">
        <v>24.29</v>
      </c>
      <c r="DI208" s="228">
        <v>24.68</v>
      </c>
      <c r="DJ208" s="228">
        <v>-0.39</v>
      </c>
      <c r="DK208" s="228">
        <v>-0.39</v>
      </c>
      <c r="DL208" s="228">
        <v>24.69</v>
      </c>
      <c r="DM208" s="228">
        <v>24.59</v>
      </c>
      <c r="DN208" s="228">
        <v>0.1</v>
      </c>
      <c r="DO208" s="228">
        <v>0.1</v>
      </c>
      <c r="DP208" s="228">
        <v>0.62</v>
      </c>
      <c r="DQ208" s="228">
        <v>0.63</v>
      </c>
      <c r="DR208" s="228">
        <v>-0.01</v>
      </c>
      <c r="DS208" s="229">
        <v>-1.5900000000000001E-2</v>
      </c>
      <c r="DT208" s="228">
        <v>800</v>
      </c>
      <c r="DU208" s="228">
        <v>800</v>
      </c>
      <c r="DV208" s="228">
        <v>0.38</v>
      </c>
      <c r="DW208" s="228">
        <v>0.42</v>
      </c>
      <c r="DX208" s="228">
        <v>-0.04</v>
      </c>
      <c r="DY208" s="229">
        <v>-9.5200000000000007E-2</v>
      </c>
      <c r="DZ208" s="229">
        <v>1.21E-2</v>
      </c>
      <c r="EA208" s="230">
        <v>456635</v>
      </c>
      <c r="EB208" s="229">
        <v>6.8999999999999999E-3</v>
      </c>
      <c r="EC208" s="229">
        <v>1.21E-2</v>
      </c>
      <c r="ED208" s="228">
        <v>5.28</v>
      </c>
      <c r="EE208" s="229">
        <v>6.6E-3</v>
      </c>
      <c r="EF208" s="230">
        <v>2850625</v>
      </c>
      <c r="EG208" s="230">
        <v>1260700</v>
      </c>
      <c r="EH208" s="229">
        <v>1.2611000000000001</v>
      </c>
      <c r="EI208" s="229">
        <v>0.71560000000000001</v>
      </c>
      <c r="EJ208" s="231">
        <v>119426.75</v>
      </c>
      <c r="EK208" s="231">
        <v>43382.03</v>
      </c>
      <c r="EL208" s="231">
        <v>47881.29</v>
      </c>
      <c r="EM208" s="231">
        <v>4578</v>
      </c>
      <c r="EN208" s="231">
        <v>210690.07</v>
      </c>
      <c r="EO208" s="231">
        <v>168908.34</v>
      </c>
      <c r="EP208" s="231">
        <v>41781.730000000003</v>
      </c>
      <c r="EQ208" s="229">
        <v>0.24740000000000001</v>
      </c>
      <c r="ER208" s="231">
        <v>104460</v>
      </c>
      <c r="ES208" s="231">
        <v>61182</v>
      </c>
      <c r="ET208" s="231">
        <v>320659</v>
      </c>
      <c r="EU208" s="231">
        <v>84228583</v>
      </c>
      <c r="EV208" s="231">
        <v>486300</v>
      </c>
      <c r="EW208" s="231">
        <v>481924</v>
      </c>
      <c r="EX208" s="231">
        <v>4376</v>
      </c>
      <c r="EY208" s="229">
        <v>9.1000000000000004E-3</v>
      </c>
      <c r="EZ208" s="229">
        <v>0.71779999999999999</v>
      </c>
      <c r="FA208" s="227" t="s">
        <v>556</v>
      </c>
      <c r="FB208" s="161">
        <f t="shared" si="5"/>
        <v>0</v>
      </c>
    </row>
    <row r="209" spans="1:158" ht="17.25" thickBot="1" x14ac:dyDescent="0.3">
      <c r="A209" s="226">
        <v>46029</v>
      </c>
      <c r="B209" s="227" t="s">
        <v>168</v>
      </c>
      <c r="C209" s="227" t="s">
        <v>586</v>
      </c>
      <c r="D209" s="228">
        <v>1125</v>
      </c>
      <c r="E209" s="228">
        <v>511.65</v>
      </c>
      <c r="F209" s="228">
        <v>500.85</v>
      </c>
      <c r="G209" s="228">
        <v>10.8</v>
      </c>
      <c r="H209" s="229">
        <v>2.1600000000000001E-2</v>
      </c>
      <c r="I209" s="228">
        <v>509.7</v>
      </c>
      <c r="J209" s="228">
        <v>498.85</v>
      </c>
      <c r="K209" s="228">
        <v>10.85</v>
      </c>
      <c r="L209" s="229">
        <v>2.18E-2</v>
      </c>
      <c r="M209" s="228">
        <v>511.65</v>
      </c>
      <c r="N209" s="228">
        <v>500.85</v>
      </c>
      <c r="O209" s="228">
        <v>10.8</v>
      </c>
      <c r="P209" s="229">
        <v>2.1600000000000001E-2</v>
      </c>
      <c r="Q209" s="228">
        <v>514.29999999999995</v>
      </c>
      <c r="R209" s="228">
        <v>503.75</v>
      </c>
      <c r="S209" s="228">
        <v>10.55</v>
      </c>
      <c r="T209" s="229">
        <v>2.0899999999999998E-2</v>
      </c>
      <c r="U209" s="228">
        <v>517.4</v>
      </c>
      <c r="V209" s="228">
        <v>507</v>
      </c>
      <c r="W209" s="228">
        <v>10.4</v>
      </c>
      <c r="X209" s="229">
        <v>2.0500000000000001E-2</v>
      </c>
      <c r="Y209" s="228">
        <v>1.95</v>
      </c>
      <c r="Z209" s="228">
        <v>2</v>
      </c>
      <c r="AA209" s="228">
        <v>-0.05</v>
      </c>
      <c r="AB209" s="229">
        <v>3.8E-3</v>
      </c>
      <c r="AC209" s="228">
        <v>1.95</v>
      </c>
      <c r="AD209" s="228">
        <v>2</v>
      </c>
      <c r="AE209" s="228">
        <v>-0.05</v>
      </c>
      <c r="AF209" s="229">
        <v>3.8E-3</v>
      </c>
      <c r="AG209" s="228">
        <v>4.5999999999999996</v>
      </c>
      <c r="AH209" s="228">
        <v>4.9000000000000004</v>
      </c>
      <c r="AI209" s="228">
        <v>-0.3</v>
      </c>
      <c r="AJ209" s="229">
        <v>8.9999999999999993E-3</v>
      </c>
      <c r="AK209" s="228">
        <v>7.7</v>
      </c>
      <c r="AL209" s="228">
        <v>8.15</v>
      </c>
      <c r="AM209" s="228">
        <v>-0.45</v>
      </c>
      <c r="AN209" s="229">
        <v>1.5100000000000001E-2</v>
      </c>
      <c r="AO209" s="228">
        <v>507.82</v>
      </c>
      <c r="AP209" s="228">
        <v>509.29</v>
      </c>
      <c r="AQ209" s="228">
        <v>0</v>
      </c>
      <c r="AR209" s="230">
        <v>11035125</v>
      </c>
      <c r="AS209" s="230">
        <v>11557125</v>
      </c>
      <c r="AT209" s="230">
        <v>-522000</v>
      </c>
      <c r="AU209" s="229">
        <v>-4.5199999999999997E-2</v>
      </c>
      <c r="AV209" s="230">
        <v>10633500</v>
      </c>
      <c r="AW209" s="230">
        <v>11131875</v>
      </c>
      <c r="AX209" s="230">
        <v>-498375</v>
      </c>
      <c r="AY209" s="229">
        <v>-4.48E-2</v>
      </c>
      <c r="AZ209" s="230">
        <v>343125</v>
      </c>
      <c r="BA209" s="230">
        <v>379125</v>
      </c>
      <c r="BB209" s="230">
        <v>-36000</v>
      </c>
      <c r="BC209" s="229">
        <v>-9.5000000000000001E-2</v>
      </c>
      <c r="BD209" s="230">
        <v>58500</v>
      </c>
      <c r="BE209" s="230">
        <v>46125</v>
      </c>
      <c r="BF209" s="230">
        <v>12375</v>
      </c>
      <c r="BG209" s="229">
        <v>0.26829999999999998</v>
      </c>
      <c r="BH209" s="230">
        <v>28849500</v>
      </c>
      <c r="BI209" s="230">
        <v>26037000</v>
      </c>
      <c r="BJ209" s="230">
        <v>2812500</v>
      </c>
      <c r="BK209" s="229">
        <v>0.108</v>
      </c>
      <c r="BL209" s="230">
        <v>9201375</v>
      </c>
      <c r="BM209" s="230">
        <v>14034375</v>
      </c>
      <c r="BN209" s="230">
        <v>-4833000</v>
      </c>
      <c r="BO209" s="229">
        <v>-0.34439999999999998</v>
      </c>
      <c r="BP209" s="230">
        <v>49086000</v>
      </c>
      <c r="BQ209" s="230">
        <v>51628500</v>
      </c>
      <c r="BR209" s="230">
        <v>-2542500</v>
      </c>
      <c r="BS209" s="229">
        <v>-4.9200000000000001E-2</v>
      </c>
      <c r="BT209" s="230">
        <v>6107241</v>
      </c>
      <c r="BU209" s="230">
        <v>8367834</v>
      </c>
      <c r="BV209" s="230">
        <v>-2260593</v>
      </c>
      <c r="BW209" s="229">
        <v>-0.2702</v>
      </c>
      <c r="BX209" s="230">
        <v>51440625</v>
      </c>
      <c r="BY209" s="230">
        <v>50602500</v>
      </c>
      <c r="BZ209" s="230">
        <v>838125</v>
      </c>
      <c r="CA209" s="229">
        <v>1.66E-2</v>
      </c>
      <c r="CB209" s="230">
        <v>50779125</v>
      </c>
      <c r="CC209" s="230">
        <v>49946625</v>
      </c>
      <c r="CD209" s="230">
        <v>832500</v>
      </c>
      <c r="CE209" s="229">
        <v>1.67E-2</v>
      </c>
      <c r="CF209" s="230">
        <v>577125</v>
      </c>
      <c r="CG209" s="230">
        <v>574875</v>
      </c>
      <c r="CH209" s="230">
        <v>2250</v>
      </c>
      <c r="CI209" s="229">
        <v>3.8999999999999998E-3</v>
      </c>
      <c r="CJ209" s="230">
        <v>84375</v>
      </c>
      <c r="CK209" s="230">
        <v>81000</v>
      </c>
      <c r="CL209" s="230">
        <v>3375</v>
      </c>
      <c r="CM209" s="229">
        <v>4.1700000000000001E-2</v>
      </c>
      <c r="CN209" s="230">
        <v>10182375</v>
      </c>
      <c r="CO209" s="230">
        <v>10899000</v>
      </c>
      <c r="CP209" s="230">
        <v>-716625</v>
      </c>
      <c r="CQ209" s="229">
        <v>-6.5799999999999997E-2</v>
      </c>
      <c r="CR209" s="230">
        <v>8089875</v>
      </c>
      <c r="CS209" s="230">
        <v>7547625</v>
      </c>
      <c r="CT209" s="230">
        <v>542250</v>
      </c>
      <c r="CU209" s="229">
        <v>7.1800000000000003E-2</v>
      </c>
      <c r="CV209" s="230">
        <v>69712875</v>
      </c>
      <c r="CW209" s="230">
        <v>69049125</v>
      </c>
      <c r="CX209" s="230">
        <v>663750</v>
      </c>
      <c r="CY209" s="229">
        <v>9.5999999999999992E-3</v>
      </c>
      <c r="CZ209" s="228">
        <v>27.15</v>
      </c>
      <c r="DA209" s="228">
        <v>28.03</v>
      </c>
      <c r="DB209" s="228">
        <v>-0.88</v>
      </c>
      <c r="DC209" s="228">
        <v>-0.88</v>
      </c>
      <c r="DD209" s="228">
        <v>37.17</v>
      </c>
      <c r="DE209" s="228">
        <v>37.15</v>
      </c>
      <c r="DF209" s="228">
        <v>-10.02</v>
      </c>
      <c r="DG209" s="228">
        <v>0.02</v>
      </c>
      <c r="DH209" s="228">
        <v>26.91</v>
      </c>
      <c r="DI209" s="228">
        <v>27.91</v>
      </c>
      <c r="DJ209" s="228">
        <v>-1</v>
      </c>
      <c r="DK209" s="228">
        <v>-1</v>
      </c>
      <c r="DL209" s="228">
        <v>27.87</v>
      </c>
      <c r="DM209" s="228">
        <v>28.26</v>
      </c>
      <c r="DN209" s="228">
        <v>-0.39</v>
      </c>
      <c r="DO209" s="228">
        <v>-0.39</v>
      </c>
      <c r="DP209" s="228">
        <v>0.79</v>
      </c>
      <c r="DQ209" s="228">
        <v>0.69</v>
      </c>
      <c r="DR209" s="228">
        <v>0.1</v>
      </c>
      <c r="DS209" s="229">
        <v>0.1449</v>
      </c>
      <c r="DT209" s="228">
        <v>500</v>
      </c>
      <c r="DU209" s="228">
        <v>475</v>
      </c>
      <c r="DV209" s="228">
        <v>0.32</v>
      </c>
      <c r="DW209" s="228">
        <v>0.54</v>
      </c>
      <c r="DX209" s="228">
        <v>-0.22</v>
      </c>
      <c r="DY209" s="229">
        <v>-0.40739999999999998</v>
      </c>
      <c r="DZ209" s="229">
        <v>1.29E-2</v>
      </c>
      <c r="EA209" s="230">
        <v>655875</v>
      </c>
      <c r="EB209" s="229">
        <v>5.1999999999999998E-3</v>
      </c>
      <c r="EC209" s="229">
        <v>1.29E-2</v>
      </c>
      <c r="ED209" s="228">
        <v>1.47</v>
      </c>
      <c r="EE209" s="229">
        <v>2.8999999999999998E-3</v>
      </c>
      <c r="EF209" s="230">
        <v>2959851</v>
      </c>
      <c r="EG209" s="230">
        <v>4481667</v>
      </c>
      <c r="EH209" s="229">
        <v>-0.33960000000000001</v>
      </c>
      <c r="EI209" s="229">
        <v>0.48459999999999998</v>
      </c>
      <c r="EJ209" s="231">
        <v>151662.78</v>
      </c>
      <c r="EK209" s="231">
        <v>45513</v>
      </c>
      <c r="EL209" s="231">
        <v>56046.49</v>
      </c>
      <c r="EM209" s="231">
        <v>6003</v>
      </c>
      <c r="EN209" s="231">
        <v>253222.27</v>
      </c>
      <c r="EO209" s="231">
        <v>259364.04</v>
      </c>
      <c r="EP209" s="231">
        <v>-6141.77</v>
      </c>
      <c r="EQ209" s="229">
        <v>-2.3699999999999999E-2</v>
      </c>
      <c r="ER209" s="231">
        <v>52245</v>
      </c>
      <c r="ES209" s="231">
        <v>38324</v>
      </c>
      <c r="ET209" s="231">
        <v>263216</v>
      </c>
      <c r="EU209" s="231">
        <v>205761118</v>
      </c>
      <c r="EV209" s="231">
        <v>353785</v>
      </c>
      <c r="EW209" s="231">
        <v>344798</v>
      </c>
      <c r="EX209" s="231">
        <v>8987</v>
      </c>
      <c r="EY209" s="229">
        <v>2.6100000000000002E-2</v>
      </c>
      <c r="EZ209" s="229">
        <v>0.33879999999999999</v>
      </c>
      <c r="FA209" s="227" t="s">
        <v>555</v>
      </c>
      <c r="FB209" s="161">
        <f t="shared" si="5"/>
        <v>0</v>
      </c>
    </row>
    <row r="210" spans="1:158" ht="17.25" thickBot="1" x14ac:dyDescent="0.3">
      <c r="A210" s="226">
        <v>46029</v>
      </c>
      <c r="B210" s="227" t="s">
        <v>227</v>
      </c>
      <c r="C210" s="227" t="s">
        <v>304</v>
      </c>
      <c r="D210" s="228">
        <v>1150</v>
      </c>
      <c r="E210" s="228">
        <v>622.20000000000005</v>
      </c>
      <c r="F210" s="228">
        <v>622.1</v>
      </c>
      <c r="G210" s="228">
        <v>0.1</v>
      </c>
      <c r="H210" s="229">
        <v>2.0000000000000001E-4</v>
      </c>
      <c r="I210" s="228">
        <v>622.20000000000005</v>
      </c>
      <c r="J210" s="228">
        <v>621.75</v>
      </c>
      <c r="K210" s="228">
        <v>0.45</v>
      </c>
      <c r="L210" s="229">
        <v>6.9999999999999999E-4</v>
      </c>
      <c r="M210" s="228">
        <v>622.20000000000005</v>
      </c>
      <c r="N210" s="228">
        <v>622.1</v>
      </c>
      <c r="O210" s="228">
        <v>0.1</v>
      </c>
      <c r="P210" s="229">
        <v>2.0000000000000001E-4</v>
      </c>
      <c r="Q210" s="228">
        <v>623.29999999999995</v>
      </c>
      <c r="R210" s="228">
        <v>623.45000000000005</v>
      </c>
      <c r="S210" s="228">
        <v>-0.15</v>
      </c>
      <c r="T210" s="229">
        <v>-2.0000000000000001E-4</v>
      </c>
      <c r="U210" s="228">
        <v>624.1</v>
      </c>
      <c r="V210" s="228">
        <v>624.54999999999995</v>
      </c>
      <c r="W210" s="228">
        <v>-0.45</v>
      </c>
      <c r="X210" s="229">
        <v>-6.9999999999999999E-4</v>
      </c>
      <c r="Y210" s="228">
        <v>0</v>
      </c>
      <c r="Z210" s="228">
        <v>0.35</v>
      </c>
      <c r="AA210" s="228">
        <v>-0.35</v>
      </c>
      <c r="AB210" s="229">
        <v>0</v>
      </c>
      <c r="AC210" s="228">
        <v>0</v>
      </c>
      <c r="AD210" s="228">
        <v>0.35</v>
      </c>
      <c r="AE210" s="228">
        <v>-0.35</v>
      </c>
      <c r="AF210" s="229">
        <v>0</v>
      </c>
      <c r="AG210" s="228">
        <v>1.1000000000000001</v>
      </c>
      <c r="AH210" s="228">
        <v>1.7</v>
      </c>
      <c r="AI210" s="228">
        <v>-0.6</v>
      </c>
      <c r="AJ210" s="229">
        <v>1.8E-3</v>
      </c>
      <c r="AK210" s="228">
        <v>1.9</v>
      </c>
      <c r="AL210" s="228">
        <v>2.8</v>
      </c>
      <c r="AM210" s="228">
        <v>-0.9</v>
      </c>
      <c r="AN210" s="229">
        <v>3.0999999999999999E-3</v>
      </c>
      <c r="AO210" s="228">
        <v>623.84</v>
      </c>
      <c r="AP210" s="228">
        <v>625.63</v>
      </c>
      <c r="AQ210" s="228">
        <v>0</v>
      </c>
      <c r="AR210" s="230">
        <v>13537800</v>
      </c>
      <c r="AS210" s="230">
        <v>16660050</v>
      </c>
      <c r="AT210" s="230">
        <v>-3122250</v>
      </c>
      <c r="AU210" s="229">
        <v>-0.18740000000000001</v>
      </c>
      <c r="AV210" s="230">
        <v>12408500</v>
      </c>
      <c r="AW210" s="230">
        <v>15418050</v>
      </c>
      <c r="AX210" s="230">
        <v>-3009550</v>
      </c>
      <c r="AY210" s="229">
        <v>-0.19520000000000001</v>
      </c>
      <c r="AZ210" s="230">
        <v>991300</v>
      </c>
      <c r="BA210" s="230">
        <v>869400</v>
      </c>
      <c r="BB210" s="230">
        <v>121900</v>
      </c>
      <c r="BC210" s="229">
        <v>0.14019999999999999</v>
      </c>
      <c r="BD210" s="230">
        <v>138000</v>
      </c>
      <c r="BE210" s="230">
        <v>372600</v>
      </c>
      <c r="BF210" s="230">
        <v>-234600</v>
      </c>
      <c r="BG210" s="229">
        <v>-0.62960000000000005</v>
      </c>
      <c r="BH210" s="230">
        <v>36694200</v>
      </c>
      <c r="BI210" s="230">
        <v>52541200</v>
      </c>
      <c r="BJ210" s="230">
        <v>-15847000</v>
      </c>
      <c r="BK210" s="229">
        <v>-0.30159999999999998</v>
      </c>
      <c r="BL210" s="230">
        <v>22919500</v>
      </c>
      <c r="BM210" s="230">
        <v>25036650</v>
      </c>
      <c r="BN210" s="230">
        <v>-2117150</v>
      </c>
      <c r="BO210" s="229">
        <v>-8.4599999999999995E-2</v>
      </c>
      <c r="BP210" s="230">
        <v>73151500</v>
      </c>
      <c r="BQ210" s="230">
        <v>94237900</v>
      </c>
      <c r="BR210" s="230">
        <v>-21086400</v>
      </c>
      <c r="BS210" s="229">
        <v>-0.2238</v>
      </c>
      <c r="BT210" s="230">
        <v>10714747</v>
      </c>
      <c r="BU210" s="230">
        <v>11357273</v>
      </c>
      <c r="BV210" s="230">
        <v>-642526</v>
      </c>
      <c r="BW210" s="229">
        <v>-5.6599999999999998E-2</v>
      </c>
      <c r="BX210" s="230">
        <v>89882850</v>
      </c>
      <c r="BY210" s="230">
        <v>91288150</v>
      </c>
      <c r="BZ210" s="230">
        <v>-1405300</v>
      </c>
      <c r="CA210" s="229">
        <v>-1.54E-2</v>
      </c>
      <c r="CB210" s="230">
        <v>87293050</v>
      </c>
      <c r="CC210" s="230">
        <v>88988150</v>
      </c>
      <c r="CD210" s="230">
        <v>-1695100</v>
      </c>
      <c r="CE210" s="229">
        <v>-1.9E-2</v>
      </c>
      <c r="CF210" s="230">
        <v>2147050</v>
      </c>
      <c r="CG210" s="230">
        <v>1872200</v>
      </c>
      <c r="CH210" s="230">
        <v>274850</v>
      </c>
      <c r="CI210" s="229">
        <v>0.14680000000000001</v>
      </c>
      <c r="CJ210" s="230">
        <v>442750</v>
      </c>
      <c r="CK210" s="230">
        <v>427800</v>
      </c>
      <c r="CL210" s="230">
        <v>14950</v>
      </c>
      <c r="CM210" s="229">
        <v>3.49E-2</v>
      </c>
      <c r="CN210" s="230">
        <v>40678950</v>
      </c>
      <c r="CO210" s="230">
        <v>39762400</v>
      </c>
      <c r="CP210" s="230">
        <v>916550</v>
      </c>
      <c r="CQ210" s="229">
        <v>2.3099999999999999E-2</v>
      </c>
      <c r="CR210" s="230">
        <v>24202900</v>
      </c>
      <c r="CS210" s="230">
        <v>23132250</v>
      </c>
      <c r="CT210" s="230">
        <v>1070650</v>
      </c>
      <c r="CU210" s="229">
        <v>4.6300000000000001E-2</v>
      </c>
      <c r="CV210" s="230">
        <v>154764700</v>
      </c>
      <c r="CW210" s="230">
        <v>154182800</v>
      </c>
      <c r="CX210" s="230">
        <v>581900</v>
      </c>
      <c r="CY210" s="229">
        <v>3.8E-3</v>
      </c>
      <c r="CZ210" s="228">
        <v>30.28</v>
      </c>
      <c r="DA210" s="228">
        <v>29.75</v>
      </c>
      <c r="DB210" s="228">
        <v>0.53</v>
      </c>
      <c r="DC210" s="228">
        <v>0.53</v>
      </c>
      <c r="DD210" s="228">
        <v>36.33</v>
      </c>
      <c r="DE210" s="228">
        <v>36.42</v>
      </c>
      <c r="DF210" s="228">
        <v>-6.05</v>
      </c>
      <c r="DG210" s="228">
        <v>-0.09</v>
      </c>
      <c r="DH210" s="228">
        <v>30.51</v>
      </c>
      <c r="DI210" s="228">
        <v>29.79</v>
      </c>
      <c r="DJ210" s="228">
        <v>0.72</v>
      </c>
      <c r="DK210" s="228">
        <v>0.72</v>
      </c>
      <c r="DL210" s="228">
        <v>29.89</v>
      </c>
      <c r="DM210" s="228">
        <v>29.66</v>
      </c>
      <c r="DN210" s="228">
        <v>0.23</v>
      </c>
      <c r="DO210" s="228">
        <v>0.23</v>
      </c>
      <c r="DP210" s="228">
        <v>0.59</v>
      </c>
      <c r="DQ210" s="228">
        <v>0.57999999999999996</v>
      </c>
      <c r="DR210" s="228">
        <v>0.01</v>
      </c>
      <c r="DS210" s="229">
        <v>1.72E-2</v>
      </c>
      <c r="DT210" s="228">
        <v>650</v>
      </c>
      <c r="DU210" s="228">
        <v>600</v>
      </c>
      <c r="DV210" s="228">
        <v>0.62</v>
      </c>
      <c r="DW210" s="228">
        <v>0.48</v>
      </c>
      <c r="DX210" s="228">
        <v>0.14000000000000001</v>
      </c>
      <c r="DY210" s="229">
        <v>0.29170000000000001</v>
      </c>
      <c r="DZ210" s="229">
        <v>2.8799999999999999E-2</v>
      </c>
      <c r="EA210" s="230">
        <v>2300000</v>
      </c>
      <c r="EB210" s="229">
        <v>1.8E-3</v>
      </c>
      <c r="EC210" s="229">
        <v>2.8799999999999999E-2</v>
      </c>
      <c r="ED210" s="228">
        <v>1.79</v>
      </c>
      <c r="EE210" s="229">
        <v>2.8999999999999998E-3</v>
      </c>
      <c r="EF210" s="230">
        <v>6397645</v>
      </c>
      <c r="EG210" s="230">
        <v>5406884</v>
      </c>
      <c r="EH210" s="229">
        <v>0.1832</v>
      </c>
      <c r="EI210" s="229">
        <v>0.59709999999999996</v>
      </c>
      <c r="EJ210" s="231">
        <v>240061.99</v>
      </c>
      <c r="EK210" s="231">
        <v>140386.12</v>
      </c>
      <c r="EL210" s="231">
        <v>84477.17</v>
      </c>
      <c r="EM210" s="231">
        <v>10959</v>
      </c>
      <c r="EN210" s="231">
        <v>464925.28</v>
      </c>
      <c r="EO210" s="231">
        <v>599391.76</v>
      </c>
      <c r="EP210" s="231">
        <v>-134466.48000000001</v>
      </c>
      <c r="EQ210" s="229">
        <v>-0.2243</v>
      </c>
      <c r="ER210" s="231">
        <v>255718</v>
      </c>
      <c r="ES210" s="231">
        <v>138812</v>
      </c>
      <c r="ET210" s="231">
        <v>559283</v>
      </c>
      <c r="EU210" s="231">
        <v>255091106</v>
      </c>
      <c r="EV210" s="231">
        <v>953812</v>
      </c>
      <c r="EW210" s="231">
        <v>949615</v>
      </c>
      <c r="EX210" s="231">
        <v>4197</v>
      </c>
      <c r="EY210" s="229">
        <v>4.4000000000000003E-3</v>
      </c>
      <c r="EZ210" s="229">
        <v>0.60670000000000002</v>
      </c>
      <c r="FA210" s="227" t="s">
        <v>556</v>
      </c>
      <c r="FB210" s="161">
        <f t="shared" si="5"/>
        <v>0</v>
      </c>
    </row>
    <row r="211" spans="1:158" ht="17.25" thickBot="1" x14ac:dyDescent="0.3">
      <c r="A211" s="226">
        <v>46029</v>
      </c>
      <c r="B211" s="227" t="s">
        <v>184</v>
      </c>
      <c r="C211" s="227" t="s">
        <v>305</v>
      </c>
      <c r="D211" s="228">
        <v>375</v>
      </c>
      <c r="E211" s="231">
        <v>1510.1</v>
      </c>
      <c r="F211" s="231">
        <v>1491.5</v>
      </c>
      <c r="G211" s="228">
        <v>18.600000000000001</v>
      </c>
      <c r="H211" s="229">
        <v>1.2500000000000001E-2</v>
      </c>
      <c r="I211" s="231">
        <v>1507.6</v>
      </c>
      <c r="J211" s="231">
        <v>1486.2</v>
      </c>
      <c r="K211" s="228">
        <v>21.4</v>
      </c>
      <c r="L211" s="229">
        <v>1.44E-2</v>
      </c>
      <c r="M211" s="231">
        <v>1510.1</v>
      </c>
      <c r="N211" s="231">
        <v>1491.5</v>
      </c>
      <c r="O211" s="228">
        <v>18.600000000000001</v>
      </c>
      <c r="P211" s="229">
        <v>1.2500000000000001E-2</v>
      </c>
      <c r="Q211" s="231">
        <v>1505.2</v>
      </c>
      <c r="R211" s="231">
        <v>1484</v>
      </c>
      <c r="S211" s="228">
        <v>21.2</v>
      </c>
      <c r="T211" s="229">
        <v>1.43E-2</v>
      </c>
      <c r="U211" s="231">
        <v>1502.2</v>
      </c>
      <c r="V211" s="231">
        <v>1478.4</v>
      </c>
      <c r="W211" s="228">
        <v>23.8</v>
      </c>
      <c r="X211" s="229">
        <v>1.61E-2</v>
      </c>
      <c r="Y211" s="228">
        <v>2.5</v>
      </c>
      <c r="Z211" s="228">
        <v>5.3</v>
      </c>
      <c r="AA211" s="228">
        <v>-2.8</v>
      </c>
      <c r="AB211" s="229">
        <v>1.6999999999999999E-3</v>
      </c>
      <c r="AC211" s="228">
        <v>2.5</v>
      </c>
      <c r="AD211" s="228">
        <v>5.3</v>
      </c>
      <c r="AE211" s="228">
        <v>-2.8</v>
      </c>
      <c r="AF211" s="229">
        <v>1.6999999999999999E-3</v>
      </c>
      <c r="AG211" s="228">
        <v>-2.4</v>
      </c>
      <c r="AH211" s="228">
        <v>-2.2000000000000002</v>
      </c>
      <c r="AI211" s="228">
        <v>-0.2</v>
      </c>
      <c r="AJ211" s="229">
        <v>-1.6000000000000001E-3</v>
      </c>
      <c r="AK211" s="228">
        <v>-5.4</v>
      </c>
      <c r="AL211" s="228">
        <v>-7.8</v>
      </c>
      <c r="AM211" s="228">
        <v>2.4</v>
      </c>
      <c r="AN211" s="229">
        <v>-3.5999999999999999E-3</v>
      </c>
      <c r="AO211" s="231">
        <v>1505.45</v>
      </c>
      <c r="AP211" s="231">
        <v>1501.87</v>
      </c>
      <c r="AQ211" s="228">
        <v>0</v>
      </c>
      <c r="AR211" s="230">
        <v>1671000</v>
      </c>
      <c r="AS211" s="230">
        <v>2663250</v>
      </c>
      <c r="AT211" s="230">
        <v>-992250</v>
      </c>
      <c r="AU211" s="229">
        <v>-0.37259999999999999</v>
      </c>
      <c r="AV211" s="230">
        <v>1549875</v>
      </c>
      <c r="AW211" s="230">
        <v>2548125</v>
      </c>
      <c r="AX211" s="230">
        <v>-998250</v>
      </c>
      <c r="AY211" s="229">
        <v>-0.39179999999999998</v>
      </c>
      <c r="AZ211" s="230">
        <v>105375</v>
      </c>
      <c r="BA211" s="230">
        <v>99375</v>
      </c>
      <c r="BB211" s="230">
        <v>6000</v>
      </c>
      <c r="BC211" s="229">
        <v>6.0400000000000002E-2</v>
      </c>
      <c r="BD211" s="230">
        <v>15750</v>
      </c>
      <c r="BE211" s="230">
        <v>15750</v>
      </c>
      <c r="BF211" s="228">
        <v>0</v>
      </c>
      <c r="BG211" s="229">
        <v>0</v>
      </c>
      <c r="BH211" s="230">
        <v>5269500</v>
      </c>
      <c r="BI211" s="230">
        <v>8258250</v>
      </c>
      <c r="BJ211" s="230">
        <v>-2988750</v>
      </c>
      <c r="BK211" s="229">
        <v>-0.3619</v>
      </c>
      <c r="BL211" s="230">
        <v>3031500</v>
      </c>
      <c r="BM211" s="230">
        <v>3704625</v>
      </c>
      <c r="BN211" s="230">
        <v>-673125</v>
      </c>
      <c r="BO211" s="229">
        <v>-0.1817</v>
      </c>
      <c r="BP211" s="230">
        <v>9972000</v>
      </c>
      <c r="BQ211" s="230">
        <v>14626125</v>
      </c>
      <c r="BR211" s="230">
        <v>-4654125</v>
      </c>
      <c r="BS211" s="229">
        <v>-0.31819999999999998</v>
      </c>
      <c r="BT211" s="230">
        <v>1202377</v>
      </c>
      <c r="BU211" s="230">
        <v>1301058</v>
      </c>
      <c r="BV211" s="230">
        <v>-98681</v>
      </c>
      <c r="BW211" s="229">
        <v>-7.5800000000000006E-2</v>
      </c>
      <c r="BX211" s="230">
        <v>10305000</v>
      </c>
      <c r="BY211" s="230">
        <v>10381500</v>
      </c>
      <c r="BZ211" s="230">
        <v>-76500</v>
      </c>
      <c r="CA211" s="229">
        <v>-7.4000000000000003E-3</v>
      </c>
      <c r="CB211" s="230">
        <v>10031625</v>
      </c>
      <c r="CC211" s="230">
        <v>10131375</v>
      </c>
      <c r="CD211" s="230">
        <v>-99750</v>
      </c>
      <c r="CE211" s="229">
        <v>-9.7999999999999997E-3</v>
      </c>
      <c r="CF211" s="230">
        <v>229500</v>
      </c>
      <c r="CG211" s="230">
        <v>203625</v>
      </c>
      <c r="CH211" s="230">
        <v>25875</v>
      </c>
      <c r="CI211" s="229">
        <v>0.12709999999999999</v>
      </c>
      <c r="CJ211" s="230">
        <v>43875</v>
      </c>
      <c r="CK211" s="230">
        <v>46500</v>
      </c>
      <c r="CL211" s="230">
        <v>-2625</v>
      </c>
      <c r="CM211" s="229">
        <v>-5.6500000000000002E-2</v>
      </c>
      <c r="CN211" s="230">
        <v>2955750</v>
      </c>
      <c r="CO211" s="230">
        <v>2992875</v>
      </c>
      <c r="CP211" s="230">
        <v>-37125</v>
      </c>
      <c r="CQ211" s="229">
        <v>-1.24E-2</v>
      </c>
      <c r="CR211" s="230">
        <v>3371625</v>
      </c>
      <c r="CS211" s="230">
        <v>2859000</v>
      </c>
      <c r="CT211" s="230">
        <v>512625</v>
      </c>
      <c r="CU211" s="229">
        <v>0.17929999999999999</v>
      </c>
      <c r="CV211" s="230">
        <v>16632375</v>
      </c>
      <c r="CW211" s="230">
        <v>16233375</v>
      </c>
      <c r="CX211" s="230">
        <v>399000</v>
      </c>
      <c r="CY211" s="229">
        <v>2.46E-2</v>
      </c>
      <c r="CZ211" s="228">
        <v>25.63</v>
      </c>
      <c r="DA211" s="228">
        <v>26.17</v>
      </c>
      <c r="DB211" s="228">
        <v>-0.54</v>
      </c>
      <c r="DC211" s="228">
        <v>-0.54</v>
      </c>
      <c r="DD211" s="228">
        <v>36.07</v>
      </c>
      <c r="DE211" s="228">
        <v>36.11</v>
      </c>
      <c r="DF211" s="228">
        <v>-10.44</v>
      </c>
      <c r="DG211" s="228">
        <v>-0.04</v>
      </c>
      <c r="DH211" s="228">
        <v>24.92</v>
      </c>
      <c r="DI211" s="228">
        <v>25.84</v>
      </c>
      <c r="DJ211" s="228">
        <v>-0.92</v>
      </c>
      <c r="DK211" s="228">
        <v>-0.92</v>
      </c>
      <c r="DL211" s="228">
        <v>26.85</v>
      </c>
      <c r="DM211" s="228">
        <v>26.89</v>
      </c>
      <c r="DN211" s="228">
        <v>-0.04</v>
      </c>
      <c r="DO211" s="228">
        <v>-0.04</v>
      </c>
      <c r="DP211" s="228">
        <v>1.1399999999999999</v>
      </c>
      <c r="DQ211" s="228">
        <v>0.96</v>
      </c>
      <c r="DR211" s="228">
        <v>0.18</v>
      </c>
      <c r="DS211" s="229">
        <v>0.1875</v>
      </c>
      <c r="DT211" s="231">
        <v>1600</v>
      </c>
      <c r="DU211" s="231">
        <v>1400</v>
      </c>
      <c r="DV211" s="228">
        <v>0.57999999999999996</v>
      </c>
      <c r="DW211" s="228">
        <v>0.45</v>
      </c>
      <c r="DX211" s="228">
        <v>0.13</v>
      </c>
      <c r="DY211" s="229">
        <v>0.28889999999999999</v>
      </c>
      <c r="DZ211" s="229">
        <v>2.6499999999999999E-2</v>
      </c>
      <c r="EA211" s="230">
        <v>250125</v>
      </c>
      <c r="EB211" s="229">
        <v>-3.2000000000000002E-3</v>
      </c>
      <c r="EC211" s="229">
        <v>2.6499999999999999E-2</v>
      </c>
      <c r="ED211" s="228">
        <v>-3.58</v>
      </c>
      <c r="EE211" s="229">
        <v>-2.3999999999999998E-3</v>
      </c>
      <c r="EF211" s="230">
        <v>831888</v>
      </c>
      <c r="EG211" s="230">
        <v>616179</v>
      </c>
      <c r="EH211" s="229">
        <v>0.35010000000000002</v>
      </c>
      <c r="EI211" s="229">
        <v>0.69189999999999996</v>
      </c>
      <c r="EJ211" s="231">
        <v>82296.03</v>
      </c>
      <c r="EK211" s="231">
        <v>44220.639999999999</v>
      </c>
      <c r="EL211" s="231">
        <v>25151.27</v>
      </c>
      <c r="EM211" s="231">
        <v>5901</v>
      </c>
      <c r="EN211" s="231">
        <v>151667.94</v>
      </c>
      <c r="EO211" s="231">
        <v>222009.61</v>
      </c>
      <c r="EP211" s="231">
        <v>-70341.67</v>
      </c>
      <c r="EQ211" s="229">
        <v>-0.31680000000000003</v>
      </c>
      <c r="ER211" s="231">
        <v>44840</v>
      </c>
      <c r="ES211" s="231">
        <v>46926</v>
      </c>
      <c r="ET211" s="231">
        <v>155601</v>
      </c>
      <c r="EU211" s="231">
        <v>34594689</v>
      </c>
      <c r="EV211" s="231">
        <v>247367</v>
      </c>
      <c r="EW211" s="231">
        <v>239570</v>
      </c>
      <c r="EX211" s="231">
        <v>7797</v>
      </c>
      <c r="EY211" s="229">
        <v>3.2500000000000001E-2</v>
      </c>
      <c r="EZ211" s="229">
        <v>0.48080000000000001</v>
      </c>
      <c r="FA211" s="227" t="s">
        <v>556</v>
      </c>
      <c r="FB211" s="161">
        <f t="shared" si="5"/>
        <v>0</v>
      </c>
    </row>
    <row r="212" spans="1:158" ht="17.25" thickBot="1" x14ac:dyDescent="0.3">
      <c r="A212" s="226">
        <v>46029</v>
      </c>
      <c r="B212" s="227" t="s">
        <v>184</v>
      </c>
      <c r="C212" s="227" t="s">
        <v>692</v>
      </c>
      <c r="D212" s="228">
        <v>175</v>
      </c>
      <c r="E212" s="231">
        <v>2674.2</v>
      </c>
      <c r="F212" s="231">
        <v>2633.6</v>
      </c>
      <c r="G212" s="228">
        <v>40.6</v>
      </c>
      <c r="H212" s="229">
        <v>1.54E-2</v>
      </c>
      <c r="I212" s="231">
        <v>2673.1</v>
      </c>
      <c r="J212" s="231">
        <v>2634.4</v>
      </c>
      <c r="K212" s="228">
        <v>38.700000000000003</v>
      </c>
      <c r="L212" s="229">
        <v>1.47E-2</v>
      </c>
      <c r="M212" s="231">
        <v>2674.2</v>
      </c>
      <c r="N212" s="231">
        <v>2633.6</v>
      </c>
      <c r="O212" s="228">
        <v>40.6</v>
      </c>
      <c r="P212" s="229">
        <v>1.54E-2</v>
      </c>
      <c r="Q212" s="231">
        <v>2676.3</v>
      </c>
      <c r="R212" s="231">
        <v>2633</v>
      </c>
      <c r="S212" s="228">
        <v>43.3</v>
      </c>
      <c r="T212" s="229">
        <v>1.6400000000000001E-2</v>
      </c>
      <c r="U212" s="231">
        <v>2675.5</v>
      </c>
      <c r="V212" s="231">
        <v>2638</v>
      </c>
      <c r="W212" s="228">
        <v>37.5</v>
      </c>
      <c r="X212" s="229">
        <v>1.4200000000000001E-2</v>
      </c>
      <c r="Y212" s="228">
        <v>1.1000000000000001</v>
      </c>
      <c r="Z212" s="228">
        <v>-0.8</v>
      </c>
      <c r="AA212" s="228">
        <v>1.9</v>
      </c>
      <c r="AB212" s="229">
        <v>4.0000000000000002E-4</v>
      </c>
      <c r="AC212" s="228">
        <v>1.1000000000000001</v>
      </c>
      <c r="AD212" s="228">
        <v>-0.8</v>
      </c>
      <c r="AE212" s="228">
        <v>1.9</v>
      </c>
      <c r="AF212" s="229">
        <v>4.0000000000000002E-4</v>
      </c>
      <c r="AG212" s="228">
        <v>3.2</v>
      </c>
      <c r="AH212" s="228">
        <v>-1.4</v>
      </c>
      <c r="AI212" s="228">
        <v>4.5999999999999996</v>
      </c>
      <c r="AJ212" s="229">
        <v>1.1999999999999999E-3</v>
      </c>
      <c r="AK212" s="228">
        <v>2.4</v>
      </c>
      <c r="AL212" s="228">
        <v>3.6</v>
      </c>
      <c r="AM212" s="228">
        <v>-1.2</v>
      </c>
      <c r="AN212" s="229">
        <v>8.9999999999999998E-4</v>
      </c>
      <c r="AO212" s="231">
        <v>2640</v>
      </c>
      <c r="AP212" s="231">
        <v>2639.4</v>
      </c>
      <c r="AQ212" s="228">
        <v>0</v>
      </c>
      <c r="AR212" s="230">
        <v>966350</v>
      </c>
      <c r="AS212" s="230">
        <v>1692600</v>
      </c>
      <c r="AT212" s="230">
        <v>-726250</v>
      </c>
      <c r="AU212" s="229">
        <v>-0.42909999999999998</v>
      </c>
      <c r="AV212" s="230">
        <v>712075</v>
      </c>
      <c r="AW212" s="230">
        <v>1481025</v>
      </c>
      <c r="AX212" s="230">
        <v>-768950</v>
      </c>
      <c r="AY212" s="229">
        <v>-0.51919999999999999</v>
      </c>
      <c r="AZ212" s="230">
        <v>242025</v>
      </c>
      <c r="BA212" s="230">
        <v>197575</v>
      </c>
      <c r="BB212" s="230">
        <v>44450</v>
      </c>
      <c r="BC212" s="229">
        <v>0.22500000000000001</v>
      </c>
      <c r="BD212" s="230">
        <v>12250</v>
      </c>
      <c r="BE212" s="230">
        <v>14000</v>
      </c>
      <c r="BF212" s="230">
        <v>-1750</v>
      </c>
      <c r="BG212" s="229">
        <v>-0.125</v>
      </c>
      <c r="BH212" s="230">
        <v>2578100</v>
      </c>
      <c r="BI212" s="230">
        <v>4451650</v>
      </c>
      <c r="BJ212" s="230">
        <v>-1873550</v>
      </c>
      <c r="BK212" s="229">
        <v>-0.4209</v>
      </c>
      <c r="BL212" s="230">
        <v>865200</v>
      </c>
      <c r="BM212" s="230">
        <v>3745525</v>
      </c>
      <c r="BN212" s="230">
        <v>-2880325</v>
      </c>
      <c r="BO212" s="229">
        <v>-0.76900000000000002</v>
      </c>
      <c r="BP212" s="230">
        <v>4409650</v>
      </c>
      <c r="BQ212" s="230">
        <v>9889775</v>
      </c>
      <c r="BR212" s="230">
        <v>-5480125</v>
      </c>
      <c r="BS212" s="229">
        <v>-0.55410000000000004</v>
      </c>
      <c r="BT212" s="230">
        <v>1623062</v>
      </c>
      <c r="BU212" s="230">
        <v>2812155</v>
      </c>
      <c r="BV212" s="230">
        <v>-1189093</v>
      </c>
      <c r="BW212" s="229">
        <v>-0.42280000000000001</v>
      </c>
      <c r="BX212" s="230">
        <v>2687825</v>
      </c>
      <c r="BY212" s="230">
        <v>2415700</v>
      </c>
      <c r="BZ212" s="230">
        <v>272125</v>
      </c>
      <c r="CA212" s="229">
        <v>0.11260000000000001</v>
      </c>
      <c r="CB212" s="230">
        <v>2298625</v>
      </c>
      <c r="CC212" s="230">
        <v>2189075</v>
      </c>
      <c r="CD212" s="230">
        <v>109550</v>
      </c>
      <c r="CE212" s="229">
        <v>0.05</v>
      </c>
      <c r="CF212" s="230">
        <v>364175</v>
      </c>
      <c r="CG212" s="230">
        <v>204050</v>
      </c>
      <c r="CH212" s="230">
        <v>160125</v>
      </c>
      <c r="CI212" s="229">
        <v>0.78469999999999995</v>
      </c>
      <c r="CJ212" s="230">
        <v>25025</v>
      </c>
      <c r="CK212" s="230">
        <v>22575</v>
      </c>
      <c r="CL212" s="230">
        <v>2450</v>
      </c>
      <c r="CM212" s="229">
        <v>0.1085</v>
      </c>
      <c r="CN212" s="230">
        <v>2229325</v>
      </c>
      <c r="CO212" s="230">
        <v>2166500</v>
      </c>
      <c r="CP212" s="230">
        <v>62825</v>
      </c>
      <c r="CQ212" s="229">
        <v>2.9000000000000001E-2</v>
      </c>
      <c r="CR212" s="230">
        <v>1047375</v>
      </c>
      <c r="CS212" s="230">
        <v>965650</v>
      </c>
      <c r="CT212" s="230">
        <v>81725</v>
      </c>
      <c r="CU212" s="229">
        <v>8.4599999999999995E-2</v>
      </c>
      <c r="CV212" s="230">
        <v>5964525</v>
      </c>
      <c r="CW212" s="230">
        <v>5547850</v>
      </c>
      <c r="CX212" s="230">
        <v>416675</v>
      </c>
      <c r="CY212" s="229">
        <v>7.51E-2</v>
      </c>
      <c r="CZ212" s="228">
        <v>45.29</v>
      </c>
      <c r="DA212" s="228">
        <v>45.78</v>
      </c>
      <c r="DB212" s="228">
        <v>-0.49</v>
      </c>
      <c r="DC212" s="228">
        <v>-0.49</v>
      </c>
      <c r="DD212" s="228">
        <v>49.41</v>
      </c>
      <c r="DE212" s="228">
        <v>49.49</v>
      </c>
      <c r="DF212" s="228">
        <v>-4.12</v>
      </c>
      <c r="DG212" s="228">
        <v>-0.08</v>
      </c>
      <c r="DH212" s="228">
        <v>44.38</v>
      </c>
      <c r="DI212" s="228">
        <v>45.09</v>
      </c>
      <c r="DJ212" s="228">
        <v>-0.71</v>
      </c>
      <c r="DK212" s="228">
        <v>-0.71</v>
      </c>
      <c r="DL212" s="228">
        <v>48.01</v>
      </c>
      <c r="DM212" s="228">
        <v>46.6</v>
      </c>
      <c r="DN212" s="228">
        <v>1.41</v>
      </c>
      <c r="DO212" s="228">
        <v>1.41</v>
      </c>
      <c r="DP212" s="228">
        <v>0.47</v>
      </c>
      <c r="DQ212" s="228">
        <v>0.45</v>
      </c>
      <c r="DR212" s="228">
        <v>0.02</v>
      </c>
      <c r="DS212" s="229">
        <v>4.4400000000000002E-2</v>
      </c>
      <c r="DT212" s="231">
        <v>3000</v>
      </c>
      <c r="DU212" s="231">
        <v>2500</v>
      </c>
      <c r="DV212" s="228">
        <v>0.34</v>
      </c>
      <c r="DW212" s="228">
        <v>0.84</v>
      </c>
      <c r="DX212" s="228">
        <v>-0.5</v>
      </c>
      <c r="DY212" s="229">
        <v>-0.59519999999999995</v>
      </c>
      <c r="DZ212" s="229">
        <v>0.14480000000000001</v>
      </c>
      <c r="EA212" s="230">
        <v>226625</v>
      </c>
      <c r="EB212" s="229">
        <v>8.0000000000000004E-4</v>
      </c>
      <c r="EC212" s="229">
        <v>0.14480000000000001</v>
      </c>
      <c r="ED212" s="228">
        <v>-0.6</v>
      </c>
      <c r="EE212" s="229">
        <v>-2.0000000000000001E-4</v>
      </c>
      <c r="EF212" s="230">
        <v>438049</v>
      </c>
      <c r="EG212" s="230">
        <v>778848</v>
      </c>
      <c r="EH212" s="229">
        <v>-0.43759999999999999</v>
      </c>
      <c r="EI212" s="229">
        <v>0.26989999999999997</v>
      </c>
      <c r="EJ212" s="231">
        <v>75022.28</v>
      </c>
      <c r="EK212" s="231">
        <v>22075.82</v>
      </c>
      <c r="EL212" s="231">
        <v>25509.66</v>
      </c>
      <c r="EM212" s="231">
        <v>5907</v>
      </c>
      <c r="EN212" s="231">
        <v>122607.76</v>
      </c>
      <c r="EO212" s="231">
        <v>273191.21999999997</v>
      </c>
      <c r="EP212" s="231">
        <v>-150583.46</v>
      </c>
      <c r="EQ212" s="229">
        <v>-0.55120000000000002</v>
      </c>
      <c r="ER212" s="231">
        <v>65975</v>
      </c>
      <c r="ES212" s="231">
        <v>26864</v>
      </c>
      <c r="ET212" s="231">
        <v>71886</v>
      </c>
      <c r="EU212" s="231">
        <v>15436318</v>
      </c>
      <c r="EV212" s="231">
        <v>164724</v>
      </c>
      <c r="EW212" s="231">
        <v>152418</v>
      </c>
      <c r="EX212" s="231">
        <v>12306</v>
      </c>
      <c r="EY212" s="229">
        <v>8.0699999999999994E-2</v>
      </c>
      <c r="EZ212" s="229">
        <v>0.38640000000000002</v>
      </c>
      <c r="FA212" s="227" t="s">
        <v>555</v>
      </c>
      <c r="FB212" s="161">
        <f t="shared" si="5"/>
        <v>0</v>
      </c>
    </row>
    <row r="213" spans="1:158" ht="17.25" thickBot="1" x14ac:dyDescent="0.3">
      <c r="A213" s="226">
        <v>46029</v>
      </c>
      <c r="B213" s="227" t="s">
        <v>221</v>
      </c>
      <c r="C213" s="227" t="s">
        <v>306</v>
      </c>
      <c r="D213" s="228">
        <v>3000</v>
      </c>
      <c r="E213" s="228">
        <v>268.10000000000002</v>
      </c>
      <c r="F213" s="228">
        <v>263.25</v>
      </c>
      <c r="G213" s="228">
        <v>4.8499999999999996</v>
      </c>
      <c r="H213" s="229">
        <v>1.84E-2</v>
      </c>
      <c r="I213" s="228">
        <v>270.8</v>
      </c>
      <c r="J213" s="228">
        <v>265.60000000000002</v>
      </c>
      <c r="K213" s="228">
        <v>5.2</v>
      </c>
      <c r="L213" s="229">
        <v>1.9599999999999999E-2</v>
      </c>
      <c r="M213" s="228">
        <v>268.10000000000002</v>
      </c>
      <c r="N213" s="228">
        <v>263.25</v>
      </c>
      <c r="O213" s="228">
        <v>4.8499999999999996</v>
      </c>
      <c r="P213" s="229">
        <v>1.84E-2</v>
      </c>
      <c r="Q213" s="228">
        <v>267.45</v>
      </c>
      <c r="R213" s="228">
        <v>262.95</v>
      </c>
      <c r="S213" s="228">
        <v>4.5</v>
      </c>
      <c r="T213" s="229">
        <v>1.7100000000000001E-2</v>
      </c>
      <c r="U213" s="228">
        <v>267.60000000000002</v>
      </c>
      <c r="V213" s="228">
        <v>262.75</v>
      </c>
      <c r="W213" s="228">
        <v>4.8499999999999996</v>
      </c>
      <c r="X213" s="229">
        <v>1.8499999999999999E-2</v>
      </c>
      <c r="Y213" s="228">
        <v>-2.7</v>
      </c>
      <c r="Z213" s="228">
        <v>-2.35</v>
      </c>
      <c r="AA213" s="228">
        <v>-0.35</v>
      </c>
      <c r="AB213" s="229">
        <v>-0.01</v>
      </c>
      <c r="AC213" s="228">
        <v>-2.7</v>
      </c>
      <c r="AD213" s="228">
        <v>-2.35</v>
      </c>
      <c r="AE213" s="228">
        <v>-0.35</v>
      </c>
      <c r="AF213" s="229">
        <v>-0.01</v>
      </c>
      <c r="AG213" s="228">
        <v>-3.35</v>
      </c>
      <c r="AH213" s="228">
        <v>-2.65</v>
      </c>
      <c r="AI213" s="228">
        <v>-0.7</v>
      </c>
      <c r="AJ213" s="229">
        <v>-1.24E-2</v>
      </c>
      <c r="AK213" s="228">
        <v>-3.2</v>
      </c>
      <c r="AL213" s="228">
        <v>-2.85</v>
      </c>
      <c r="AM213" s="228">
        <v>-0.35</v>
      </c>
      <c r="AN213" s="229">
        <v>-1.18E-2</v>
      </c>
      <c r="AO213" s="228">
        <v>267.72000000000003</v>
      </c>
      <c r="AP213" s="228">
        <v>267.39999999999998</v>
      </c>
      <c r="AQ213" s="228">
        <v>0</v>
      </c>
      <c r="AR213" s="230">
        <v>21393000</v>
      </c>
      <c r="AS213" s="230">
        <v>10446000</v>
      </c>
      <c r="AT213" s="230">
        <v>10947000</v>
      </c>
      <c r="AU213" s="229">
        <v>1.048</v>
      </c>
      <c r="AV213" s="230">
        <v>19818000</v>
      </c>
      <c r="AW213" s="230">
        <v>9516000</v>
      </c>
      <c r="AX213" s="230">
        <v>10302000</v>
      </c>
      <c r="AY213" s="229">
        <v>1.0826</v>
      </c>
      <c r="AZ213" s="230">
        <v>1308000</v>
      </c>
      <c r="BA213" s="230">
        <v>804000</v>
      </c>
      <c r="BB213" s="230">
        <v>504000</v>
      </c>
      <c r="BC213" s="229">
        <v>0.62690000000000001</v>
      </c>
      <c r="BD213" s="230">
        <v>267000</v>
      </c>
      <c r="BE213" s="230">
        <v>126000</v>
      </c>
      <c r="BF213" s="230">
        <v>141000</v>
      </c>
      <c r="BG213" s="229">
        <v>1.119</v>
      </c>
      <c r="BH213" s="230">
        <v>68694000</v>
      </c>
      <c r="BI213" s="230">
        <v>19584000</v>
      </c>
      <c r="BJ213" s="230">
        <v>49110000</v>
      </c>
      <c r="BK213" s="229">
        <v>2.5076999999999998</v>
      </c>
      <c r="BL213" s="230">
        <v>24360000</v>
      </c>
      <c r="BM213" s="230">
        <v>9657000</v>
      </c>
      <c r="BN213" s="230">
        <v>14703000</v>
      </c>
      <c r="BO213" s="229">
        <v>1.5225</v>
      </c>
      <c r="BP213" s="230">
        <v>114447000</v>
      </c>
      <c r="BQ213" s="230">
        <v>39687000</v>
      </c>
      <c r="BR213" s="230">
        <v>74760000</v>
      </c>
      <c r="BS213" s="229">
        <v>1.8836999999999999</v>
      </c>
      <c r="BT213" s="230">
        <v>10754859</v>
      </c>
      <c r="BU213" s="230">
        <v>4379131</v>
      </c>
      <c r="BV213" s="230">
        <v>6375728</v>
      </c>
      <c r="BW213" s="229">
        <v>1.4559</v>
      </c>
      <c r="BX213" s="230">
        <v>102828000</v>
      </c>
      <c r="BY213" s="230">
        <v>101982000</v>
      </c>
      <c r="BZ213" s="230">
        <v>846000</v>
      </c>
      <c r="CA213" s="229">
        <v>8.3000000000000001E-3</v>
      </c>
      <c r="CB213" s="230">
        <v>97218000</v>
      </c>
      <c r="CC213" s="230">
        <v>96300000</v>
      </c>
      <c r="CD213" s="230">
        <v>918000</v>
      </c>
      <c r="CE213" s="229">
        <v>9.4999999999999998E-3</v>
      </c>
      <c r="CF213" s="230">
        <v>5175000</v>
      </c>
      <c r="CG213" s="230">
        <v>5256000</v>
      </c>
      <c r="CH213" s="230">
        <v>-81000</v>
      </c>
      <c r="CI213" s="229">
        <v>-1.54E-2</v>
      </c>
      <c r="CJ213" s="230">
        <v>435000</v>
      </c>
      <c r="CK213" s="230">
        <v>426000</v>
      </c>
      <c r="CL213" s="230">
        <v>9000</v>
      </c>
      <c r="CM213" s="229">
        <v>2.1100000000000001E-2</v>
      </c>
      <c r="CN213" s="230">
        <v>35025000</v>
      </c>
      <c r="CO213" s="230">
        <v>33132000</v>
      </c>
      <c r="CP213" s="230">
        <v>1893000</v>
      </c>
      <c r="CQ213" s="229">
        <v>5.7099999999999998E-2</v>
      </c>
      <c r="CR213" s="230">
        <v>25923000</v>
      </c>
      <c r="CS213" s="230">
        <v>25710000</v>
      </c>
      <c r="CT213" s="230">
        <v>213000</v>
      </c>
      <c r="CU213" s="229">
        <v>8.3000000000000001E-3</v>
      </c>
      <c r="CV213" s="230">
        <v>163776000</v>
      </c>
      <c r="CW213" s="230">
        <v>160824000</v>
      </c>
      <c r="CX213" s="230">
        <v>2952000</v>
      </c>
      <c r="CY213" s="229">
        <v>1.84E-2</v>
      </c>
      <c r="CZ213" s="228">
        <v>28.92</v>
      </c>
      <c r="DA213" s="228">
        <v>27.47</v>
      </c>
      <c r="DB213" s="228">
        <v>1.45</v>
      </c>
      <c r="DC213" s="228">
        <v>1.45</v>
      </c>
      <c r="DD213" s="228">
        <v>29.33</v>
      </c>
      <c r="DE213" s="228">
        <v>29.3</v>
      </c>
      <c r="DF213" s="228">
        <v>-0.41</v>
      </c>
      <c r="DG213" s="228">
        <v>0.03</v>
      </c>
      <c r="DH213" s="228">
        <v>28.98</v>
      </c>
      <c r="DI213" s="228">
        <v>27.41</v>
      </c>
      <c r="DJ213" s="228">
        <v>1.57</v>
      </c>
      <c r="DK213" s="228">
        <v>1.57</v>
      </c>
      <c r="DL213" s="228">
        <v>28.76</v>
      </c>
      <c r="DM213" s="228">
        <v>27.6</v>
      </c>
      <c r="DN213" s="228">
        <v>1.1599999999999999</v>
      </c>
      <c r="DO213" s="228">
        <v>1.1599999999999999</v>
      </c>
      <c r="DP213" s="228">
        <v>0.74</v>
      </c>
      <c r="DQ213" s="228">
        <v>0.78</v>
      </c>
      <c r="DR213" s="228">
        <v>-0.04</v>
      </c>
      <c r="DS213" s="229">
        <v>-5.1299999999999998E-2</v>
      </c>
      <c r="DT213" s="228">
        <v>270</v>
      </c>
      <c r="DU213" s="228">
        <v>250</v>
      </c>
      <c r="DV213" s="228">
        <v>0.35</v>
      </c>
      <c r="DW213" s="228">
        <v>0.49</v>
      </c>
      <c r="DX213" s="228">
        <v>-0.14000000000000001</v>
      </c>
      <c r="DY213" s="229">
        <v>-0.28570000000000001</v>
      </c>
      <c r="DZ213" s="229">
        <v>5.4600000000000003E-2</v>
      </c>
      <c r="EA213" s="230">
        <v>5682000</v>
      </c>
      <c r="EB213" s="229">
        <v>-2.3999999999999998E-3</v>
      </c>
      <c r="EC213" s="229">
        <v>5.4600000000000003E-2</v>
      </c>
      <c r="ED213" s="228">
        <v>-0.32</v>
      </c>
      <c r="EE213" s="229">
        <v>-1.1999999999999999E-3</v>
      </c>
      <c r="EF213" s="230">
        <v>4795252</v>
      </c>
      <c r="EG213" s="230">
        <v>2195436</v>
      </c>
      <c r="EH213" s="229">
        <v>1.1841999999999999</v>
      </c>
      <c r="EI213" s="229">
        <v>0.44590000000000002</v>
      </c>
      <c r="EJ213" s="231">
        <v>193387.86</v>
      </c>
      <c r="EK213" s="231">
        <v>64269.79</v>
      </c>
      <c r="EL213" s="231">
        <v>57268.3</v>
      </c>
      <c r="EM213" s="231">
        <v>4680</v>
      </c>
      <c r="EN213" s="231">
        <v>314925.95</v>
      </c>
      <c r="EO213" s="231">
        <v>106569.81</v>
      </c>
      <c r="EP213" s="231">
        <v>208356.14</v>
      </c>
      <c r="EQ213" s="229">
        <v>1.9551000000000001</v>
      </c>
      <c r="ER213" s="231">
        <v>97065</v>
      </c>
      <c r="ES213" s="231">
        <v>66011</v>
      </c>
      <c r="ET213" s="231">
        <v>275646</v>
      </c>
      <c r="EU213" s="231">
        <v>358423198</v>
      </c>
      <c r="EV213" s="231">
        <v>438722</v>
      </c>
      <c r="EW213" s="231">
        <v>425016</v>
      </c>
      <c r="EX213" s="231">
        <v>13706</v>
      </c>
      <c r="EY213" s="229">
        <v>3.2199999999999999E-2</v>
      </c>
      <c r="EZ213" s="229">
        <v>0.45689999999999997</v>
      </c>
      <c r="FA213" s="227" t="s">
        <v>555</v>
      </c>
      <c r="FB213" s="161">
        <f t="shared" si="5"/>
        <v>0</v>
      </c>
    </row>
    <row r="214" spans="1:158" ht="17.25" thickBot="1" x14ac:dyDescent="0.3">
      <c r="A214" s="226">
        <v>46029</v>
      </c>
      <c r="B214" s="227" t="s">
        <v>172</v>
      </c>
      <c r="C214" s="227" t="s">
        <v>590</v>
      </c>
      <c r="D214" s="228">
        <v>31100</v>
      </c>
      <c r="E214" s="228">
        <v>23.61</v>
      </c>
      <c r="F214" s="228">
        <v>22.92</v>
      </c>
      <c r="G214" s="228">
        <v>0.69</v>
      </c>
      <c r="H214" s="229">
        <v>3.0099999999999998E-2</v>
      </c>
      <c r="I214" s="228">
        <v>23.5</v>
      </c>
      <c r="J214" s="228">
        <v>22.81</v>
      </c>
      <c r="K214" s="228">
        <v>0.69</v>
      </c>
      <c r="L214" s="229">
        <v>3.0200000000000001E-2</v>
      </c>
      <c r="M214" s="228">
        <v>23.61</v>
      </c>
      <c r="N214" s="228">
        <v>22.92</v>
      </c>
      <c r="O214" s="228">
        <v>0.69</v>
      </c>
      <c r="P214" s="229">
        <v>3.0099999999999998E-2</v>
      </c>
      <c r="Q214" s="228">
        <v>23.73</v>
      </c>
      <c r="R214" s="228">
        <v>23.06</v>
      </c>
      <c r="S214" s="228">
        <v>0.67</v>
      </c>
      <c r="T214" s="229">
        <v>2.9100000000000001E-2</v>
      </c>
      <c r="U214" s="228">
        <v>23.89</v>
      </c>
      <c r="V214" s="228">
        <v>23.23</v>
      </c>
      <c r="W214" s="228">
        <v>0.66</v>
      </c>
      <c r="X214" s="229">
        <v>2.8400000000000002E-2</v>
      </c>
      <c r="Y214" s="228">
        <v>0.11</v>
      </c>
      <c r="Z214" s="228">
        <v>0.11</v>
      </c>
      <c r="AA214" s="228">
        <v>0</v>
      </c>
      <c r="AB214" s="229">
        <v>4.7000000000000002E-3</v>
      </c>
      <c r="AC214" s="228">
        <v>0.11</v>
      </c>
      <c r="AD214" s="228">
        <v>0.11</v>
      </c>
      <c r="AE214" s="228">
        <v>0</v>
      </c>
      <c r="AF214" s="229">
        <v>4.7000000000000002E-3</v>
      </c>
      <c r="AG214" s="228">
        <v>0.23</v>
      </c>
      <c r="AH214" s="228">
        <v>0.25</v>
      </c>
      <c r="AI214" s="228">
        <v>-0.02</v>
      </c>
      <c r="AJ214" s="229">
        <v>9.7999999999999997E-3</v>
      </c>
      <c r="AK214" s="228">
        <v>0.39</v>
      </c>
      <c r="AL214" s="228">
        <v>0.42</v>
      </c>
      <c r="AM214" s="228">
        <v>-0.03</v>
      </c>
      <c r="AN214" s="229">
        <v>1.66E-2</v>
      </c>
      <c r="AO214" s="228">
        <v>23.39</v>
      </c>
      <c r="AP214" s="228">
        <v>23.52</v>
      </c>
      <c r="AQ214" s="228">
        <v>0</v>
      </c>
      <c r="AR214" s="230">
        <v>303660400</v>
      </c>
      <c r="AS214" s="230">
        <v>200097400</v>
      </c>
      <c r="AT214" s="230">
        <v>103563000</v>
      </c>
      <c r="AU214" s="229">
        <v>0.51759999999999995</v>
      </c>
      <c r="AV214" s="230">
        <v>253496100</v>
      </c>
      <c r="AW214" s="230">
        <v>166198400</v>
      </c>
      <c r="AX214" s="230">
        <v>87297700</v>
      </c>
      <c r="AY214" s="229">
        <v>0.52529999999999999</v>
      </c>
      <c r="AZ214" s="230">
        <v>42886900</v>
      </c>
      <c r="BA214" s="230">
        <v>29638300</v>
      </c>
      <c r="BB214" s="230">
        <v>13248600</v>
      </c>
      <c r="BC214" s="229">
        <v>0.44700000000000001</v>
      </c>
      <c r="BD214" s="230">
        <v>7277400</v>
      </c>
      <c r="BE214" s="230">
        <v>4260700</v>
      </c>
      <c r="BF214" s="230">
        <v>3016700</v>
      </c>
      <c r="BG214" s="229">
        <v>0.70799999999999996</v>
      </c>
      <c r="BH214" s="230">
        <v>784155400</v>
      </c>
      <c r="BI214" s="230">
        <v>487927900</v>
      </c>
      <c r="BJ214" s="230">
        <v>296227500</v>
      </c>
      <c r="BK214" s="229">
        <v>0.60709999999999997</v>
      </c>
      <c r="BL214" s="230">
        <v>326643300</v>
      </c>
      <c r="BM214" s="230">
        <v>200937100</v>
      </c>
      <c r="BN214" s="230">
        <v>125706200</v>
      </c>
      <c r="BO214" s="229">
        <v>0.62560000000000004</v>
      </c>
      <c r="BP214" s="230">
        <v>1414459100</v>
      </c>
      <c r="BQ214" s="230">
        <v>888962400</v>
      </c>
      <c r="BR214" s="230">
        <v>525496700</v>
      </c>
      <c r="BS214" s="229">
        <v>0.59109999999999996</v>
      </c>
      <c r="BT214" s="230">
        <v>214048959</v>
      </c>
      <c r="BU214" s="230">
        <v>137755583</v>
      </c>
      <c r="BV214" s="230">
        <v>76293376</v>
      </c>
      <c r="BW214" s="229">
        <v>0.55379999999999996</v>
      </c>
      <c r="BX214" s="230">
        <v>1175424500</v>
      </c>
      <c r="BY214" s="230">
        <v>1180276100</v>
      </c>
      <c r="BZ214" s="230">
        <v>-4851600</v>
      </c>
      <c r="CA214" s="229">
        <v>-4.1000000000000003E-3</v>
      </c>
      <c r="CB214" s="230">
        <v>1082746500</v>
      </c>
      <c r="CC214" s="230">
        <v>1094937700</v>
      </c>
      <c r="CD214" s="230">
        <v>-12191200</v>
      </c>
      <c r="CE214" s="229">
        <v>-1.11E-2</v>
      </c>
      <c r="CF214" s="230">
        <v>83783400</v>
      </c>
      <c r="CG214" s="230">
        <v>77812200</v>
      </c>
      <c r="CH214" s="230">
        <v>5971200</v>
      </c>
      <c r="CI214" s="229">
        <v>7.6700000000000004E-2</v>
      </c>
      <c r="CJ214" s="230">
        <v>8894600</v>
      </c>
      <c r="CK214" s="230">
        <v>7526200</v>
      </c>
      <c r="CL214" s="230">
        <v>1368400</v>
      </c>
      <c r="CM214" s="229">
        <v>0.18179999999999999</v>
      </c>
      <c r="CN214" s="230">
        <v>320267800</v>
      </c>
      <c r="CO214" s="230">
        <v>332459000</v>
      </c>
      <c r="CP214" s="230">
        <v>-12191200</v>
      </c>
      <c r="CQ214" s="229">
        <v>-3.6700000000000003E-2</v>
      </c>
      <c r="CR214" s="230">
        <v>217171300</v>
      </c>
      <c r="CS214" s="230">
        <v>201994500</v>
      </c>
      <c r="CT214" s="230">
        <v>15176800</v>
      </c>
      <c r="CU214" s="229">
        <v>7.51E-2</v>
      </c>
      <c r="CV214" s="230">
        <v>1712863600</v>
      </c>
      <c r="CW214" s="230">
        <v>1714729600</v>
      </c>
      <c r="CX214" s="230">
        <v>-1866000</v>
      </c>
      <c r="CY214" s="229">
        <v>-1.1000000000000001E-3</v>
      </c>
      <c r="CZ214" s="228">
        <v>31.21</v>
      </c>
      <c r="DA214" s="228">
        <v>32.07</v>
      </c>
      <c r="DB214" s="228">
        <v>-0.86</v>
      </c>
      <c r="DC214" s="228">
        <v>-0.86</v>
      </c>
      <c r="DD214" s="228">
        <v>38.96</v>
      </c>
      <c r="DE214" s="228">
        <v>38.85</v>
      </c>
      <c r="DF214" s="228">
        <v>-7.75</v>
      </c>
      <c r="DG214" s="228">
        <v>0.11</v>
      </c>
      <c r="DH214" s="228">
        <v>31.22</v>
      </c>
      <c r="DI214" s="228">
        <v>33.049999999999997</v>
      </c>
      <c r="DJ214" s="228">
        <v>-1.83</v>
      </c>
      <c r="DK214" s="228">
        <v>-1.83</v>
      </c>
      <c r="DL214" s="228">
        <v>31.17</v>
      </c>
      <c r="DM214" s="228">
        <v>29.68</v>
      </c>
      <c r="DN214" s="228">
        <v>1.49</v>
      </c>
      <c r="DO214" s="228">
        <v>1.49</v>
      </c>
      <c r="DP214" s="228">
        <v>0.68</v>
      </c>
      <c r="DQ214" s="228">
        <v>0.61</v>
      </c>
      <c r="DR214" s="228">
        <v>7.0000000000000007E-2</v>
      </c>
      <c r="DS214" s="229">
        <v>0.1148</v>
      </c>
      <c r="DT214" s="228">
        <v>24</v>
      </c>
      <c r="DU214" s="228">
        <v>22</v>
      </c>
      <c r="DV214" s="228">
        <v>0.42</v>
      </c>
      <c r="DW214" s="228">
        <v>0.41</v>
      </c>
      <c r="DX214" s="228">
        <v>0.01</v>
      </c>
      <c r="DY214" s="229">
        <v>2.4400000000000002E-2</v>
      </c>
      <c r="DZ214" s="229">
        <v>7.8799999999999995E-2</v>
      </c>
      <c r="EA214" s="230">
        <v>85338400</v>
      </c>
      <c r="EB214" s="229">
        <v>5.1000000000000004E-3</v>
      </c>
      <c r="EC214" s="229">
        <v>7.8799999999999995E-2</v>
      </c>
      <c r="ED214" s="228">
        <v>0.13</v>
      </c>
      <c r="EE214" s="229">
        <v>5.5999999999999999E-3</v>
      </c>
      <c r="EF214" s="230">
        <v>115421152</v>
      </c>
      <c r="EG214" s="230">
        <v>65151261</v>
      </c>
      <c r="EH214" s="229">
        <v>0.77159999999999995</v>
      </c>
      <c r="EI214" s="229">
        <v>0.53920000000000001</v>
      </c>
      <c r="EJ214" s="231">
        <v>194575.53</v>
      </c>
      <c r="EK214" s="231">
        <v>73006.44</v>
      </c>
      <c r="EL214" s="231">
        <v>71089.929999999993</v>
      </c>
      <c r="EM214" s="231">
        <v>5977</v>
      </c>
      <c r="EN214" s="231">
        <v>338671.9</v>
      </c>
      <c r="EO214" s="231">
        <v>212168.01</v>
      </c>
      <c r="EP214" s="231">
        <v>126503.89</v>
      </c>
      <c r="EQ214" s="229">
        <v>0.59619999999999995</v>
      </c>
      <c r="ER214" s="231">
        <v>76773</v>
      </c>
      <c r="ES214" s="231">
        <v>47141</v>
      </c>
      <c r="ET214" s="231">
        <v>277643</v>
      </c>
      <c r="EU214" s="231">
        <v>3547322779</v>
      </c>
      <c r="EV214" s="231">
        <v>401557</v>
      </c>
      <c r="EW214" s="231">
        <v>392994</v>
      </c>
      <c r="EX214" s="231">
        <v>8563</v>
      </c>
      <c r="EY214" s="229">
        <v>2.18E-2</v>
      </c>
      <c r="EZ214" s="229">
        <v>0.4829</v>
      </c>
      <c r="FA214" s="227" t="s">
        <v>556</v>
      </c>
      <c r="FB214" s="161">
        <f t="shared" si="5"/>
        <v>0</v>
      </c>
    </row>
    <row r="215" spans="1:158" ht="17.25" thickBot="1" x14ac:dyDescent="0.3">
      <c r="A215" s="226">
        <v>46029</v>
      </c>
      <c r="B215" s="227" t="s">
        <v>170</v>
      </c>
      <c r="C215" s="227" t="s">
        <v>557</v>
      </c>
      <c r="D215" s="228">
        <v>900</v>
      </c>
      <c r="E215" s="228">
        <v>929.55</v>
      </c>
      <c r="F215" s="228">
        <v>935.85</v>
      </c>
      <c r="G215" s="228">
        <v>-6.3</v>
      </c>
      <c r="H215" s="229">
        <v>-6.7000000000000002E-3</v>
      </c>
      <c r="I215" s="228">
        <v>927.55</v>
      </c>
      <c r="J215" s="228">
        <v>931.05</v>
      </c>
      <c r="K215" s="228">
        <v>-3.5</v>
      </c>
      <c r="L215" s="229">
        <v>-3.8E-3</v>
      </c>
      <c r="M215" s="228">
        <v>929.55</v>
      </c>
      <c r="N215" s="228">
        <v>935.85</v>
      </c>
      <c r="O215" s="228">
        <v>-6.3</v>
      </c>
      <c r="P215" s="229">
        <v>-6.7000000000000002E-3</v>
      </c>
      <c r="Q215" s="228">
        <v>934.7</v>
      </c>
      <c r="R215" s="228">
        <v>940.95</v>
      </c>
      <c r="S215" s="228">
        <v>-6.25</v>
      </c>
      <c r="T215" s="229">
        <v>-6.6E-3</v>
      </c>
      <c r="U215" s="228">
        <v>950</v>
      </c>
      <c r="V215" s="228">
        <v>945.3</v>
      </c>
      <c r="W215" s="228">
        <v>4.7</v>
      </c>
      <c r="X215" s="229">
        <v>5.0000000000000001E-3</v>
      </c>
      <c r="Y215" s="228">
        <v>2</v>
      </c>
      <c r="Z215" s="228">
        <v>4.8</v>
      </c>
      <c r="AA215" s="228">
        <v>-2.8</v>
      </c>
      <c r="AB215" s="229">
        <v>2.2000000000000001E-3</v>
      </c>
      <c r="AC215" s="228">
        <v>2</v>
      </c>
      <c r="AD215" s="228">
        <v>4.8</v>
      </c>
      <c r="AE215" s="228">
        <v>-2.8</v>
      </c>
      <c r="AF215" s="229">
        <v>2.2000000000000001E-3</v>
      </c>
      <c r="AG215" s="228">
        <v>7.15</v>
      </c>
      <c r="AH215" s="228">
        <v>9.9</v>
      </c>
      <c r="AI215" s="228">
        <v>-2.75</v>
      </c>
      <c r="AJ215" s="229">
        <v>7.7000000000000002E-3</v>
      </c>
      <c r="AK215" s="228">
        <v>22.45</v>
      </c>
      <c r="AL215" s="228">
        <v>14.25</v>
      </c>
      <c r="AM215" s="228">
        <v>8.1999999999999993</v>
      </c>
      <c r="AN215" s="229">
        <v>2.4199999999999999E-2</v>
      </c>
      <c r="AO215" s="228">
        <v>934.36</v>
      </c>
      <c r="AP215" s="228">
        <v>939.27</v>
      </c>
      <c r="AQ215" s="228">
        <v>0</v>
      </c>
      <c r="AR215" s="230">
        <v>2389500</v>
      </c>
      <c r="AS215" s="230">
        <v>1607400</v>
      </c>
      <c r="AT215" s="230">
        <v>782100</v>
      </c>
      <c r="AU215" s="229">
        <v>0.48659999999999998</v>
      </c>
      <c r="AV215" s="230">
        <v>2268000</v>
      </c>
      <c r="AW215" s="230">
        <v>1515600</v>
      </c>
      <c r="AX215" s="230">
        <v>752400</v>
      </c>
      <c r="AY215" s="229">
        <v>0.49640000000000001</v>
      </c>
      <c r="AZ215" s="230">
        <v>120600</v>
      </c>
      <c r="BA215" s="230">
        <v>90900</v>
      </c>
      <c r="BB215" s="230">
        <v>29700</v>
      </c>
      <c r="BC215" s="229">
        <v>0.32669999999999999</v>
      </c>
      <c r="BD215" s="228">
        <v>900</v>
      </c>
      <c r="BE215" s="228">
        <v>900</v>
      </c>
      <c r="BF215" s="228">
        <v>0</v>
      </c>
      <c r="BG215" s="229">
        <v>0</v>
      </c>
      <c r="BH215" s="230">
        <v>6742800</v>
      </c>
      <c r="BI215" s="230">
        <v>6529500</v>
      </c>
      <c r="BJ215" s="230">
        <v>213300</v>
      </c>
      <c r="BK215" s="229">
        <v>3.27E-2</v>
      </c>
      <c r="BL215" s="230">
        <v>3096900</v>
      </c>
      <c r="BM215" s="230">
        <v>1341900</v>
      </c>
      <c r="BN215" s="230">
        <v>1755000</v>
      </c>
      <c r="BO215" s="229">
        <v>1.3078000000000001</v>
      </c>
      <c r="BP215" s="230">
        <v>12229200</v>
      </c>
      <c r="BQ215" s="230">
        <v>9478800</v>
      </c>
      <c r="BR215" s="230">
        <v>2750400</v>
      </c>
      <c r="BS215" s="229">
        <v>0.29020000000000001</v>
      </c>
      <c r="BT215" s="230">
        <v>549157</v>
      </c>
      <c r="BU215" s="230">
        <v>460727</v>
      </c>
      <c r="BV215" s="230">
        <v>88430</v>
      </c>
      <c r="BW215" s="229">
        <v>0.19189999999999999</v>
      </c>
      <c r="BX215" s="230">
        <v>10350900</v>
      </c>
      <c r="BY215" s="230">
        <v>10092600</v>
      </c>
      <c r="BZ215" s="230">
        <v>258300</v>
      </c>
      <c r="CA215" s="229">
        <v>2.5600000000000001E-2</v>
      </c>
      <c r="CB215" s="230">
        <v>10061100</v>
      </c>
      <c r="CC215" s="230">
        <v>9830700</v>
      </c>
      <c r="CD215" s="230">
        <v>230400</v>
      </c>
      <c r="CE215" s="229">
        <v>2.3400000000000001E-2</v>
      </c>
      <c r="CF215" s="230">
        <v>282600</v>
      </c>
      <c r="CG215" s="230">
        <v>255600</v>
      </c>
      <c r="CH215" s="230">
        <v>27000</v>
      </c>
      <c r="CI215" s="229">
        <v>0.1056</v>
      </c>
      <c r="CJ215" s="230">
        <v>7200</v>
      </c>
      <c r="CK215" s="230">
        <v>6300</v>
      </c>
      <c r="CL215" s="228">
        <v>900</v>
      </c>
      <c r="CM215" s="229">
        <v>0.1429</v>
      </c>
      <c r="CN215" s="230">
        <v>3669300</v>
      </c>
      <c r="CO215" s="230">
        <v>3522600</v>
      </c>
      <c r="CP215" s="230">
        <v>146700</v>
      </c>
      <c r="CQ215" s="229">
        <v>4.1599999999999998E-2</v>
      </c>
      <c r="CR215" s="230">
        <v>3285900</v>
      </c>
      <c r="CS215" s="230">
        <v>2720700</v>
      </c>
      <c r="CT215" s="230">
        <v>565200</v>
      </c>
      <c r="CU215" s="229">
        <v>0.2077</v>
      </c>
      <c r="CV215" s="230">
        <v>17306100</v>
      </c>
      <c r="CW215" s="230">
        <v>16335900</v>
      </c>
      <c r="CX215" s="230">
        <v>970200</v>
      </c>
      <c r="CY215" s="229">
        <v>5.9400000000000001E-2</v>
      </c>
      <c r="CZ215" s="228">
        <v>21.16</v>
      </c>
      <c r="DA215" s="228">
        <v>19.93</v>
      </c>
      <c r="DB215" s="228">
        <v>1.23</v>
      </c>
      <c r="DC215" s="228">
        <v>1.23</v>
      </c>
      <c r="DD215" s="228">
        <v>27.32</v>
      </c>
      <c r="DE215" s="228">
        <v>27.37</v>
      </c>
      <c r="DF215" s="228">
        <v>-6.16</v>
      </c>
      <c r="DG215" s="228">
        <v>-0.05</v>
      </c>
      <c r="DH215" s="228">
        <v>20.88</v>
      </c>
      <c r="DI215" s="228">
        <v>19.78</v>
      </c>
      <c r="DJ215" s="228">
        <v>1.1000000000000001</v>
      </c>
      <c r="DK215" s="228">
        <v>1.1000000000000001</v>
      </c>
      <c r="DL215" s="228">
        <v>21.77</v>
      </c>
      <c r="DM215" s="228">
        <v>20.69</v>
      </c>
      <c r="DN215" s="228">
        <v>1.08</v>
      </c>
      <c r="DO215" s="228">
        <v>1.08</v>
      </c>
      <c r="DP215" s="228">
        <v>0.9</v>
      </c>
      <c r="DQ215" s="228">
        <v>0.77</v>
      </c>
      <c r="DR215" s="228">
        <v>0.13</v>
      </c>
      <c r="DS215" s="229">
        <v>0.16880000000000001</v>
      </c>
      <c r="DT215" s="231">
        <v>1000</v>
      </c>
      <c r="DU215" s="228">
        <v>900</v>
      </c>
      <c r="DV215" s="228">
        <v>0.46</v>
      </c>
      <c r="DW215" s="228">
        <v>0.21</v>
      </c>
      <c r="DX215" s="228">
        <v>0.25</v>
      </c>
      <c r="DY215" s="229">
        <v>1.1904999999999999</v>
      </c>
      <c r="DZ215" s="229">
        <v>2.8000000000000001E-2</v>
      </c>
      <c r="EA215" s="230">
        <v>261900</v>
      </c>
      <c r="EB215" s="229">
        <v>5.4999999999999997E-3</v>
      </c>
      <c r="EC215" s="229">
        <v>2.8000000000000001E-2</v>
      </c>
      <c r="ED215" s="228">
        <v>4.91</v>
      </c>
      <c r="EE215" s="229">
        <v>5.3E-3</v>
      </c>
      <c r="EF215" s="230">
        <v>225909</v>
      </c>
      <c r="EG215" s="230">
        <v>261054</v>
      </c>
      <c r="EH215" s="229">
        <v>-0.1346</v>
      </c>
      <c r="EI215" s="229">
        <v>0.41139999999999999</v>
      </c>
      <c r="EJ215" s="231">
        <v>65239.81</v>
      </c>
      <c r="EK215" s="231">
        <v>28034.33</v>
      </c>
      <c r="EL215" s="231">
        <v>22332.67</v>
      </c>
      <c r="EM215" s="231">
        <v>1199</v>
      </c>
      <c r="EN215" s="231">
        <v>115606.81</v>
      </c>
      <c r="EO215" s="231">
        <v>90012.39</v>
      </c>
      <c r="EP215" s="231">
        <v>25594.42</v>
      </c>
      <c r="EQ215" s="229">
        <v>0.2843</v>
      </c>
      <c r="ER215" s="231">
        <v>35208</v>
      </c>
      <c r="ES215" s="231">
        <v>29867</v>
      </c>
      <c r="ET215" s="231">
        <v>96233</v>
      </c>
      <c r="EU215" s="231">
        <v>37741451</v>
      </c>
      <c r="EV215" s="231">
        <v>161308</v>
      </c>
      <c r="EW215" s="231">
        <v>152924</v>
      </c>
      <c r="EX215" s="231">
        <v>8384</v>
      </c>
      <c r="EY215" s="229">
        <v>5.4800000000000001E-2</v>
      </c>
      <c r="EZ215" s="229">
        <v>0.45850000000000002</v>
      </c>
      <c r="FA215" s="227" t="s">
        <v>567</v>
      </c>
      <c r="FB215" s="161">
        <f t="shared" si="5"/>
        <v>0</v>
      </c>
    </row>
    <row r="216" spans="1:158" x14ac:dyDescent="0.25">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BX325-CB325</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
  <sheetViews>
    <sheetView topLeftCell="EJ1" zoomScale="87" zoomScaleNormal="87" workbookViewId="0">
      <selection activeCell="EP10" sqref="EP10"/>
    </sheetView>
  </sheetViews>
  <sheetFormatPr defaultRowHeight="15" x14ac:dyDescent="0.25"/>
  <cols>
    <col min="1" max="1" width="6.140625" customWidth="1"/>
    <col min="2" max="2" width="7.85546875" customWidth="1"/>
    <col min="3" max="3" width="9.28515625" customWidth="1"/>
    <col min="4" max="4" width="14.140625" bestFit="1" customWidth="1"/>
    <col min="5" max="5" width="20" bestFit="1" customWidth="1"/>
    <col min="6" max="6" width="18.85546875" bestFit="1" customWidth="1"/>
    <col min="7" max="7" width="16.7109375" bestFit="1" customWidth="1"/>
    <col min="8" max="8" width="6" customWidth="1"/>
    <col min="9" max="9" width="11.5703125" bestFit="1" customWidth="1"/>
    <col min="10" max="10" width="10.5703125" bestFit="1" customWidth="1"/>
    <col min="11" max="11" width="8.5703125"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6.7109375"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7.140625"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0.7109375" customWidth="1"/>
    <col min="76" max="76" width="16.42578125" bestFit="1" customWidth="1"/>
    <col min="77" max="77" width="15.42578125" bestFit="1" customWidth="1"/>
    <col min="78" max="78" width="13.42578125" bestFit="1" customWidth="1"/>
    <col min="79" max="79" width="8.85546875" customWidth="1"/>
    <col min="80" max="80" width="14.5703125" bestFit="1" customWidth="1"/>
    <col min="81" max="81" width="13.5703125" customWidth="1"/>
    <col min="82" max="82" width="11.42578125" bestFit="1" customWidth="1"/>
    <col min="83" max="83" width="8.85546875" customWidth="1"/>
    <col min="84" max="84" width="14.42578125" bestFit="1" customWidth="1"/>
    <col min="85" max="85" width="13.5703125" bestFit="1" customWidth="1"/>
    <col min="86" max="86" width="11.42578125" bestFit="1" customWidth="1"/>
    <col min="87" max="87" width="7" customWidth="1"/>
    <col min="88" max="88" width="12.85546875" bestFit="1" customWidth="1"/>
    <col min="89" max="89" width="11.5703125" bestFit="1" customWidth="1"/>
    <col min="90" max="90" width="9.7109375" customWidth="1"/>
    <col min="91" max="91" width="7.85546875" customWidth="1"/>
    <col min="92" max="92" width="13.42578125" customWidth="1"/>
    <col min="93" max="93" width="12.42578125" customWidth="1"/>
    <col min="94" max="94" width="10.42578125" bestFit="1" customWidth="1"/>
    <col min="95" max="95" width="7.7109375" customWidth="1"/>
    <col min="96" max="96" width="13.28515625" customWidth="1"/>
    <col min="97" max="97" width="12.28515625" customWidth="1"/>
    <col min="98" max="98" width="10.28515625" bestFit="1" customWidth="1"/>
    <col min="99" max="99" width="9.140625" customWidth="1"/>
    <col min="100" max="100" width="14.7109375" bestFit="1" customWidth="1"/>
    <col min="101" max="101" width="13.85546875" customWidth="1"/>
    <col min="102" max="102" width="11.7109375" bestFit="1" customWidth="1"/>
    <col min="103" max="103" width="3.28515625" customWidth="1"/>
    <col min="104" max="104" width="8.85546875" bestFit="1" customWidth="1"/>
    <col min="105" max="105" width="7.85546875" bestFit="1" customWidth="1"/>
    <col min="106" max="106" width="5.85546875" customWidth="1"/>
    <col min="107" max="107" width="4" customWidth="1"/>
    <col min="108" max="108" width="9.5703125" bestFit="1" customWidth="1"/>
    <col min="109" max="109" width="11.85546875" bestFit="1" customWidth="1"/>
    <col min="110" max="110" width="6.5703125" customWidth="1"/>
    <col min="111" max="111" width="7.7109375" customWidth="1"/>
    <col min="112" max="112" width="13.28515625" bestFit="1" customWidth="1"/>
    <col min="113" max="113" width="12.28515625" bestFit="1" customWidth="1"/>
    <col min="114" max="114" width="10.28515625" bestFit="1" customWidth="1"/>
    <col min="115" max="115" width="7.5703125"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customWidth="1"/>
    <col min="123" max="123" width="10.28515625" customWidth="1"/>
    <col min="124" max="124" width="10.140625"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0.140625"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7.7109375"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G3" sqref="G3"/>
    </sheetView>
  </sheetViews>
  <sheetFormatPr defaultColWidth="13.7109375" defaultRowHeight="15" x14ac:dyDescent="0.25"/>
  <cols>
    <col min="1" max="1" width="23.85546875" customWidth="1"/>
    <col min="2" max="2" width="11.5703125"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46029</v>
      </c>
      <c r="C2" s="230">
        <v>11130140</v>
      </c>
      <c r="D2" s="230">
        <v>1831987</v>
      </c>
      <c r="E2" s="230">
        <v>11195500</v>
      </c>
      <c r="F2" s="230">
        <v>1839173</v>
      </c>
      <c r="G2" s="230">
        <v>-65360</v>
      </c>
      <c r="H2" s="230">
        <v>-7186</v>
      </c>
      <c r="I2" s="230">
        <v>10122568</v>
      </c>
      <c r="J2" s="230">
        <v>1069467</v>
      </c>
      <c r="K2" s="230">
        <v>650940</v>
      </c>
      <c r="L2" s="230">
        <v>104111</v>
      </c>
      <c r="M2" s="230">
        <v>10773508</v>
      </c>
      <c r="N2" s="230">
        <v>1173578</v>
      </c>
      <c r="O2" s="61"/>
      <c r="P2" s="61"/>
      <c r="Q2" s="61"/>
      <c r="R2" s="61"/>
      <c r="S2" s="61"/>
      <c r="U2" t="s">
        <v>453</v>
      </c>
      <c r="V2">
        <f>SUM('Data Vlaue (Cr)'!CD:CD)</f>
        <v>560799</v>
      </c>
      <c r="W2" t="s">
        <v>454</v>
      </c>
    </row>
    <row r="3" spans="1:23" ht="17.25" thickBot="1" x14ac:dyDescent="0.3">
      <c r="A3" s="227" t="s">
        <v>617</v>
      </c>
      <c r="B3" s="226">
        <v>46029</v>
      </c>
      <c r="C3" s="230">
        <v>2611</v>
      </c>
      <c r="D3" s="228">
        <v>471</v>
      </c>
      <c r="E3" s="230">
        <v>4675</v>
      </c>
      <c r="F3" s="228">
        <v>844</v>
      </c>
      <c r="G3" s="230">
        <v>-2064</v>
      </c>
      <c r="H3" s="228">
        <v>-373</v>
      </c>
      <c r="I3" s="230">
        <v>18740</v>
      </c>
      <c r="J3" s="230">
        <v>3391</v>
      </c>
      <c r="K3" s="228">
        <v>-208</v>
      </c>
      <c r="L3" s="228">
        <v>-45</v>
      </c>
      <c r="M3" s="230">
        <v>18532</v>
      </c>
      <c r="N3" s="230">
        <v>3346</v>
      </c>
      <c r="O3" s="61"/>
      <c r="P3" s="61"/>
      <c r="Q3" s="61"/>
      <c r="R3" s="61"/>
      <c r="S3" s="61"/>
      <c r="U3" t="s">
        <v>453</v>
      </c>
      <c r="V3">
        <f>SUM('Data shares'!CC:CC)</f>
        <v>16227651845</v>
      </c>
      <c r="W3" t="s">
        <v>455</v>
      </c>
    </row>
    <row r="4" spans="1:23" ht="17.25" thickBot="1" x14ac:dyDescent="0.3">
      <c r="A4" s="227" t="s">
        <v>618</v>
      </c>
      <c r="B4" s="226">
        <v>46029</v>
      </c>
      <c r="C4" s="230">
        <v>130485</v>
      </c>
      <c r="D4" s="230">
        <v>23696</v>
      </c>
      <c r="E4" s="230">
        <v>130390</v>
      </c>
      <c r="F4" s="230">
        <v>23671</v>
      </c>
      <c r="G4" s="228">
        <v>95</v>
      </c>
      <c r="H4" s="228">
        <v>26</v>
      </c>
      <c r="I4" s="230">
        <v>196315</v>
      </c>
      <c r="J4" s="230">
        <v>35406</v>
      </c>
      <c r="K4" s="230">
        <v>5320</v>
      </c>
      <c r="L4" s="228">
        <v>882</v>
      </c>
      <c r="M4" s="230">
        <v>201635</v>
      </c>
      <c r="N4" s="230">
        <v>36289</v>
      </c>
      <c r="O4" s="61"/>
      <c r="P4" s="61"/>
      <c r="Q4" s="61"/>
      <c r="R4" s="61"/>
      <c r="S4" s="61"/>
    </row>
    <row r="5" spans="1:23" ht="17.25" thickBot="1" x14ac:dyDescent="0.3">
      <c r="A5" s="227" t="s">
        <v>619</v>
      </c>
      <c r="B5" s="226">
        <v>46029</v>
      </c>
      <c r="C5" s="228">
        <v>17</v>
      </c>
      <c r="D5" s="228">
        <v>3</v>
      </c>
      <c r="E5" s="228">
        <v>31</v>
      </c>
      <c r="F5" s="228">
        <v>5</v>
      </c>
      <c r="G5" s="228">
        <v>-14</v>
      </c>
      <c r="H5" s="228">
        <v>-2</v>
      </c>
      <c r="I5" s="228">
        <v>505</v>
      </c>
      <c r="J5" s="228">
        <v>85</v>
      </c>
      <c r="K5" s="228">
        <v>-22</v>
      </c>
      <c r="L5" s="228">
        <v>-4</v>
      </c>
      <c r="M5" s="228">
        <v>483</v>
      </c>
      <c r="N5" s="228">
        <v>81</v>
      </c>
      <c r="O5" s="61"/>
      <c r="P5" s="61"/>
      <c r="Q5" s="61"/>
      <c r="R5" s="61"/>
      <c r="S5" s="61"/>
    </row>
    <row r="6" spans="1:23" ht="17.25" thickBot="1" x14ac:dyDescent="0.3">
      <c r="A6" s="227" t="s">
        <v>620</v>
      </c>
      <c r="B6" s="226">
        <v>46029</v>
      </c>
      <c r="C6" s="230">
        <v>4368</v>
      </c>
      <c r="D6" s="228">
        <v>737</v>
      </c>
      <c r="E6" s="230">
        <v>4270</v>
      </c>
      <c r="F6" s="228">
        <v>721</v>
      </c>
      <c r="G6" s="228">
        <v>98</v>
      </c>
      <c r="H6" s="228">
        <v>17</v>
      </c>
      <c r="I6" s="230">
        <v>4664</v>
      </c>
      <c r="J6" s="228">
        <v>782</v>
      </c>
      <c r="K6" s="228">
        <v>-186</v>
      </c>
      <c r="L6" s="228">
        <v>-34</v>
      </c>
      <c r="M6" s="230">
        <v>4478</v>
      </c>
      <c r="N6" s="228">
        <v>748</v>
      </c>
      <c r="O6" s="61"/>
      <c r="P6" s="61"/>
      <c r="Q6" s="61"/>
      <c r="R6" s="61"/>
      <c r="S6" s="61"/>
    </row>
    <row r="7" spans="1:23" ht="17.25" thickBot="1" x14ac:dyDescent="0.3">
      <c r="A7" s="227" t="s">
        <v>621</v>
      </c>
      <c r="B7" s="226">
        <v>46029</v>
      </c>
      <c r="C7" s="230">
        <v>10770</v>
      </c>
      <c r="D7" s="230">
        <v>1863</v>
      </c>
      <c r="E7" s="230">
        <v>19154</v>
      </c>
      <c r="F7" s="230">
        <v>3313</v>
      </c>
      <c r="G7" s="230">
        <v>-8384</v>
      </c>
      <c r="H7" s="230">
        <v>-1450</v>
      </c>
      <c r="I7" s="230">
        <v>171548</v>
      </c>
      <c r="J7" s="230">
        <v>29467</v>
      </c>
      <c r="K7" s="228">
        <v>-702</v>
      </c>
      <c r="L7" s="228">
        <v>-150</v>
      </c>
      <c r="M7" s="230">
        <v>170846</v>
      </c>
      <c r="N7" s="230">
        <v>29317</v>
      </c>
    </row>
    <row r="8" spans="1:23" ht="17.25" thickBot="1" x14ac:dyDescent="0.3">
      <c r="A8" s="227" t="s">
        <v>622</v>
      </c>
      <c r="B8" s="226">
        <v>46029</v>
      </c>
      <c r="C8" s="230">
        <v>5207818</v>
      </c>
      <c r="D8" s="230">
        <v>889341</v>
      </c>
      <c r="E8" s="230">
        <v>5218105</v>
      </c>
      <c r="F8" s="230">
        <v>890840</v>
      </c>
      <c r="G8" s="230">
        <v>-10287</v>
      </c>
      <c r="H8" s="230">
        <v>-1499</v>
      </c>
      <c r="I8" s="230">
        <v>1643259</v>
      </c>
      <c r="J8" s="230">
        <v>281505</v>
      </c>
      <c r="K8" s="230">
        <v>293232</v>
      </c>
      <c r="L8" s="230">
        <v>49498</v>
      </c>
      <c r="M8" s="230">
        <v>1936491</v>
      </c>
      <c r="N8" s="230">
        <v>331003</v>
      </c>
    </row>
    <row r="9" spans="1:23" ht="17.25" thickBot="1" x14ac:dyDescent="0.3">
      <c r="A9" s="227" t="s">
        <v>623</v>
      </c>
      <c r="B9" s="226">
        <v>46029</v>
      </c>
      <c r="C9" s="228">
        <v>690</v>
      </c>
      <c r="D9" s="228">
        <v>117</v>
      </c>
      <c r="E9" s="228">
        <v>767</v>
      </c>
      <c r="F9" s="228">
        <v>130</v>
      </c>
      <c r="G9" s="228">
        <v>-77</v>
      </c>
      <c r="H9" s="228">
        <v>-13</v>
      </c>
      <c r="I9" s="230">
        <v>16599</v>
      </c>
      <c r="J9" s="230">
        <v>2790</v>
      </c>
      <c r="K9" s="228">
        <v>193</v>
      </c>
      <c r="L9" s="228">
        <v>54</v>
      </c>
      <c r="M9" s="230">
        <v>16792</v>
      </c>
      <c r="N9" s="230">
        <v>2844</v>
      </c>
    </row>
    <row r="10" spans="1:23" ht="17.25" thickBot="1" x14ac:dyDescent="0.3">
      <c r="A10" s="227" t="s">
        <v>624</v>
      </c>
      <c r="B10" s="226">
        <v>46029</v>
      </c>
      <c r="C10" s="230">
        <v>43455</v>
      </c>
      <c r="D10" s="230">
        <v>7336</v>
      </c>
      <c r="E10" s="230">
        <v>44770</v>
      </c>
      <c r="F10" s="230">
        <v>7563</v>
      </c>
      <c r="G10" s="230">
        <v>-1315</v>
      </c>
      <c r="H10" s="228">
        <v>-227</v>
      </c>
      <c r="I10" s="230">
        <v>39663</v>
      </c>
      <c r="J10" s="230">
        <v>6643</v>
      </c>
      <c r="K10" s="230">
        <v>2143</v>
      </c>
      <c r="L10" s="228">
        <v>407</v>
      </c>
      <c r="M10" s="230">
        <v>41806</v>
      </c>
      <c r="N10" s="230">
        <v>7050</v>
      </c>
    </row>
    <row r="11" spans="1:23" ht="17.25" thickBot="1" x14ac:dyDescent="0.3">
      <c r="A11" s="227" t="s">
        <v>625</v>
      </c>
      <c r="B11" s="226">
        <v>46029</v>
      </c>
      <c r="C11" s="230">
        <v>7392</v>
      </c>
      <c r="D11" s="230">
        <v>1262</v>
      </c>
      <c r="E11" s="230">
        <v>13614</v>
      </c>
      <c r="F11" s="230">
        <v>2323</v>
      </c>
      <c r="G11" s="230">
        <v>-6222</v>
      </c>
      <c r="H11" s="230">
        <v>-1061</v>
      </c>
      <c r="I11" s="230">
        <v>135204</v>
      </c>
      <c r="J11" s="230">
        <v>23112</v>
      </c>
      <c r="K11" s="228">
        <v>-628</v>
      </c>
      <c r="L11" s="228">
        <v>-148</v>
      </c>
      <c r="M11" s="230">
        <v>134576</v>
      </c>
      <c r="N11" s="230">
        <v>22964</v>
      </c>
    </row>
    <row r="12" spans="1:23" ht="17.25" thickBot="1" x14ac:dyDescent="0.3">
      <c r="A12" s="227" t="s">
        <v>626</v>
      </c>
      <c r="B12" s="226">
        <v>46029</v>
      </c>
      <c r="C12" s="230">
        <v>5029365</v>
      </c>
      <c r="D12" s="230">
        <v>857546</v>
      </c>
      <c r="E12" s="230">
        <v>5038574</v>
      </c>
      <c r="F12" s="230">
        <v>858868</v>
      </c>
      <c r="G12" s="230">
        <v>-9209</v>
      </c>
      <c r="H12" s="230">
        <v>-1321</v>
      </c>
      <c r="I12" s="230">
        <v>1402363</v>
      </c>
      <c r="J12" s="230">
        <v>238628</v>
      </c>
      <c r="K12" s="230">
        <v>285893</v>
      </c>
      <c r="L12" s="230">
        <v>48231</v>
      </c>
      <c r="M12" s="230">
        <v>1688256</v>
      </c>
      <c r="N12" s="230">
        <v>286860</v>
      </c>
    </row>
    <row r="13" spans="1:23" ht="17.25" thickBot="1" x14ac:dyDescent="0.3">
      <c r="A13" s="227" t="s">
        <v>627</v>
      </c>
      <c r="B13" s="226">
        <v>46029</v>
      </c>
      <c r="C13" s="228">
        <v>60</v>
      </c>
      <c r="D13" s="228">
        <v>11</v>
      </c>
      <c r="E13" s="228">
        <v>67</v>
      </c>
      <c r="F13" s="228">
        <v>12</v>
      </c>
      <c r="G13" s="228">
        <v>-7</v>
      </c>
      <c r="H13" s="228">
        <v>-1</v>
      </c>
      <c r="I13" s="228">
        <v>500</v>
      </c>
      <c r="J13" s="228">
        <v>89</v>
      </c>
      <c r="K13" s="228">
        <v>-37</v>
      </c>
      <c r="L13" s="228">
        <v>-6</v>
      </c>
      <c r="M13" s="228">
        <v>463</v>
      </c>
      <c r="N13" s="228">
        <v>82</v>
      </c>
    </row>
    <row r="14" spans="1:23" ht="17.25" thickBot="1" x14ac:dyDescent="0.3">
      <c r="A14" s="227" t="s">
        <v>628</v>
      </c>
      <c r="B14" s="226">
        <v>46029</v>
      </c>
      <c r="C14" s="228">
        <v>145</v>
      </c>
      <c r="D14" s="228">
        <v>26</v>
      </c>
      <c r="E14" s="228">
        <v>101</v>
      </c>
      <c r="F14" s="228">
        <v>18</v>
      </c>
      <c r="G14" s="228">
        <v>44</v>
      </c>
      <c r="H14" s="228">
        <v>8</v>
      </c>
      <c r="I14" s="228">
        <v>254</v>
      </c>
      <c r="J14" s="228">
        <v>45</v>
      </c>
      <c r="K14" s="228">
        <v>62</v>
      </c>
      <c r="L14" s="228">
        <v>11</v>
      </c>
      <c r="M14" s="228">
        <v>316</v>
      </c>
      <c r="N14" s="228">
        <v>56</v>
      </c>
    </row>
    <row r="15" spans="1:23" ht="17.25" thickBot="1" x14ac:dyDescent="0.3">
      <c r="A15" s="227" t="s">
        <v>629</v>
      </c>
      <c r="B15" s="226">
        <v>46029</v>
      </c>
      <c r="C15" s="230">
        <v>316020</v>
      </c>
      <c r="D15" s="230">
        <v>22117</v>
      </c>
      <c r="E15" s="230">
        <v>339807</v>
      </c>
      <c r="F15" s="230">
        <v>23190</v>
      </c>
      <c r="G15" s="230">
        <v>-23787</v>
      </c>
      <c r="H15" s="230">
        <v>-1073</v>
      </c>
      <c r="I15" s="230">
        <v>6079864</v>
      </c>
      <c r="J15" s="230">
        <v>418928</v>
      </c>
      <c r="K15" s="230">
        <v>16853</v>
      </c>
      <c r="L15" s="230">
        <v>1973</v>
      </c>
      <c r="M15" s="230">
        <v>6096717</v>
      </c>
      <c r="N15" s="230">
        <v>420900</v>
      </c>
    </row>
    <row r="16" spans="1:23" ht="17.25" thickBot="1" x14ac:dyDescent="0.3">
      <c r="A16" s="227" t="s">
        <v>630</v>
      </c>
      <c r="B16" s="226">
        <v>46029</v>
      </c>
      <c r="C16" s="230">
        <v>376944</v>
      </c>
      <c r="D16" s="230">
        <v>27462</v>
      </c>
      <c r="E16" s="230">
        <v>381175</v>
      </c>
      <c r="F16" s="230">
        <v>27678</v>
      </c>
      <c r="G16" s="230">
        <v>-4231</v>
      </c>
      <c r="H16" s="228">
        <v>-216</v>
      </c>
      <c r="I16" s="230">
        <v>413090</v>
      </c>
      <c r="J16" s="230">
        <v>28595</v>
      </c>
      <c r="K16" s="230">
        <v>49027</v>
      </c>
      <c r="L16" s="230">
        <v>3442</v>
      </c>
      <c r="M16" s="230">
        <v>462117</v>
      </c>
      <c r="N16" s="230">
        <v>32037</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61" activePane="bottomLeft" state="frozen"/>
      <selection activeCell="A6" sqref="A6:S6"/>
      <selection pane="bottomLeft" activeCell="W98" sqref="W98"/>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46029</v>
      </c>
      <c r="C6" s="66">
        <f>'Snapshot (Value)'!D10</f>
        <v>46029</v>
      </c>
      <c r="D6" s="71" t="s">
        <v>322</v>
      </c>
      <c r="E6" s="71" t="s">
        <v>328</v>
      </c>
      <c r="F6" s="66">
        <f>C6</f>
        <v>46029</v>
      </c>
      <c r="G6" s="71" t="s">
        <v>322</v>
      </c>
      <c r="H6" s="71" t="s">
        <v>328</v>
      </c>
      <c r="I6" s="66">
        <f>C6</f>
        <v>46029</v>
      </c>
      <c r="J6" s="71" t="s">
        <v>322</v>
      </c>
      <c r="K6" s="71" t="s">
        <v>328</v>
      </c>
      <c r="L6" s="66">
        <f>C6</f>
        <v>46029</v>
      </c>
      <c r="M6" s="71" t="s">
        <v>322</v>
      </c>
      <c r="N6" s="71" t="s">
        <v>328</v>
      </c>
      <c r="O6" s="66">
        <f>C6</f>
        <v>46029</v>
      </c>
      <c r="P6" s="71" t="s">
        <v>322</v>
      </c>
      <c r="Q6" s="71" t="s">
        <v>328</v>
      </c>
    </row>
    <row r="7" spans="1:17" x14ac:dyDescent="0.25">
      <c r="A7" s="97" t="str">
        <f>'Data Vlaue (Cr)'!C2</f>
        <v>360ONE</v>
      </c>
      <c r="B7" s="140">
        <f>VLOOKUP($A7,'Data shares'!$C:$FB,7)</f>
        <v>1191.8</v>
      </c>
      <c r="C7" s="140">
        <f>VLOOKUP($A7,'Data shares'!$C:$FB,3)</f>
        <v>1198</v>
      </c>
      <c r="D7" s="140">
        <f>VLOOKUP($A7,'Data shares'!$C:$FB,4)</f>
        <v>1191.0999999999999</v>
      </c>
      <c r="E7" s="50">
        <f>(C7-D7)/D7*100</f>
        <v>0.57929644866090935</v>
      </c>
      <c r="F7" s="49">
        <f>VLOOKUP($A7,'Data shares'!$C:$FB,98)</f>
        <v>4148000</v>
      </c>
      <c r="G7" s="49">
        <f>VLOOKUP($A7,'Data shares'!$C:$FB,99)</f>
        <v>4261500</v>
      </c>
      <c r="H7" s="50">
        <f>(F7-G7)/G7*100</f>
        <v>-2.663381438460636</v>
      </c>
      <c r="I7" s="49">
        <f>VLOOKUP($A7,'Data shares'!$C:$FB,66)</f>
        <v>7300000</v>
      </c>
      <c r="J7" s="49">
        <f>VLOOKUP($A7,'Data shares'!$C:$FB,67)</f>
        <v>3264500</v>
      </c>
      <c r="K7" s="50">
        <f>(I7-J7)/I7*100</f>
        <v>55.280821917808218</v>
      </c>
      <c r="L7" s="50">
        <f>VLOOKUP($A7,'Data shares'!$C:$FB,118)</f>
        <v>0.54</v>
      </c>
      <c r="M7" s="50">
        <f>VLOOKUP($A7,'Data shares'!$C:$FB,119)</f>
        <v>0.55000000000000004</v>
      </c>
      <c r="N7" s="50">
        <f>VLOOKUP($A7,'Data shares'!$C:$FB,121)*100</f>
        <v>-1.82</v>
      </c>
      <c r="O7" s="50">
        <f>VLOOKUP($A7,'Data shares'!$C:$FB,124)</f>
        <v>0.59</v>
      </c>
      <c r="P7" s="50">
        <f>VLOOKUP($A7,'Data shares'!$C:$FB,125)</f>
        <v>0.33</v>
      </c>
      <c r="Q7" s="50">
        <f>VLOOKUP($A7,'Data shares'!$C:$FB,127)*100</f>
        <v>78.790000000000006</v>
      </c>
    </row>
    <row r="8" spans="1:17" x14ac:dyDescent="0.25">
      <c r="A8" s="97" t="str">
        <f>'Data Vlaue (Cr)'!C3</f>
        <v>ABB</v>
      </c>
      <c r="B8" s="140">
        <f>VLOOKUP($A8,'Data shares'!$C:$FB,7)</f>
        <v>5299</v>
      </c>
      <c r="C8" s="140">
        <f>VLOOKUP($A8,'Data shares'!$C:$FB,3)</f>
        <v>5322</v>
      </c>
      <c r="D8" s="140">
        <f>VLOOKUP($A8,'Data shares'!$C:$FB,4)</f>
        <v>5247</v>
      </c>
      <c r="E8" s="50">
        <f t="shared" ref="E8:E71" si="0">(C8-D8)/D8*100</f>
        <v>1.4293882218410521</v>
      </c>
      <c r="F8" s="49">
        <f>VLOOKUP($A8,'Data shares'!$C:$FB,98)</f>
        <v>3512125</v>
      </c>
      <c r="G8" s="49">
        <f>VLOOKUP($A8,'Data shares'!$C:$FB,99)</f>
        <v>3225000</v>
      </c>
      <c r="H8" s="50">
        <f t="shared" ref="H8:H71" si="1">(F8-G8)/G8*100</f>
        <v>8.9031007751937974</v>
      </c>
      <c r="I8" s="49">
        <f>VLOOKUP($A8,'Data shares'!$C:$FB,66)</f>
        <v>2805000</v>
      </c>
      <c r="J8" s="49">
        <f>VLOOKUP($A8,'Data shares'!$C:$FB,67)</f>
        <v>1624125</v>
      </c>
      <c r="K8" s="50">
        <f t="shared" ref="K8:K71" si="2">(I8-J8)/I8*100</f>
        <v>42.098930481283418</v>
      </c>
      <c r="L8" s="50">
        <f>VLOOKUP($A8,'Data shares'!$C:$FB,118)</f>
        <v>0.65</v>
      </c>
      <c r="M8" s="50">
        <f>VLOOKUP($A8,'Data shares'!$C:$FB,119)</f>
        <v>0.84</v>
      </c>
      <c r="N8" s="50">
        <f>VLOOKUP($A8,'Data shares'!$C:$FB,121)*100</f>
        <v>-22.62</v>
      </c>
      <c r="O8" s="50">
        <f>VLOOKUP($A8,'Data shares'!$C:$FB,124)</f>
        <v>0.22</v>
      </c>
      <c r="P8" s="50">
        <f>VLOOKUP($A8,'Data shares'!$C:$FB,125)</f>
        <v>0.2</v>
      </c>
      <c r="Q8" s="50">
        <f>VLOOKUP($A8,'Data shares'!$C:$FB,127)*100</f>
        <v>10</v>
      </c>
    </row>
    <row r="9" spans="1:17" x14ac:dyDescent="0.25">
      <c r="A9" s="97" t="str">
        <f>'Data Vlaue (Cr)'!C4</f>
        <v>ABCAPITAL</v>
      </c>
      <c r="B9" s="140">
        <f>VLOOKUP($A9,'Data shares'!$C:$FB,7)</f>
        <v>361.1</v>
      </c>
      <c r="C9" s="140">
        <f>VLOOKUP($A9,'Data shares'!$C:$FB,3)</f>
        <v>362.5</v>
      </c>
      <c r="D9" s="140">
        <f>VLOOKUP($A9,'Data shares'!$C:$FB,4)</f>
        <v>361.65</v>
      </c>
      <c r="E9" s="50">
        <f t="shared" si="0"/>
        <v>0.23503387252869426</v>
      </c>
      <c r="F9" s="49">
        <f>VLOOKUP($A9,'Data shares'!$C:$FB,98)</f>
        <v>115382000</v>
      </c>
      <c r="G9" s="49">
        <f>VLOOKUP($A9,'Data shares'!$C:$FB,99)</f>
        <v>114371400</v>
      </c>
      <c r="H9" s="50">
        <f t="shared" si="1"/>
        <v>0.88361251151948839</v>
      </c>
      <c r="I9" s="49">
        <f>VLOOKUP($A9,'Data shares'!$C:$FB,66)</f>
        <v>51394900</v>
      </c>
      <c r="J9" s="49">
        <f>VLOOKUP($A9,'Data shares'!$C:$FB,67)</f>
        <v>62359600</v>
      </c>
      <c r="K9" s="50">
        <f t="shared" si="2"/>
        <v>-21.334217986609566</v>
      </c>
      <c r="L9" s="50">
        <f>VLOOKUP($A9,'Data shares'!$C:$FB,118)</f>
        <v>0.46</v>
      </c>
      <c r="M9" s="50">
        <f>VLOOKUP($A9,'Data shares'!$C:$FB,119)</f>
        <v>0.43</v>
      </c>
      <c r="N9" s="50">
        <f>VLOOKUP($A9,'Data shares'!$C:$FB,121)*100</f>
        <v>6.98</v>
      </c>
      <c r="O9" s="50">
        <f>VLOOKUP($A9,'Data shares'!$C:$FB,124)</f>
        <v>0.33</v>
      </c>
      <c r="P9" s="50">
        <f>VLOOKUP($A9,'Data shares'!$C:$FB,125)</f>
        <v>0.27</v>
      </c>
      <c r="Q9" s="50">
        <f>VLOOKUP($A9,'Data shares'!$C:$FB,127)*100</f>
        <v>22.220000000000002</v>
      </c>
    </row>
    <row r="10" spans="1:17" x14ac:dyDescent="0.25">
      <c r="A10" s="97" t="str">
        <f>'Data Vlaue (Cr)'!C5</f>
        <v>ADANIENSOL</v>
      </c>
      <c r="B10" s="140">
        <f>VLOOKUP($A10,'Data shares'!$C:$FB,7)</f>
        <v>1033.5</v>
      </c>
      <c r="C10" s="140">
        <f>VLOOKUP($A10,'Data shares'!$C:$FB,3)</f>
        <v>1035.3</v>
      </c>
      <c r="D10" s="140">
        <f>VLOOKUP($A10,'Data shares'!$C:$FB,4)</f>
        <v>1046.5</v>
      </c>
      <c r="E10" s="50">
        <f t="shared" si="0"/>
        <v>-1.0702341137123788</v>
      </c>
      <c r="F10" s="49">
        <f>VLOOKUP($A10,'Data shares'!$C:$FB,98)</f>
        <v>22863600</v>
      </c>
      <c r="G10" s="49">
        <f>VLOOKUP($A10,'Data shares'!$C:$FB,99)</f>
        <v>22812300</v>
      </c>
      <c r="H10" s="50">
        <f t="shared" si="1"/>
        <v>0.22487868386791335</v>
      </c>
      <c r="I10" s="49">
        <f>VLOOKUP($A10,'Data shares'!$C:$FB,66)</f>
        <v>3808350</v>
      </c>
      <c r="J10" s="49">
        <f>VLOOKUP($A10,'Data shares'!$C:$FB,67)</f>
        <v>5075325</v>
      </c>
      <c r="K10" s="50">
        <f t="shared" si="2"/>
        <v>-33.268344558667138</v>
      </c>
      <c r="L10" s="50">
        <f>VLOOKUP($A10,'Data shares'!$C:$FB,118)</f>
        <v>0.57999999999999996</v>
      </c>
      <c r="M10" s="50">
        <f>VLOOKUP($A10,'Data shares'!$C:$FB,119)</f>
        <v>0.59</v>
      </c>
      <c r="N10" s="50">
        <f>VLOOKUP($A10,'Data shares'!$C:$FB,121)*100</f>
        <v>-1.69</v>
      </c>
      <c r="O10" s="50">
        <f>VLOOKUP($A10,'Data shares'!$C:$FB,124)</f>
        <v>0.23</v>
      </c>
      <c r="P10" s="50">
        <f>VLOOKUP($A10,'Data shares'!$C:$FB,125)</f>
        <v>0.55000000000000004</v>
      </c>
      <c r="Q10" s="50">
        <f>VLOOKUP($A10,'Data shares'!$C:$FB,127)*100</f>
        <v>-58.18</v>
      </c>
    </row>
    <row r="11" spans="1:17" x14ac:dyDescent="0.25">
      <c r="A11" s="97" t="str">
        <f>'Data Vlaue (Cr)'!C6</f>
        <v>ADANIENT</v>
      </c>
      <c r="B11" s="140">
        <f>VLOOKUP($A11,'Data shares'!$C:$FB,7)</f>
        <v>2274.1</v>
      </c>
      <c r="C11" s="140">
        <f>VLOOKUP($A11,'Data shares'!$C:$FB,3)</f>
        <v>2284.1</v>
      </c>
      <c r="D11" s="140">
        <f>VLOOKUP($A11,'Data shares'!$C:$FB,4)</f>
        <v>2270.5</v>
      </c>
      <c r="E11" s="50">
        <f t="shared" si="0"/>
        <v>0.59898700726711773</v>
      </c>
      <c r="F11" s="49">
        <f>VLOOKUP($A11,'Data shares'!$C:$FB,98)</f>
        <v>34239981</v>
      </c>
      <c r="G11" s="49">
        <f>VLOOKUP($A11,'Data shares'!$C:$FB,99)</f>
        <v>33867636</v>
      </c>
      <c r="H11" s="50">
        <f t="shared" si="1"/>
        <v>1.0994124302032773</v>
      </c>
      <c r="I11" s="49">
        <f>VLOOKUP($A11,'Data shares'!$C:$FB,66)</f>
        <v>9896034</v>
      </c>
      <c r="J11" s="49">
        <f>VLOOKUP($A11,'Data shares'!$C:$FB,67)</f>
        <v>10064439</v>
      </c>
      <c r="K11" s="50">
        <f t="shared" si="2"/>
        <v>-1.701742334353338</v>
      </c>
      <c r="L11" s="50">
        <f>VLOOKUP($A11,'Data shares'!$C:$FB,118)</f>
        <v>0.85</v>
      </c>
      <c r="M11" s="50">
        <f>VLOOKUP($A11,'Data shares'!$C:$FB,119)</f>
        <v>0.86</v>
      </c>
      <c r="N11" s="50">
        <f>VLOOKUP($A11,'Data shares'!$C:$FB,121)*100</f>
        <v>-1.1599999999999999</v>
      </c>
      <c r="O11" s="50">
        <f>VLOOKUP($A11,'Data shares'!$C:$FB,124)</f>
        <v>0.41</v>
      </c>
      <c r="P11" s="50">
        <f>VLOOKUP($A11,'Data shares'!$C:$FB,125)</f>
        <v>0.75</v>
      </c>
      <c r="Q11" s="50">
        <f>VLOOKUP($A11,'Data shares'!$C:$FB,127)*100</f>
        <v>-45.33</v>
      </c>
    </row>
    <row r="12" spans="1:17" x14ac:dyDescent="0.25">
      <c r="A12" s="97" t="str">
        <f>'Data Vlaue (Cr)'!C7</f>
        <v>ADANIGREEN</v>
      </c>
      <c r="B12" s="140">
        <f>VLOOKUP($A12,'Data shares'!$C:$FB,7)</f>
        <v>1019.2</v>
      </c>
      <c r="C12" s="140">
        <f>VLOOKUP($A12,'Data shares'!$C:$FB,3)</f>
        <v>1022.1</v>
      </c>
      <c r="D12" s="140">
        <f>VLOOKUP($A12,'Data shares'!$C:$FB,4)</f>
        <v>1025.3</v>
      </c>
      <c r="E12" s="50">
        <f t="shared" si="0"/>
        <v>-0.31210377450501625</v>
      </c>
      <c r="F12" s="49">
        <f>VLOOKUP($A12,'Data shares'!$C:$FB,98)</f>
        <v>34364400</v>
      </c>
      <c r="G12" s="49">
        <f>VLOOKUP($A12,'Data shares'!$C:$FB,99)</f>
        <v>34099800</v>
      </c>
      <c r="H12" s="50">
        <f t="shared" si="1"/>
        <v>0.77595763025003073</v>
      </c>
      <c r="I12" s="49">
        <f>VLOOKUP($A12,'Data shares'!$C:$FB,66)</f>
        <v>5158800</v>
      </c>
      <c r="J12" s="49">
        <f>VLOOKUP($A12,'Data shares'!$C:$FB,67)</f>
        <v>7038600</v>
      </c>
      <c r="K12" s="50">
        <f t="shared" si="2"/>
        <v>-36.438706675971154</v>
      </c>
      <c r="L12" s="50">
        <f>VLOOKUP($A12,'Data shares'!$C:$FB,118)</f>
        <v>0.6</v>
      </c>
      <c r="M12" s="50">
        <f>VLOOKUP($A12,'Data shares'!$C:$FB,119)</f>
        <v>0.61</v>
      </c>
      <c r="N12" s="50">
        <f>VLOOKUP($A12,'Data shares'!$C:$FB,121)*100</f>
        <v>-1.6400000000000001</v>
      </c>
      <c r="O12" s="50">
        <f>VLOOKUP($A12,'Data shares'!$C:$FB,124)</f>
        <v>0.24</v>
      </c>
      <c r="P12" s="50">
        <f>VLOOKUP($A12,'Data shares'!$C:$FB,125)</f>
        <v>0.34</v>
      </c>
      <c r="Q12" s="50">
        <f>VLOOKUP($A12,'Data shares'!$C:$FB,127)*100</f>
        <v>-29.409999999999997</v>
      </c>
    </row>
    <row r="13" spans="1:17" x14ac:dyDescent="0.25">
      <c r="A13" s="97" t="str">
        <f>'Data Vlaue (Cr)'!C8</f>
        <v>ADANIPORTS</v>
      </c>
      <c r="B13" s="140">
        <f>VLOOKUP($A13,'Data shares'!$C:$FB,7)</f>
        <v>1465.3</v>
      </c>
      <c r="C13" s="140">
        <f>VLOOKUP($A13,'Data shares'!$C:$FB,3)</f>
        <v>1472.2</v>
      </c>
      <c r="D13" s="140">
        <f>VLOOKUP($A13,'Data shares'!$C:$FB,4)</f>
        <v>1479</v>
      </c>
      <c r="E13" s="50">
        <f t="shared" si="0"/>
        <v>-0.45977011494252568</v>
      </c>
      <c r="F13" s="49">
        <f>VLOOKUP($A13,'Data shares'!$C:$FB,98)</f>
        <v>36952150</v>
      </c>
      <c r="G13" s="49">
        <f>VLOOKUP($A13,'Data shares'!$C:$FB,99)</f>
        <v>36048225</v>
      </c>
      <c r="H13" s="50">
        <f t="shared" si="1"/>
        <v>2.5075437140108838</v>
      </c>
      <c r="I13" s="49">
        <f>VLOOKUP($A13,'Data shares'!$C:$FB,66)</f>
        <v>13581675</v>
      </c>
      <c r="J13" s="49">
        <f>VLOOKUP($A13,'Data shares'!$C:$FB,67)</f>
        <v>16491050</v>
      </c>
      <c r="K13" s="50">
        <f t="shared" si="2"/>
        <v>-21.421326898191865</v>
      </c>
      <c r="L13" s="50">
        <f>VLOOKUP($A13,'Data shares'!$C:$FB,118)</f>
        <v>0.72</v>
      </c>
      <c r="M13" s="50">
        <f>VLOOKUP($A13,'Data shares'!$C:$FB,119)</f>
        <v>0.75</v>
      </c>
      <c r="N13" s="50">
        <f>VLOOKUP($A13,'Data shares'!$C:$FB,121)*100</f>
        <v>-4</v>
      </c>
      <c r="O13" s="50">
        <f>VLOOKUP($A13,'Data shares'!$C:$FB,124)</f>
        <v>0.59</v>
      </c>
      <c r="P13" s="50">
        <f>VLOOKUP($A13,'Data shares'!$C:$FB,125)</f>
        <v>0.59</v>
      </c>
      <c r="Q13" s="50">
        <f>VLOOKUP($A13,'Data shares'!$C:$FB,127)*100</f>
        <v>0</v>
      </c>
    </row>
    <row r="14" spans="1:17" x14ac:dyDescent="0.25">
      <c r="A14" s="97" t="str">
        <f>'Data Vlaue (Cr)'!C9</f>
        <v>ALKEM</v>
      </c>
      <c r="B14" s="140">
        <f>VLOOKUP($A14,'Data shares'!$C:$FB,7)</f>
        <v>5806.5</v>
      </c>
      <c r="C14" s="140">
        <f>VLOOKUP($A14,'Data shares'!$C:$FB,3)</f>
        <v>5824.5</v>
      </c>
      <c r="D14" s="140">
        <f>VLOOKUP($A14,'Data shares'!$C:$FB,4)</f>
        <v>5673.5</v>
      </c>
      <c r="E14" s="50">
        <f>(C14-D14)/D14*100</f>
        <v>2.6614964307746543</v>
      </c>
      <c r="F14" s="49">
        <f>VLOOKUP($A14,'Data shares'!$C:$FB,98)</f>
        <v>1866750</v>
      </c>
      <c r="G14" s="49">
        <f>VLOOKUP($A14,'Data shares'!$C:$FB,99)</f>
        <v>1784750</v>
      </c>
      <c r="H14" s="50">
        <f t="shared" si="1"/>
        <v>4.5944810197506651</v>
      </c>
      <c r="I14" s="49">
        <f>VLOOKUP($A14,'Data shares'!$C:$FB,66)</f>
        <v>2065125</v>
      </c>
      <c r="J14" s="49">
        <f>VLOOKUP($A14,'Data shares'!$C:$FB,67)</f>
        <v>652000</v>
      </c>
      <c r="K14" s="50">
        <f t="shared" si="2"/>
        <v>68.428061255371958</v>
      </c>
      <c r="L14" s="50">
        <f>VLOOKUP($A14,'Data shares'!$C:$FB,118)</f>
        <v>0.71</v>
      </c>
      <c r="M14" s="50">
        <f>VLOOKUP($A14,'Data shares'!$C:$FB,119)</f>
        <v>0.78</v>
      </c>
      <c r="N14" s="50">
        <f>VLOOKUP($A14,'Data shares'!$C:$FB,121)*100</f>
        <v>-8.9700000000000006</v>
      </c>
      <c r="O14" s="50">
        <f>VLOOKUP($A14,'Data shares'!$C:$FB,124)</f>
        <v>0.17</v>
      </c>
      <c r="P14" s="50">
        <f>VLOOKUP($A14,'Data shares'!$C:$FB,125)</f>
        <v>0.21</v>
      </c>
      <c r="Q14" s="50">
        <f>VLOOKUP($A14,'Data shares'!$C:$FB,127)*100</f>
        <v>-19.05</v>
      </c>
    </row>
    <row r="15" spans="1:17" x14ac:dyDescent="0.25">
      <c r="A15" s="97" t="str">
        <f>'Data Vlaue (Cr)'!C10</f>
        <v>AMBER</v>
      </c>
      <c r="B15" s="140">
        <f>VLOOKUP($A15,'Data shares'!$C:$FB,7)</f>
        <v>6653</v>
      </c>
      <c r="C15" s="140">
        <f>VLOOKUP($A15,'Data shares'!$C:$FB,3)</f>
        <v>6673.5</v>
      </c>
      <c r="D15" s="140">
        <f>VLOOKUP($A15,'Data shares'!$C:$FB,4)</f>
        <v>6713</v>
      </c>
      <c r="E15" s="50">
        <f t="shared" si="0"/>
        <v>-0.58841054670043202</v>
      </c>
      <c r="F15" s="49">
        <f>VLOOKUP($A15,'Data shares'!$C:$FB,98)</f>
        <v>1729300</v>
      </c>
      <c r="G15" s="49">
        <f>VLOOKUP($A15,'Data shares'!$C:$FB,99)</f>
        <v>1678900</v>
      </c>
      <c r="H15" s="50">
        <f t="shared" si="1"/>
        <v>3.0019655726964083</v>
      </c>
      <c r="I15" s="49">
        <f>VLOOKUP($A15,'Data shares'!$C:$FB,66)</f>
        <v>642100</v>
      </c>
      <c r="J15" s="49">
        <f>VLOOKUP($A15,'Data shares'!$C:$FB,67)</f>
        <v>1380000</v>
      </c>
      <c r="K15" s="50">
        <f t="shared" si="2"/>
        <v>-114.91979442454445</v>
      </c>
      <c r="L15" s="50">
        <f>VLOOKUP($A15,'Data shares'!$C:$FB,118)</f>
        <v>0.72</v>
      </c>
      <c r="M15" s="50">
        <f>VLOOKUP($A15,'Data shares'!$C:$FB,119)</f>
        <v>0.79</v>
      </c>
      <c r="N15" s="50">
        <f>VLOOKUP($A15,'Data shares'!$C:$FB,121)*100</f>
        <v>-8.86</v>
      </c>
      <c r="O15" s="50">
        <f>VLOOKUP($A15,'Data shares'!$C:$FB,124)</f>
        <v>0.48</v>
      </c>
      <c r="P15" s="50">
        <f>VLOOKUP($A15,'Data shares'!$C:$FB,125)</f>
        <v>0.87</v>
      </c>
      <c r="Q15" s="50">
        <f>VLOOKUP($A15,'Data shares'!$C:$FB,127)*100</f>
        <v>-44.83</v>
      </c>
    </row>
    <row r="16" spans="1:17" x14ac:dyDescent="0.25">
      <c r="A16" s="97" t="str">
        <f>'Data Vlaue (Cr)'!C11</f>
        <v>AMBUJACEM</v>
      </c>
      <c r="B16" s="140">
        <f>VLOOKUP($A16,'Data shares'!$C:$FB,7)</f>
        <v>562</v>
      </c>
      <c r="C16" s="140">
        <f>VLOOKUP($A16,'Data shares'!$C:$FB,3)</f>
        <v>564.6</v>
      </c>
      <c r="D16" s="140">
        <f>VLOOKUP($A16,'Data shares'!$C:$FB,4)</f>
        <v>564.95000000000005</v>
      </c>
      <c r="E16" s="50">
        <f t="shared" si="0"/>
        <v>-6.1952385166832949E-2</v>
      </c>
      <c r="F16" s="49">
        <f>VLOOKUP($A16,'Data shares'!$C:$FB,98)</f>
        <v>74105850</v>
      </c>
      <c r="G16" s="49">
        <f>VLOOKUP($A16,'Data shares'!$C:$FB,99)</f>
        <v>73926300</v>
      </c>
      <c r="H16" s="50">
        <f t="shared" si="1"/>
        <v>0.24287702752606313</v>
      </c>
      <c r="I16" s="49">
        <f>VLOOKUP($A16,'Data shares'!$C:$FB,66)</f>
        <v>12508650</v>
      </c>
      <c r="J16" s="49">
        <f>VLOOKUP($A16,'Data shares'!$C:$FB,67)</f>
        <v>16533300</v>
      </c>
      <c r="K16" s="50">
        <f t="shared" si="2"/>
        <v>-32.174934945018045</v>
      </c>
      <c r="L16" s="50">
        <f>VLOOKUP($A16,'Data shares'!$C:$FB,118)</f>
        <v>0.9</v>
      </c>
      <c r="M16" s="50">
        <f>VLOOKUP($A16,'Data shares'!$C:$FB,119)</f>
        <v>0.9</v>
      </c>
      <c r="N16" s="50">
        <f>VLOOKUP($A16,'Data shares'!$C:$FB,121)*100</f>
        <v>0</v>
      </c>
      <c r="O16" s="50">
        <f>VLOOKUP($A16,'Data shares'!$C:$FB,124)</f>
        <v>0.46</v>
      </c>
      <c r="P16" s="50">
        <f>VLOOKUP($A16,'Data shares'!$C:$FB,125)</f>
        <v>0.65</v>
      </c>
      <c r="Q16" s="50">
        <f>VLOOKUP($A16,'Data shares'!$C:$FB,127)*100</f>
        <v>-29.23</v>
      </c>
    </row>
    <row r="17" spans="1:17" x14ac:dyDescent="0.25">
      <c r="A17" s="97" t="str">
        <f>'Data Vlaue (Cr)'!C12</f>
        <v>ANGELONE</v>
      </c>
      <c r="B17" s="140">
        <f>VLOOKUP($A17,'Data shares'!$C:$FB,7)</f>
        <v>2470.6</v>
      </c>
      <c r="C17" s="140">
        <f>VLOOKUP($A17,'Data shares'!$C:$FB,3)</f>
        <v>2469.3000000000002</v>
      </c>
      <c r="D17" s="140">
        <f>VLOOKUP($A17,'Data shares'!$C:$FB,4)</f>
        <v>2416</v>
      </c>
      <c r="E17" s="50">
        <f t="shared" si="0"/>
        <v>2.206125827814577</v>
      </c>
      <c r="F17" s="49">
        <f>VLOOKUP($A17,'Data shares'!$C:$FB,98)</f>
        <v>7920750</v>
      </c>
      <c r="G17" s="49">
        <f>VLOOKUP($A17,'Data shares'!$C:$FB,99)</f>
        <v>8048000</v>
      </c>
      <c r="H17" s="50">
        <f t="shared" si="1"/>
        <v>-1.581138170974155</v>
      </c>
      <c r="I17" s="49">
        <f>VLOOKUP($A17,'Data shares'!$C:$FB,66)</f>
        <v>7481750</v>
      </c>
      <c r="J17" s="49">
        <f>VLOOKUP($A17,'Data shares'!$C:$FB,67)</f>
        <v>6307250</v>
      </c>
      <c r="K17" s="50">
        <f t="shared" si="2"/>
        <v>15.698198950780231</v>
      </c>
      <c r="L17" s="50">
        <f>VLOOKUP($A17,'Data shares'!$C:$FB,118)</f>
        <v>1</v>
      </c>
      <c r="M17" s="50">
        <f>VLOOKUP($A17,'Data shares'!$C:$FB,119)</f>
        <v>0.88</v>
      </c>
      <c r="N17" s="50">
        <f>VLOOKUP($A17,'Data shares'!$C:$FB,121)*100</f>
        <v>13.639999999999999</v>
      </c>
      <c r="O17" s="50">
        <f>VLOOKUP($A17,'Data shares'!$C:$FB,124)</f>
        <v>0.62</v>
      </c>
      <c r="P17" s="50">
        <f>VLOOKUP($A17,'Data shares'!$C:$FB,125)</f>
        <v>0.52</v>
      </c>
      <c r="Q17" s="50">
        <f>VLOOKUP($A17,'Data shares'!$C:$FB,127)*100</f>
        <v>19.23</v>
      </c>
    </row>
    <row r="18" spans="1:17" x14ac:dyDescent="0.25">
      <c r="A18" s="97" t="str">
        <f>'Data Vlaue (Cr)'!C13</f>
        <v>APLAPOLLO</v>
      </c>
      <c r="B18" s="140">
        <f>VLOOKUP($A18,'Data shares'!$C:$FB,7)</f>
        <v>1949.8</v>
      </c>
      <c r="C18" s="140">
        <f>VLOOKUP($A18,'Data shares'!$C:$FB,3)</f>
        <v>1957.5</v>
      </c>
      <c r="D18" s="140">
        <f>VLOOKUP($A18,'Data shares'!$C:$FB,4)</f>
        <v>1953.3</v>
      </c>
      <c r="E18" s="50">
        <f t="shared" si="0"/>
        <v>0.2150207341422232</v>
      </c>
      <c r="F18" s="49">
        <f>VLOOKUP($A18,'Data shares'!$C:$FB,98)</f>
        <v>11677750</v>
      </c>
      <c r="G18" s="49">
        <f>VLOOKUP($A18,'Data shares'!$C:$FB,99)</f>
        <v>11703300</v>
      </c>
      <c r="H18" s="50">
        <f t="shared" si="1"/>
        <v>-0.21831449249357018</v>
      </c>
      <c r="I18" s="49">
        <f>VLOOKUP($A18,'Data shares'!$C:$FB,66)</f>
        <v>925050</v>
      </c>
      <c r="J18" s="49">
        <f>VLOOKUP($A18,'Data shares'!$C:$FB,67)</f>
        <v>1783250</v>
      </c>
      <c r="K18" s="50">
        <f t="shared" si="2"/>
        <v>-92.773363601967461</v>
      </c>
      <c r="L18" s="50">
        <f>VLOOKUP($A18,'Data shares'!$C:$FB,118)</f>
        <v>0.54</v>
      </c>
      <c r="M18" s="50">
        <f>VLOOKUP($A18,'Data shares'!$C:$FB,119)</f>
        <v>0.54</v>
      </c>
      <c r="N18" s="50">
        <f>VLOOKUP($A18,'Data shares'!$C:$FB,121)*100</f>
        <v>0</v>
      </c>
      <c r="O18" s="50">
        <f>VLOOKUP($A18,'Data shares'!$C:$FB,124)</f>
        <v>0.22</v>
      </c>
      <c r="P18" s="50">
        <f>VLOOKUP($A18,'Data shares'!$C:$FB,125)</f>
        <v>0.24</v>
      </c>
      <c r="Q18" s="50">
        <f>VLOOKUP($A18,'Data shares'!$C:$FB,127)*100</f>
        <v>-8.33</v>
      </c>
    </row>
    <row r="19" spans="1:17" x14ac:dyDescent="0.25">
      <c r="A19" s="97" t="str">
        <f>'Data Vlaue (Cr)'!C14</f>
        <v>APOLLOHOSP</v>
      </c>
      <c r="B19" s="140">
        <f>VLOOKUP($A19,'Data shares'!$C:$FB,7)</f>
        <v>7447.5</v>
      </c>
      <c r="C19" s="140">
        <f>VLOOKUP($A19,'Data shares'!$C:$FB,3)</f>
        <v>7474</v>
      </c>
      <c r="D19" s="140">
        <f>VLOOKUP($A19,'Data shares'!$C:$FB,4)</f>
        <v>7365</v>
      </c>
      <c r="E19" s="50">
        <f t="shared" si="0"/>
        <v>1.4799728445349627</v>
      </c>
      <c r="F19" s="49">
        <f>VLOOKUP($A19,'Data shares'!$C:$FB,98)</f>
        <v>5443000</v>
      </c>
      <c r="G19" s="49">
        <f>VLOOKUP($A19,'Data shares'!$C:$FB,99)</f>
        <v>5068125</v>
      </c>
      <c r="H19" s="50">
        <f t="shared" si="1"/>
        <v>7.3967196941669755</v>
      </c>
      <c r="I19" s="49">
        <f>VLOOKUP($A19,'Data shares'!$C:$FB,66)</f>
        <v>11901625</v>
      </c>
      <c r="J19" s="49">
        <f>VLOOKUP($A19,'Data shares'!$C:$FB,67)</f>
        <v>12715250</v>
      </c>
      <c r="K19" s="50">
        <f t="shared" si="2"/>
        <v>-6.8362513522313124</v>
      </c>
      <c r="L19" s="50">
        <f>VLOOKUP($A19,'Data shares'!$C:$FB,118)</f>
        <v>0.98</v>
      </c>
      <c r="M19" s="50">
        <f>VLOOKUP($A19,'Data shares'!$C:$FB,119)</f>
        <v>0.85</v>
      </c>
      <c r="N19" s="50">
        <f>VLOOKUP($A19,'Data shares'!$C:$FB,121)*100</f>
        <v>15.290000000000001</v>
      </c>
      <c r="O19" s="50">
        <f>VLOOKUP($A19,'Data shares'!$C:$FB,124)</f>
        <v>0.39</v>
      </c>
      <c r="P19" s="50">
        <f>VLOOKUP($A19,'Data shares'!$C:$FB,125)</f>
        <v>0.32</v>
      </c>
      <c r="Q19" s="50">
        <f>VLOOKUP($A19,'Data shares'!$C:$FB,127)*100</f>
        <v>21.88</v>
      </c>
    </row>
    <row r="20" spans="1:17" x14ac:dyDescent="0.25">
      <c r="A20" s="97" t="str">
        <f>'Data Vlaue (Cr)'!C15</f>
        <v>ASHOKLEY</v>
      </c>
      <c r="B20" s="140">
        <f>VLOOKUP($A20,'Data shares'!$C:$FB,7)</f>
        <v>186.12</v>
      </c>
      <c r="C20" s="140">
        <f>VLOOKUP($A20,'Data shares'!$C:$FB,3)</f>
        <v>185.76</v>
      </c>
      <c r="D20" s="140">
        <f>VLOOKUP($A20,'Data shares'!$C:$FB,4)</f>
        <v>185.97</v>
      </c>
      <c r="E20" s="50">
        <f t="shared" si="0"/>
        <v>-0.11292143894176906</v>
      </c>
      <c r="F20" s="49">
        <f>VLOOKUP($A20,'Data shares'!$C:$FB,98)</f>
        <v>277595000</v>
      </c>
      <c r="G20" s="49">
        <f>VLOOKUP($A20,'Data shares'!$C:$FB,99)</f>
        <v>277255000</v>
      </c>
      <c r="H20" s="50">
        <f t="shared" si="1"/>
        <v>0.12263079114894231</v>
      </c>
      <c r="I20" s="49">
        <f>VLOOKUP($A20,'Data shares'!$C:$FB,66)</f>
        <v>77240000</v>
      </c>
      <c r="J20" s="49">
        <f>VLOOKUP($A20,'Data shares'!$C:$FB,67)</f>
        <v>94085000</v>
      </c>
      <c r="K20" s="50">
        <f t="shared" si="2"/>
        <v>-21.808648368720871</v>
      </c>
      <c r="L20" s="50">
        <f>VLOOKUP($A20,'Data shares'!$C:$FB,118)</f>
        <v>0.73</v>
      </c>
      <c r="M20" s="50">
        <f>VLOOKUP($A20,'Data shares'!$C:$FB,119)</f>
        <v>0.72</v>
      </c>
      <c r="N20" s="50">
        <f>VLOOKUP($A20,'Data shares'!$C:$FB,121)*100</f>
        <v>1.39</v>
      </c>
      <c r="O20" s="50">
        <f>VLOOKUP($A20,'Data shares'!$C:$FB,124)</f>
        <v>0.59</v>
      </c>
      <c r="P20" s="50">
        <f>VLOOKUP($A20,'Data shares'!$C:$FB,125)</f>
        <v>0.4</v>
      </c>
      <c r="Q20" s="50">
        <f>VLOOKUP($A20,'Data shares'!$C:$FB,127)*100</f>
        <v>47.5</v>
      </c>
    </row>
    <row r="21" spans="1:17" x14ac:dyDescent="0.25">
      <c r="A21" s="97" t="str">
        <f>'Data Vlaue (Cr)'!C16</f>
        <v>ASIANPAINT</v>
      </c>
      <c r="B21" s="140">
        <f>VLOOKUP($A21,'Data shares'!$C:$FB,7)</f>
        <v>2809.4</v>
      </c>
      <c r="C21" s="140">
        <f>VLOOKUP($A21,'Data shares'!$C:$FB,3)</f>
        <v>2811.8</v>
      </c>
      <c r="D21" s="140">
        <f>VLOOKUP($A21,'Data shares'!$C:$FB,4)</f>
        <v>2850.5</v>
      </c>
      <c r="E21" s="50">
        <f t="shared" si="0"/>
        <v>-1.3576565514821897</v>
      </c>
      <c r="F21" s="49">
        <f>VLOOKUP($A21,'Data shares'!$C:$FB,98)</f>
        <v>20824500</v>
      </c>
      <c r="G21" s="49">
        <f>VLOOKUP($A21,'Data shares'!$C:$FB,99)</f>
        <v>20495000</v>
      </c>
      <c r="H21" s="50">
        <f t="shared" si="1"/>
        <v>1.6077091973652109</v>
      </c>
      <c r="I21" s="49">
        <f>VLOOKUP($A21,'Data shares'!$C:$FB,66)</f>
        <v>9168750</v>
      </c>
      <c r="J21" s="49">
        <f>VLOOKUP($A21,'Data shares'!$C:$FB,67)</f>
        <v>12582000</v>
      </c>
      <c r="K21" s="50">
        <f t="shared" si="2"/>
        <v>-37.226993865030678</v>
      </c>
      <c r="L21" s="50">
        <f>VLOOKUP($A21,'Data shares'!$C:$FB,118)</f>
        <v>0.73</v>
      </c>
      <c r="M21" s="50">
        <f>VLOOKUP($A21,'Data shares'!$C:$FB,119)</f>
        <v>0.72</v>
      </c>
      <c r="N21" s="50">
        <f>VLOOKUP($A21,'Data shares'!$C:$FB,121)*100</f>
        <v>1.39</v>
      </c>
      <c r="O21" s="50">
        <f>VLOOKUP($A21,'Data shares'!$C:$FB,124)</f>
        <v>0.59</v>
      </c>
      <c r="P21" s="50">
        <f>VLOOKUP($A21,'Data shares'!$C:$FB,125)</f>
        <v>0.48</v>
      </c>
      <c r="Q21" s="50">
        <f>VLOOKUP($A21,'Data shares'!$C:$FB,127)*100</f>
        <v>22.919999999999998</v>
      </c>
    </row>
    <row r="22" spans="1:17" x14ac:dyDescent="0.25">
      <c r="A22" s="97" t="str">
        <f>'Data Vlaue (Cr)'!C17</f>
        <v>ASTRAL</v>
      </c>
      <c r="B22" s="140">
        <f>VLOOKUP($A22,'Data shares'!$C:$FB,7)</f>
        <v>1502.6</v>
      </c>
      <c r="C22" s="140">
        <f>VLOOKUP($A22,'Data shares'!$C:$FB,3)</f>
        <v>1503.7</v>
      </c>
      <c r="D22" s="140">
        <f>VLOOKUP($A22,'Data shares'!$C:$FB,4)</f>
        <v>1493.1</v>
      </c>
      <c r="E22" s="50">
        <f t="shared" si="0"/>
        <v>0.70993235550198486</v>
      </c>
      <c r="F22" s="49">
        <f>VLOOKUP($A22,'Data shares'!$C:$FB,98)</f>
        <v>11444400</v>
      </c>
      <c r="G22" s="49">
        <f>VLOOKUP($A22,'Data shares'!$C:$FB,99)</f>
        <v>11280350</v>
      </c>
      <c r="H22" s="50">
        <f t="shared" si="1"/>
        <v>1.4542988471102403</v>
      </c>
      <c r="I22" s="49">
        <f>VLOOKUP($A22,'Data shares'!$C:$FB,66)</f>
        <v>9841300</v>
      </c>
      <c r="J22" s="49">
        <f>VLOOKUP($A22,'Data shares'!$C:$FB,67)</f>
        <v>3336250</v>
      </c>
      <c r="K22" s="50">
        <f t="shared" si="2"/>
        <v>66.099499049922258</v>
      </c>
      <c r="L22" s="50">
        <f>VLOOKUP($A22,'Data shares'!$C:$FB,118)</f>
        <v>0.76</v>
      </c>
      <c r="M22" s="50">
        <f>VLOOKUP($A22,'Data shares'!$C:$FB,119)</f>
        <v>0.76</v>
      </c>
      <c r="N22" s="50">
        <f>VLOOKUP($A22,'Data shares'!$C:$FB,121)*100</f>
        <v>0</v>
      </c>
      <c r="O22" s="50">
        <f>VLOOKUP($A22,'Data shares'!$C:$FB,124)</f>
        <v>0.52</v>
      </c>
      <c r="P22" s="50">
        <f>VLOOKUP($A22,'Data shares'!$C:$FB,125)</f>
        <v>0.51</v>
      </c>
      <c r="Q22" s="50">
        <f>VLOOKUP($A22,'Data shares'!$C:$FB,127)*100</f>
        <v>1.96</v>
      </c>
    </row>
    <row r="23" spans="1:17" x14ac:dyDescent="0.25">
      <c r="A23" s="97" t="str">
        <f>'Data Vlaue (Cr)'!C18</f>
        <v>AUBANK</v>
      </c>
      <c r="B23" s="140">
        <f>VLOOKUP($A23,'Data shares'!$C:$FB,7)</f>
        <v>1004.55</v>
      </c>
      <c r="C23" s="140">
        <f>VLOOKUP($A23,'Data shares'!$C:$FB,3)</f>
        <v>1007.9</v>
      </c>
      <c r="D23" s="140">
        <f>VLOOKUP($A23,'Data shares'!$C:$FB,4)</f>
        <v>1013.9</v>
      </c>
      <c r="E23" s="50">
        <f t="shared" si="0"/>
        <v>-0.59177433671959767</v>
      </c>
      <c r="F23" s="49">
        <f>VLOOKUP($A23,'Data shares'!$C:$FB,98)</f>
        <v>29066000</v>
      </c>
      <c r="G23" s="49">
        <f>VLOOKUP($A23,'Data shares'!$C:$FB,99)</f>
        <v>28844000</v>
      </c>
      <c r="H23" s="50">
        <f t="shared" si="1"/>
        <v>0.76965746775759258</v>
      </c>
      <c r="I23" s="49">
        <f>VLOOKUP($A23,'Data shares'!$C:$FB,66)</f>
        <v>7506000</v>
      </c>
      <c r="J23" s="49">
        <f>VLOOKUP($A23,'Data shares'!$C:$FB,67)</f>
        <v>7750000</v>
      </c>
      <c r="K23" s="50">
        <f t="shared" si="2"/>
        <v>-3.2507327471356247</v>
      </c>
      <c r="L23" s="50">
        <f>VLOOKUP($A23,'Data shares'!$C:$FB,118)</f>
        <v>0.7</v>
      </c>
      <c r="M23" s="50">
        <f>VLOOKUP($A23,'Data shares'!$C:$FB,119)</f>
        <v>0.76</v>
      </c>
      <c r="N23" s="50">
        <f>VLOOKUP($A23,'Data shares'!$C:$FB,121)*100</f>
        <v>-7.89</v>
      </c>
      <c r="O23" s="50">
        <f>VLOOKUP($A23,'Data shares'!$C:$FB,124)</f>
        <v>0.62</v>
      </c>
      <c r="P23" s="50">
        <f>VLOOKUP($A23,'Data shares'!$C:$FB,125)</f>
        <v>0.72</v>
      </c>
      <c r="Q23" s="50">
        <f>VLOOKUP($A23,'Data shares'!$C:$FB,127)*100</f>
        <v>-13.889999999999999</v>
      </c>
    </row>
    <row r="24" spans="1:17" x14ac:dyDescent="0.25">
      <c r="A24" s="97" t="str">
        <f>'Data Vlaue (Cr)'!C19</f>
        <v>AUROPHARMA</v>
      </c>
      <c r="B24" s="140">
        <f>VLOOKUP($A24,'Data shares'!$C:$FB,7)</f>
        <v>1235.4000000000001</v>
      </c>
      <c r="C24" s="140">
        <f>VLOOKUP($A24,'Data shares'!$C:$FB,3)</f>
        <v>1241.5999999999999</v>
      </c>
      <c r="D24" s="140">
        <f>VLOOKUP($A24,'Data shares'!$C:$FB,4)</f>
        <v>1237.5999999999999</v>
      </c>
      <c r="E24" s="50">
        <f t="shared" si="0"/>
        <v>0.32320620555914675</v>
      </c>
      <c r="F24" s="49">
        <f>VLOOKUP($A24,'Data shares'!$C:$FB,98)</f>
        <v>30742800</v>
      </c>
      <c r="G24" s="49">
        <f>VLOOKUP($A24,'Data shares'!$C:$FB,99)</f>
        <v>28785350</v>
      </c>
      <c r="H24" s="50">
        <f t="shared" si="1"/>
        <v>6.8001604983090349</v>
      </c>
      <c r="I24" s="49">
        <f>VLOOKUP($A24,'Data shares'!$C:$FB,66)</f>
        <v>28097300</v>
      </c>
      <c r="J24" s="49">
        <f>VLOOKUP($A24,'Data shares'!$C:$FB,67)</f>
        <v>13752750</v>
      </c>
      <c r="K24" s="50">
        <f t="shared" si="2"/>
        <v>51.053126101084445</v>
      </c>
      <c r="L24" s="50">
        <f>VLOOKUP($A24,'Data shares'!$C:$FB,118)</f>
        <v>0.54</v>
      </c>
      <c r="M24" s="50">
        <f>VLOOKUP($A24,'Data shares'!$C:$FB,119)</f>
        <v>0.59</v>
      </c>
      <c r="N24" s="50">
        <f>VLOOKUP($A24,'Data shares'!$C:$FB,121)*100</f>
        <v>-8.4699999999999989</v>
      </c>
      <c r="O24" s="50">
        <f>VLOOKUP($A24,'Data shares'!$C:$FB,124)</f>
        <v>0.26</v>
      </c>
      <c r="P24" s="50">
        <f>VLOOKUP($A24,'Data shares'!$C:$FB,125)</f>
        <v>0.31</v>
      </c>
      <c r="Q24" s="50">
        <f>VLOOKUP($A24,'Data shares'!$C:$FB,127)*100</f>
        <v>-16.13</v>
      </c>
    </row>
    <row r="25" spans="1:17" x14ac:dyDescent="0.25">
      <c r="A25" s="97" t="str">
        <f>'Data Vlaue (Cr)'!C20</f>
        <v>AXISBANK</v>
      </c>
      <c r="B25" s="140">
        <f>VLOOKUP($A25,'Data shares'!$C:$FB,7)</f>
        <v>1295.5</v>
      </c>
      <c r="C25" s="140">
        <f>VLOOKUP($A25,'Data shares'!$C:$FB,3)</f>
        <v>1297.8</v>
      </c>
      <c r="D25" s="140">
        <f>VLOOKUP($A25,'Data shares'!$C:$FB,4)</f>
        <v>1296.8</v>
      </c>
      <c r="E25" s="50">
        <f t="shared" si="0"/>
        <v>7.7112893275755712E-2</v>
      </c>
      <c r="F25" s="49">
        <f>VLOOKUP($A25,'Data shares'!$C:$FB,98)</f>
        <v>116316250</v>
      </c>
      <c r="G25" s="49">
        <f>VLOOKUP($A25,'Data shares'!$C:$FB,99)</f>
        <v>113126250</v>
      </c>
      <c r="H25" s="50">
        <f t="shared" si="1"/>
        <v>2.8198583441066951</v>
      </c>
      <c r="I25" s="49">
        <f>VLOOKUP($A25,'Data shares'!$C:$FB,66)</f>
        <v>41406875</v>
      </c>
      <c r="J25" s="49">
        <f>VLOOKUP($A25,'Data shares'!$C:$FB,67)</f>
        <v>76201875</v>
      </c>
      <c r="K25" s="50">
        <f t="shared" si="2"/>
        <v>-84.031939140541283</v>
      </c>
      <c r="L25" s="50">
        <f>VLOOKUP($A25,'Data shares'!$C:$FB,118)</f>
        <v>0.55000000000000004</v>
      </c>
      <c r="M25" s="50">
        <f>VLOOKUP($A25,'Data shares'!$C:$FB,119)</f>
        <v>0.57999999999999996</v>
      </c>
      <c r="N25" s="50">
        <f>VLOOKUP($A25,'Data shares'!$C:$FB,121)*100</f>
        <v>-5.17</v>
      </c>
      <c r="O25" s="50">
        <f>VLOOKUP($A25,'Data shares'!$C:$FB,124)</f>
        <v>0.56000000000000005</v>
      </c>
      <c r="P25" s="50">
        <f>VLOOKUP($A25,'Data shares'!$C:$FB,125)</f>
        <v>0.45</v>
      </c>
      <c r="Q25" s="50">
        <f>VLOOKUP($A25,'Data shares'!$C:$FB,127)*100</f>
        <v>24.44</v>
      </c>
    </row>
    <row r="26" spans="1:17" x14ac:dyDescent="0.25">
      <c r="A26" s="97" t="str">
        <f>'Data Vlaue (Cr)'!C21</f>
        <v>BAJAJ-AUTO</v>
      </c>
      <c r="B26" s="140">
        <f>VLOOKUP($A26,'Data shares'!$C:$FB,7)</f>
        <v>9789.5</v>
      </c>
      <c r="C26" s="140">
        <f>VLOOKUP($A26,'Data shares'!$C:$FB,3)</f>
        <v>9802.5</v>
      </c>
      <c r="D26" s="140">
        <f>VLOOKUP($A26,'Data shares'!$C:$FB,4)</f>
        <v>9686</v>
      </c>
      <c r="E26" s="50">
        <f t="shared" si="0"/>
        <v>1.2027668800330373</v>
      </c>
      <c r="F26" s="49">
        <f>VLOOKUP($A26,'Data shares'!$C:$FB,98)</f>
        <v>6354000</v>
      </c>
      <c r="G26" s="49">
        <f>VLOOKUP($A26,'Data shares'!$C:$FB,99)</f>
        <v>5973525</v>
      </c>
      <c r="H26" s="50">
        <f t="shared" si="1"/>
        <v>6.3693547779577395</v>
      </c>
      <c r="I26" s="49">
        <f>VLOOKUP($A26,'Data shares'!$C:$FB,66)</f>
        <v>5938800</v>
      </c>
      <c r="J26" s="49">
        <f>VLOOKUP($A26,'Data shares'!$C:$FB,67)</f>
        <v>9964200</v>
      </c>
      <c r="K26" s="50">
        <f t="shared" si="2"/>
        <v>-67.781369973732069</v>
      </c>
      <c r="L26" s="50">
        <f>VLOOKUP($A26,'Data shares'!$C:$FB,118)</f>
        <v>0.82</v>
      </c>
      <c r="M26" s="50">
        <f>VLOOKUP($A26,'Data shares'!$C:$FB,119)</f>
        <v>0.78</v>
      </c>
      <c r="N26" s="50">
        <f>VLOOKUP($A26,'Data shares'!$C:$FB,121)*100</f>
        <v>5.13</v>
      </c>
      <c r="O26" s="50">
        <f>VLOOKUP($A26,'Data shares'!$C:$FB,124)</f>
        <v>0.56000000000000005</v>
      </c>
      <c r="P26" s="50">
        <f>VLOOKUP($A26,'Data shares'!$C:$FB,125)</f>
        <v>0.45</v>
      </c>
      <c r="Q26" s="50">
        <f>VLOOKUP($A26,'Data shares'!$C:$FB,127)*100</f>
        <v>24.44</v>
      </c>
    </row>
    <row r="27" spans="1:17" x14ac:dyDescent="0.25">
      <c r="A27" s="97" t="str">
        <f>'Data Vlaue (Cr)'!C22</f>
        <v>BAJAJFINSV</v>
      </c>
      <c r="B27" s="140">
        <f>VLOOKUP($A27,'Data shares'!$C:$FB,7)</f>
        <v>2031.9</v>
      </c>
      <c r="C27" s="140">
        <f>VLOOKUP($A27,'Data shares'!$C:$FB,3)</f>
        <v>2036.2</v>
      </c>
      <c r="D27" s="140">
        <f>VLOOKUP($A27,'Data shares'!$C:$FB,4)</f>
        <v>2055.1999999999998</v>
      </c>
      <c r="E27" s="50">
        <f t="shared" si="0"/>
        <v>-0.92448423511092714</v>
      </c>
      <c r="F27" s="49">
        <f>VLOOKUP($A27,'Data shares'!$C:$FB,98)</f>
        <v>25300750</v>
      </c>
      <c r="G27" s="49">
        <f>VLOOKUP($A27,'Data shares'!$C:$FB,99)</f>
        <v>24910500</v>
      </c>
      <c r="H27" s="50">
        <f t="shared" si="1"/>
        <v>1.5666084582806445</v>
      </c>
      <c r="I27" s="49">
        <f>VLOOKUP($A27,'Data shares'!$C:$FB,66)</f>
        <v>6950750</v>
      </c>
      <c r="J27" s="49">
        <f>VLOOKUP($A27,'Data shares'!$C:$FB,67)</f>
        <v>16759250</v>
      </c>
      <c r="K27" s="50">
        <f t="shared" si="2"/>
        <v>-141.11426824443404</v>
      </c>
      <c r="L27" s="50">
        <f>VLOOKUP($A27,'Data shares'!$C:$FB,118)</f>
        <v>0.69</v>
      </c>
      <c r="M27" s="50">
        <f>VLOOKUP($A27,'Data shares'!$C:$FB,119)</f>
        <v>0.71</v>
      </c>
      <c r="N27" s="50">
        <f>VLOOKUP($A27,'Data shares'!$C:$FB,121)*100</f>
        <v>-2.82</v>
      </c>
      <c r="O27" s="50">
        <f>VLOOKUP($A27,'Data shares'!$C:$FB,124)</f>
        <v>0.52</v>
      </c>
      <c r="P27" s="50">
        <f>VLOOKUP($A27,'Data shares'!$C:$FB,125)</f>
        <v>0.31</v>
      </c>
      <c r="Q27" s="50">
        <f>VLOOKUP($A27,'Data shares'!$C:$FB,127)*100</f>
        <v>67.739999999999995</v>
      </c>
    </row>
    <row r="28" spans="1:17" x14ac:dyDescent="0.25">
      <c r="A28" s="97" t="str">
        <f>'Data Vlaue (Cr)'!C23</f>
        <v>BAJAJHLDNG</v>
      </c>
      <c r="B28" s="140">
        <f>VLOOKUP($A28,'Data shares'!$C:$FB,7)</f>
        <v>11198</v>
      </c>
      <c r="C28" s="140">
        <f>VLOOKUP($A28,'Data shares'!$C:$FB,3)</f>
        <v>11256</v>
      </c>
      <c r="D28" s="140">
        <f>VLOOKUP($A28,'Data shares'!$C:$FB,4)</f>
        <v>11253</v>
      </c>
      <c r="E28" s="50">
        <f t="shared" si="0"/>
        <v>2.6659557451346308E-2</v>
      </c>
      <c r="F28" s="49">
        <f>VLOOKUP($A28,'Data shares'!$C:$FB,98)</f>
        <v>189800</v>
      </c>
      <c r="G28" s="49">
        <f>VLOOKUP($A28,'Data shares'!$C:$FB,99)</f>
        <v>189600</v>
      </c>
      <c r="H28" s="50">
        <f t="shared" si="1"/>
        <v>0.10548523206751054</v>
      </c>
      <c r="I28" s="49">
        <f>VLOOKUP($A28,'Data shares'!$C:$FB,66)</f>
        <v>131200</v>
      </c>
      <c r="J28" s="49">
        <f>VLOOKUP($A28,'Data shares'!$C:$FB,67)</f>
        <v>159050</v>
      </c>
      <c r="K28" s="50">
        <f t="shared" si="2"/>
        <v>-21.227134146341463</v>
      </c>
      <c r="L28" s="50">
        <f>VLOOKUP($A28,'Data shares'!$C:$FB,118)</f>
        <v>0.44</v>
      </c>
      <c r="M28" s="50">
        <f>VLOOKUP($A28,'Data shares'!$C:$FB,119)</f>
        <v>0.49</v>
      </c>
      <c r="N28" s="50">
        <f>VLOOKUP($A28,'Data shares'!$C:$FB,121)*100</f>
        <v>-10.199999999999999</v>
      </c>
      <c r="O28" s="50">
        <f>VLOOKUP($A28,'Data shares'!$C:$FB,124)</f>
        <v>0.13</v>
      </c>
      <c r="P28" s="50">
        <f>VLOOKUP($A28,'Data shares'!$C:$FB,125)</f>
        <v>0.28999999999999998</v>
      </c>
      <c r="Q28" s="50">
        <f>VLOOKUP($A28,'Data shares'!$C:$FB,127)*100</f>
        <v>-55.169999999999995</v>
      </c>
    </row>
    <row r="29" spans="1:17" x14ac:dyDescent="0.25">
      <c r="A29" s="97" t="str">
        <f>'Data Vlaue (Cr)'!C24</f>
        <v>BAJFINANCE</v>
      </c>
      <c r="B29" s="140">
        <f>VLOOKUP($A29,'Data shares'!$C:$FB,7)</f>
        <v>968.8</v>
      </c>
      <c r="C29" s="140">
        <f>VLOOKUP($A29,'Data shares'!$C:$FB,3)</f>
        <v>973.4</v>
      </c>
      <c r="D29" s="140">
        <f>VLOOKUP($A29,'Data shares'!$C:$FB,4)</f>
        <v>981.65</v>
      </c>
      <c r="E29" s="50">
        <f t="shared" si="0"/>
        <v>-0.84042173890897975</v>
      </c>
      <c r="F29" s="49">
        <f>VLOOKUP($A29,'Data shares'!$C:$FB,98)</f>
        <v>147978000</v>
      </c>
      <c r="G29" s="49">
        <f>VLOOKUP($A29,'Data shares'!$C:$FB,99)</f>
        <v>144168000</v>
      </c>
      <c r="H29" s="50">
        <f t="shared" si="1"/>
        <v>2.6427501248543366</v>
      </c>
      <c r="I29" s="49">
        <f>VLOOKUP($A29,'Data shares'!$C:$FB,66)</f>
        <v>34084500</v>
      </c>
      <c r="J29" s="49">
        <f>VLOOKUP($A29,'Data shares'!$C:$FB,67)</f>
        <v>33774000</v>
      </c>
      <c r="K29" s="50">
        <f t="shared" si="2"/>
        <v>0.91097126259736838</v>
      </c>
      <c r="L29" s="50">
        <f>VLOOKUP($A29,'Data shares'!$C:$FB,118)</f>
        <v>0.67</v>
      </c>
      <c r="M29" s="50">
        <f>VLOOKUP($A29,'Data shares'!$C:$FB,119)</f>
        <v>0.68</v>
      </c>
      <c r="N29" s="50">
        <f>VLOOKUP($A29,'Data shares'!$C:$FB,121)*100</f>
        <v>-1.47</v>
      </c>
      <c r="O29" s="50">
        <f>VLOOKUP($A29,'Data shares'!$C:$FB,124)</f>
        <v>0.43</v>
      </c>
      <c r="P29" s="50">
        <f>VLOOKUP($A29,'Data shares'!$C:$FB,125)</f>
        <v>0.34</v>
      </c>
      <c r="Q29" s="50">
        <f>VLOOKUP($A29,'Data shares'!$C:$FB,127)*100</f>
        <v>26.47</v>
      </c>
    </row>
    <row r="30" spans="1:17" x14ac:dyDescent="0.25">
      <c r="A30" s="97" t="str">
        <f>'Data Vlaue (Cr)'!C25</f>
        <v>BANDHANBNK</v>
      </c>
      <c r="B30" s="176">
        <f>VLOOKUP($A30,'Data shares'!$C:$FB,7)</f>
        <v>147.63999999999999</v>
      </c>
      <c r="C30" s="176">
        <f>VLOOKUP($A30,'Data shares'!$C:$FB,3)</f>
        <v>148.37</v>
      </c>
      <c r="D30" s="176">
        <f>VLOOKUP($A30,'Data shares'!$C:$FB,4)</f>
        <v>148.37</v>
      </c>
      <c r="E30" s="50">
        <f t="shared" si="0"/>
        <v>0</v>
      </c>
      <c r="F30" s="49">
        <f>VLOOKUP($A30,'Data shares'!$C:$FB,98)</f>
        <v>196675200</v>
      </c>
      <c r="G30" s="49">
        <f>VLOOKUP($A30,'Data shares'!$C:$FB,99)</f>
        <v>193330800</v>
      </c>
      <c r="H30" s="50">
        <f t="shared" si="1"/>
        <v>1.7298847364206842</v>
      </c>
      <c r="I30" s="49">
        <f>VLOOKUP($A30,'Data shares'!$C:$FB,66)</f>
        <v>32608800</v>
      </c>
      <c r="J30" s="49">
        <f>VLOOKUP($A30,'Data shares'!$C:$FB,67)</f>
        <v>47574000</v>
      </c>
      <c r="K30" s="50">
        <f t="shared" si="2"/>
        <v>-45.893133141973948</v>
      </c>
      <c r="L30" s="50">
        <f>VLOOKUP($A30,'Data shares'!$C:$FB,118)</f>
        <v>0.92</v>
      </c>
      <c r="M30" s="50">
        <f>VLOOKUP($A30,'Data shares'!$C:$FB,119)</f>
        <v>0.9</v>
      </c>
      <c r="N30" s="50">
        <f>VLOOKUP($A30,'Data shares'!$C:$FB,121)*100</f>
        <v>2.2200000000000002</v>
      </c>
      <c r="O30" s="50">
        <f>VLOOKUP($A30,'Data shares'!$C:$FB,124)</f>
        <v>0.4</v>
      </c>
      <c r="P30" s="50">
        <f>VLOOKUP($A30,'Data shares'!$C:$FB,125)</f>
        <v>0.32</v>
      </c>
      <c r="Q30" s="50">
        <f>VLOOKUP($A30,'Data shares'!$C:$FB,127)*100</f>
        <v>25</v>
      </c>
    </row>
    <row r="31" spans="1:17" x14ac:dyDescent="0.25">
      <c r="A31" s="97" t="str">
        <f>'Data Vlaue (Cr)'!C26</f>
        <v>BANKBARODA</v>
      </c>
      <c r="B31" s="140">
        <f>VLOOKUP($A31,'Data shares'!$C:$FB,7)</f>
        <v>308.25</v>
      </c>
      <c r="C31" s="140">
        <f>VLOOKUP($A31,'Data shares'!$C:$FB,3)</f>
        <v>308.85000000000002</v>
      </c>
      <c r="D31" s="140">
        <f>VLOOKUP($A31,'Data shares'!$C:$FB,4)</f>
        <v>306.2</v>
      </c>
      <c r="E31" s="50">
        <f t="shared" si="0"/>
        <v>0.86544741998694774</v>
      </c>
      <c r="F31" s="49">
        <f>VLOOKUP($A31,'Data shares'!$C:$FB,98)</f>
        <v>164118825</v>
      </c>
      <c r="G31" s="49">
        <f>VLOOKUP($A31,'Data shares'!$C:$FB,99)</f>
        <v>150897825</v>
      </c>
      <c r="H31" s="50">
        <f t="shared" si="1"/>
        <v>8.7615576964081487</v>
      </c>
      <c r="I31" s="49">
        <f>VLOOKUP($A31,'Data shares'!$C:$FB,66)</f>
        <v>145281825</v>
      </c>
      <c r="J31" s="49">
        <f>VLOOKUP($A31,'Data shares'!$C:$FB,67)</f>
        <v>119179125</v>
      </c>
      <c r="K31" s="50">
        <f t="shared" si="2"/>
        <v>17.966941150415753</v>
      </c>
      <c r="L31" s="50">
        <f>VLOOKUP($A31,'Data shares'!$C:$FB,118)</f>
        <v>0.63</v>
      </c>
      <c r="M31" s="50">
        <f>VLOOKUP($A31,'Data shares'!$C:$FB,119)</f>
        <v>0.8</v>
      </c>
      <c r="N31" s="50">
        <f>VLOOKUP($A31,'Data shares'!$C:$FB,121)*100</f>
        <v>-21.25</v>
      </c>
      <c r="O31" s="50">
        <f>VLOOKUP($A31,'Data shares'!$C:$FB,124)</f>
        <v>0.27</v>
      </c>
      <c r="P31" s="50">
        <f>VLOOKUP($A31,'Data shares'!$C:$FB,125)</f>
        <v>0.53</v>
      </c>
      <c r="Q31" s="50">
        <f>VLOOKUP($A31,'Data shares'!$C:$FB,127)*100</f>
        <v>-49.059999999999995</v>
      </c>
    </row>
    <row r="32" spans="1:17" x14ac:dyDescent="0.25">
      <c r="A32" s="97" t="str">
        <f>'Data Vlaue (Cr)'!C27</f>
        <v>BANKINDIA</v>
      </c>
      <c r="B32" s="140">
        <f>VLOOKUP($A32,'Data shares'!$C:$FB,7)</f>
        <v>151.49</v>
      </c>
      <c r="C32" s="140">
        <f>VLOOKUP($A32,'Data shares'!$C:$FB,3)</f>
        <v>152.04</v>
      </c>
      <c r="D32" s="140">
        <f>VLOOKUP($A32,'Data shares'!$C:$FB,4)</f>
        <v>151.41999999999999</v>
      </c>
      <c r="E32" s="50">
        <f t="shared" si="0"/>
        <v>0.40945713908334741</v>
      </c>
      <c r="F32" s="49">
        <f>VLOOKUP($A32,'Data shares'!$C:$FB,98)</f>
        <v>86273200</v>
      </c>
      <c r="G32" s="49">
        <f>VLOOKUP($A32,'Data shares'!$C:$FB,99)</f>
        <v>84021600</v>
      </c>
      <c r="H32" s="50">
        <f t="shared" si="1"/>
        <v>2.6797871023641542</v>
      </c>
      <c r="I32" s="49">
        <f>VLOOKUP($A32,'Data shares'!$C:$FB,66)</f>
        <v>26717600</v>
      </c>
      <c r="J32" s="49">
        <f>VLOOKUP($A32,'Data shares'!$C:$FB,67)</f>
        <v>54527200</v>
      </c>
      <c r="K32" s="50">
        <f t="shared" si="2"/>
        <v>-104.08719346049047</v>
      </c>
      <c r="L32" s="50">
        <f>VLOOKUP($A32,'Data shares'!$C:$FB,118)</f>
        <v>0.85</v>
      </c>
      <c r="M32" s="50">
        <f>VLOOKUP($A32,'Data shares'!$C:$FB,119)</f>
        <v>0.88</v>
      </c>
      <c r="N32" s="50">
        <f>VLOOKUP($A32,'Data shares'!$C:$FB,121)*100</f>
        <v>-3.4099999999999997</v>
      </c>
      <c r="O32" s="50">
        <f>VLOOKUP($A32,'Data shares'!$C:$FB,124)</f>
        <v>0.45</v>
      </c>
      <c r="P32" s="50">
        <f>VLOOKUP($A32,'Data shares'!$C:$FB,125)</f>
        <v>0.32</v>
      </c>
      <c r="Q32" s="50">
        <f>VLOOKUP($A32,'Data shares'!$C:$FB,127)*100</f>
        <v>40.630000000000003</v>
      </c>
    </row>
    <row r="33" spans="1:17" x14ac:dyDescent="0.25">
      <c r="A33" s="97" t="str">
        <f>'Data Vlaue (Cr)'!C28</f>
        <v>BANKNIFTY</v>
      </c>
      <c r="B33" s="140">
        <f>VLOOKUP($A33,'Data shares'!$C:$FB,7)</f>
        <v>59990.85</v>
      </c>
      <c r="C33" s="140">
        <f>VLOOKUP($A33,'Data shares'!$C:$FB,3)</f>
        <v>60171.199999999997</v>
      </c>
      <c r="D33" s="140">
        <f>VLOOKUP($A33,'Data shares'!$C:$FB,4)</f>
        <v>60312.800000000003</v>
      </c>
      <c r="E33" s="50">
        <f t="shared" si="0"/>
        <v>-0.23477603427465779</v>
      </c>
      <c r="F33" s="49">
        <f>VLOOKUP($A33,'Data shares'!$C:$FB,98)</f>
        <v>28568300</v>
      </c>
      <c r="G33" s="49">
        <f>VLOOKUP($A33,'Data shares'!$C:$FB,99)</f>
        <v>28293380</v>
      </c>
      <c r="H33" s="50">
        <f t="shared" si="1"/>
        <v>0.97167605991224804</v>
      </c>
      <c r="I33" s="49">
        <f>VLOOKUP($A33,'Data shares'!$C:$FB,66)</f>
        <v>60008790</v>
      </c>
      <c r="J33" s="49">
        <f>VLOOKUP($A33,'Data shares'!$C:$FB,67)</f>
        <v>57337590</v>
      </c>
      <c r="K33" s="50">
        <f t="shared" si="2"/>
        <v>4.451347877535941</v>
      </c>
      <c r="L33" s="50">
        <f>VLOOKUP($A33,'Data shares'!$C:$FB,118)</f>
        <v>1.0900000000000001</v>
      </c>
      <c r="M33" s="50">
        <f>VLOOKUP($A33,'Data shares'!$C:$FB,119)</f>
        <v>1.1499999999999999</v>
      </c>
      <c r="N33" s="50">
        <f>VLOOKUP($A33,'Data shares'!$C:$FB,121)*100</f>
        <v>-5.2200000000000006</v>
      </c>
      <c r="O33" s="50">
        <f>VLOOKUP($A33,'Data shares'!$C:$FB,124)</f>
        <v>1.02</v>
      </c>
      <c r="P33" s="50">
        <f>VLOOKUP($A33,'Data shares'!$C:$FB,125)</f>
        <v>0.98</v>
      </c>
      <c r="Q33" s="50">
        <f>VLOOKUP($A33,'Data shares'!$C:$FB,127)*100</f>
        <v>4.08</v>
      </c>
    </row>
    <row r="34" spans="1:17" x14ac:dyDescent="0.25">
      <c r="A34" s="97" t="str">
        <f>'Data Vlaue (Cr)'!C29</f>
        <v>BDL</v>
      </c>
      <c r="B34" s="140">
        <f>VLOOKUP($A34,'Data shares'!$C:$FB,7)</f>
        <v>1539.5</v>
      </c>
      <c r="C34" s="140">
        <f>VLOOKUP($A34,'Data shares'!$C:$FB,3)</f>
        <v>1542.6</v>
      </c>
      <c r="D34" s="140">
        <f>VLOOKUP($A34,'Data shares'!$C:$FB,4)</f>
        <v>1549.8</v>
      </c>
      <c r="E34" s="50">
        <f t="shared" si="0"/>
        <v>-0.46457607433217485</v>
      </c>
      <c r="F34" s="49">
        <f>VLOOKUP($A34,'Data shares'!$C:$FB,98)</f>
        <v>11521300</v>
      </c>
      <c r="G34" s="49">
        <f>VLOOKUP($A34,'Data shares'!$C:$FB,99)</f>
        <v>11512200</v>
      </c>
      <c r="H34" s="50">
        <f t="shared" si="1"/>
        <v>7.9046576675179378E-2</v>
      </c>
      <c r="I34" s="49">
        <f>VLOOKUP($A34,'Data shares'!$C:$FB,66)</f>
        <v>17587150</v>
      </c>
      <c r="J34" s="49">
        <f>VLOOKUP($A34,'Data shares'!$C:$FB,67)</f>
        <v>55735750</v>
      </c>
      <c r="K34" s="50">
        <f t="shared" si="2"/>
        <v>-216.9117793388923</v>
      </c>
      <c r="L34" s="50">
        <f>VLOOKUP($A34,'Data shares'!$C:$FB,118)</f>
        <v>0.76</v>
      </c>
      <c r="M34" s="50">
        <f>VLOOKUP($A34,'Data shares'!$C:$FB,119)</f>
        <v>0.83</v>
      </c>
      <c r="N34" s="50">
        <f>VLOOKUP($A34,'Data shares'!$C:$FB,121)*100</f>
        <v>-8.43</v>
      </c>
      <c r="O34" s="50">
        <f>VLOOKUP($A34,'Data shares'!$C:$FB,124)</f>
        <v>0.49</v>
      </c>
      <c r="P34" s="50">
        <f>VLOOKUP($A34,'Data shares'!$C:$FB,125)</f>
        <v>0.54</v>
      </c>
      <c r="Q34" s="50">
        <f>VLOOKUP($A34,'Data shares'!$C:$FB,127)*100</f>
        <v>-9.26</v>
      </c>
    </row>
    <row r="35" spans="1:17" x14ac:dyDescent="0.25">
      <c r="A35" s="97" t="str">
        <f>'Data Vlaue (Cr)'!C30</f>
        <v>BEL</v>
      </c>
      <c r="B35" s="140">
        <f>VLOOKUP($A35,'Data shares'!$C:$FB,7)</f>
        <v>415.65</v>
      </c>
      <c r="C35" s="140">
        <f>VLOOKUP($A35,'Data shares'!$C:$FB,3)</f>
        <v>417.7</v>
      </c>
      <c r="D35" s="140">
        <f>VLOOKUP($A35,'Data shares'!$C:$FB,4)</f>
        <v>414.45</v>
      </c>
      <c r="E35" s="50">
        <f t="shared" si="0"/>
        <v>0.78417179394378089</v>
      </c>
      <c r="F35" s="49">
        <f>VLOOKUP($A35,'Data shares'!$C:$FB,98)</f>
        <v>202141950</v>
      </c>
      <c r="G35" s="49">
        <f>VLOOKUP($A35,'Data shares'!$C:$FB,99)</f>
        <v>200545950</v>
      </c>
      <c r="H35" s="50">
        <f t="shared" si="1"/>
        <v>0.7958275896371878</v>
      </c>
      <c r="I35" s="49">
        <f>VLOOKUP($A35,'Data shares'!$C:$FB,66)</f>
        <v>92949900</v>
      </c>
      <c r="J35" s="49">
        <f>VLOOKUP($A35,'Data shares'!$C:$FB,67)</f>
        <v>90833775</v>
      </c>
      <c r="K35" s="50">
        <f t="shared" si="2"/>
        <v>2.2766296682406328</v>
      </c>
      <c r="L35" s="50">
        <f>VLOOKUP($A35,'Data shares'!$C:$FB,118)</f>
        <v>0.67</v>
      </c>
      <c r="M35" s="50">
        <f>VLOOKUP($A35,'Data shares'!$C:$FB,119)</f>
        <v>0.67</v>
      </c>
      <c r="N35" s="50">
        <f>VLOOKUP($A35,'Data shares'!$C:$FB,121)*100</f>
        <v>0</v>
      </c>
      <c r="O35" s="50">
        <f>VLOOKUP($A35,'Data shares'!$C:$FB,124)</f>
        <v>0.51</v>
      </c>
      <c r="P35" s="50">
        <f>VLOOKUP($A35,'Data shares'!$C:$FB,125)</f>
        <v>0.6</v>
      </c>
      <c r="Q35" s="50">
        <f>VLOOKUP($A35,'Data shares'!$C:$FB,127)*100</f>
        <v>-15</v>
      </c>
    </row>
    <row r="36" spans="1:17" x14ac:dyDescent="0.25">
      <c r="A36" s="97" t="str">
        <f>'Data Vlaue (Cr)'!C31</f>
        <v>BHARATFORG</v>
      </c>
      <c r="B36" s="140">
        <f>VLOOKUP($A36,'Data shares'!$C:$FB,7)</f>
        <v>1483.4</v>
      </c>
      <c r="C36" s="140">
        <f>VLOOKUP($A36,'Data shares'!$C:$FB,3)</f>
        <v>1488.5</v>
      </c>
      <c r="D36" s="140">
        <f>VLOOKUP($A36,'Data shares'!$C:$FB,4)</f>
        <v>1479.4</v>
      </c>
      <c r="E36" s="50">
        <f t="shared" si="0"/>
        <v>0.61511423550087252</v>
      </c>
      <c r="F36" s="49">
        <f>VLOOKUP($A36,'Data shares'!$C:$FB,98)</f>
        <v>12495500</v>
      </c>
      <c r="G36" s="49">
        <f>VLOOKUP($A36,'Data shares'!$C:$FB,99)</f>
        <v>12934500</v>
      </c>
      <c r="H36" s="50">
        <f t="shared" si="1"/>
        <v>-3.394023734972361</v>
      </c>
      <c r="I36" s="49">
        <f>VLOOKUP($A36,'Data shares'!$C:$FB,66)</f>
        <v>6926000</v>
      </c>
      <c r="J36" s="49">
        <f>VLOOKUP($A36,'Data shares'!$C:$FB,67)</f>
        <v>13124500</v>
      </c>
      <c r="K36" s="50">
        <f t="shared" si="2"/>
        <v>-89.496101645971706</v>
      </c>
      <c r="L36" s="50">
        <f>VLOOKUP($A36,'Data shares'!$C:$FB,118)</f>
        <v>0.65</v>
      </c>
      <c r="M36" s="50">
        <f>VLOOKUP($A36,'Data shares'!$C:$FB,119)</f>
        <v>0.68</v>
      </c>
      <c r="N36" s="50">
        <f>VLOOKUP($A36,'Data shares'!$C:$FB,121)*100</f>
        <v>-4.41</v>
      </c>
      <c r="O36" s="50">
        <f>VLOOKUP($A36,'Data shares'!$C:$FB,124)</f>
        <v>0.42</v>
      </c>
      <c r="P36" s="50">
        <f>VLOOKUP($A36,'Data shares'!$C:$FB,125)</f>
        <v>0.36</v>
      </c>
      <c r="Q36" s="50">
        <f>VLOOKUP($A36,'Data shares'!$C:$FB,127)*100</f>
        <v>16.669999999999998</v>
      </c>
    </row>
    <row r="37" spans="1:17" x14ac:dyDescent="0.25">
      <c r="A37" s="97" t="str">
        <f>'Data Vlaue (Cr)'!C32</f>
        <v>BHARTIARTL</v>
      </c>
      <c r="B37" s="140">
        <f>VLOOKUP($A37,'Data shares'!$C:$FB,7)</f>
        <v>2084.1999999999998</v>
      </c>
      <c r="C37" s="140">
        <f>VLOOKUP($A37,'Data shares'!$C:$FB,3)</f>
        <v>2091.5</v>
      </c>
      <c r="D37" s="140">
        <f>VLOOKUP($A37,'Data shares'!$C:$FB,4)</f>
        <v>2113.6999999999998</v>
      </c>
      <c r="E37" s="50">
        <f t="shared" si="0"/>
        <v>-1.0502909589818716</v>
      </c>
      <c r="F37" s="49">
        <f>VLOOKUP($A37,'Data shares'!$C:$FB,98)</f>
        <v>64173925</v>
      </c>
      <c r="G37" s="49">
        <f>VLOOKUP($A37,'Data shares'!$C:$FB,99)</f>
        <v>62673400</v>
      </c>
      <c r="H37" s="50">
        <f t="shared" si="1"/>
        <v>2.3941975383496028</v>
      </c>
      <c r="I37" s="49">
        <f>VLOOKUP($A37,'Data shares'!$C:$FB,66)</f>
        <v>24219775</v>
      </c>
      <c r="J37" s="49">
        <f>VLOOKUP($A37,'Data shares'!$C:$FB,67)</f>
        <v>30448450</v>
      </c>
      <c r="K37" s="50">
        <f t="shared" si="2"/>
        <v>-25.717311577006807</v>
      </c>
      <c r="L37" s="50">
        <f>VLOOKUP($A37,'Data shares'!$C:$FB,118)</f>
        <v>0.57999999999999996</v>
      </c>
      <c r="M37" s="50">
        <f>VLOOKUP($A37,'Data shares'!$C:$FB,119)</f>
        <v>0.64</v>
      </c>
      <c r="N37" s="50">
        <f>VLOOKUP($A37,'Data shares'!$C:$FB,121)*100</f>
        <v>-9.379999999999999</v>
      </c>
      <c r="O37" s="50">
        <f>VLOOKUP($A37,'Data shares'!$C:$FB,124)</f>
        <v>0.59</v>
      </c>
      <c r="P37" s="50">
        <f>VLOOKUP($A37,'Data shares'!$C:$FB,125)</f>
        <v>0.61</v>
      </c>
      <c r="Q37" s="50">
        <f>VLOOKUP($A37,'Data shares'!$C:$FB,127)*100</f>
        <v>-3.2800000000000002</v>
      </c>
    </row>
    <row r="38" spans="1:17" x14ac:dyDescent="0.25">
      <c r="A38" s="97" t="str">
        <f>'Data Vlaue (Cr)'!C33</f>
        <v>BHEL</v>
      </c>
      <c r="B38" s="140">
        <f>VLOOKUP($A38,'Data shares'!$C:$FB,7)</f>
        <v>303.55</v>
      </c>
      <c r="C38" s="140">
        <f>VLOOKUP($A38,'Data shares'!$C:$FB,3)</f>
        <v>304.75</v>
      </c>
      <c r="D38" s="140">
        <f>VLOOKUP($A38,'Data shares'!$C:$FB,4)</f>
        <v>298.5</v>
      </c>
      <c r="E38" s="50">
        <f t="shared" si="0"/>
        <v>2.0938023450586267</v>
      </c>
      <c r="F38" s="49">
        <f>VLOOKUP($A38,'Data shares'!$C:$FB,98)</f>
        <v>139174875</v>
      </c>
      <c r="G38" s="49">
        <f>VLOOKUP($A38,'Data shares'!$C:$FB,99)</f>
        <v>135812250</v>
      </c>
      <c r="H38" s="50">
        <f t="shared" si="1"/>
        <v>2.4759364490316593</v>
      </c>
      <c r="I38" s="49">
        <f>VLOOKUP($A38,'Data shares'!$C:$FB,66)</f>
        <v>199387125</v>
      </c>
      <c r="J38" s="49">
        <f>VLOOKUP($A38,'Data shares'!$C:$FB,67)</f>
        <v>119385000</v>
      </c>
      <c r="K38" s="50">
        <f t="shared" si="2"/>
        <v>40.124017536237609</v>
      </c>
      <c r="L38" s="50">
        <f>VLOOKUP($A38,'Data shares'!$C:$FB,118)</f>
        <v>0.69</v>
      </c>
      <c r="M38" s="50">
        <f>VLOOKUP($A38,'Data shares'!$C:$FB,119)</f>
        <v>0.68</v>
      </c>
      <c r="N38" s="50">
        <f>VLOOKUP($A38,'Data shares'!$C:$FB,121)*100</f>
        <v>1.47</v>
      </c>
      <c r="O38" s="50">
        <f>VLOOKUP($A38,'Data shares'!$C:$FB,124)</f>
        <v>0.27</v>
      </c>
      <c r="P38" s="50">
        <f>VLOOKUP($A38,'Data shares'!$C:$FB,125)</f>
        <v>0.49</v>
      </c>
      <c r="Q38" s="50">
        <f>VLOOKUP($A38,'Data shares'!$C:$FB,127)*100</f>
        <v>-44.9</v>
      </c>
    </row>
    <row r="39" spans="1:17" x14ac:dyDescent="0.25">
      <c r="A39" s="97" t="str">
        <f>'Data Vlaue (Cr)'!C34</f>
        <v>BIOCON</v>
      </c>
      <c r="B39" s="140">
        <f>VLOOKUP($A39,'Data shares'!$C:$FB,7)</f>
        <v>387.05</v>
      </c>
      <c r="C39" s="140">
        <f>VLOOKUP($A39,'Data shares'!$C:$FB,3)</f>
        <v>388.95</v>
      </c>
      <c r="D39" s="140">
        <f>VLOOKUP($A39,'Data shares'!$C:$FB,4)</f>
        <v>387.1</v>
      </c>
      <c r="E39" s="50">
        <f t="shared" si="0"/>
        <v>0.47791268406095733</v>
      </c>
      <c r="F39" s="49">
        <f>VLOOKUP($A39,'Data shares'!$C:$FB,98)</f>
        <v>77155000</v>
      </c>
      <c r="G39" s="49">
        <f>VLOOKUP($A39,'Data shares'!$C:$FB,99)</f>
        <v>71375000</v>
      </c>
      <c r="H39" s="50">
        <f t="shared" si="1"/>
        <v>8.0980735551663763</v>
      </c>
      <c r="I39" s="49">
        <f>VLOOKUP($A39,'Data shares'!$C:$FB,66)</f>
        <v>60577500</v>
      </c>
      <c r="J39" s="49">
        <f>VLOOKUP($A39,'Data shares'!$C:$FB,67)</f>
        <v>40062500</v>
      </c>
      <c r="K39" s="50">
        <f t="shared" si="2"/>
        <v>33.865709215467788</v>
      </c>
      <c r="L39" s="50">
        <f>VLOOKUP($A39,'Data shares'!$C:$FB,118)</f>
        <v>0.54</v>
      </c>
      <c r="M39" s="50">
        <f>VLOOKUP($A39,'Data shares'!$C:$FB,119)</f>
        <v>0.56000000000000005</v>
      </c>
      <c r="N39" s="50">
        <f>VLOOKUP($A39,'Data shares'!$C:$FB,121)*100</f>
        <v>-3.5700000000000003</v>
      </c>
      <c r="O39" s="50">
        <f>VLOOKUP($A39,'Data shares'!$C:$FB,124)</f>
        <v>0.27</v>
      </c>
      <c r="P39" s="50">
        <f>VLOOKUP($A39,'Data shares'!$C:$FB,125)</f>
        <v>0.49</v>
      </c>
      <c r="Q39" s="50">
        <f>VLOOKUP($A39,'Data shares'!$C:$FB,127)*100</f>
        <v>-44.9</v>
      </c>
    </row>
    <row r="40" spans="1:17" x14ac:dyDescent="0.25">
      <c r="A40" s="97" t="str">
        <f>'Data Vlaue (Cr)'!C35</f>
        <v>BLUESTARCO</v>
      </c>
      <c r="B40" s="140">
        <f>VLOOKUP($A40,'Data shares'!$C:$FB,7)</f>
        <v>1842.7</v>
      </c>
      <c r="C40" s="140">
        <f>VLOOKUP($A40,'Data shares'!$C:$FB,3)</f>
        <v>1845.8</v>
      </c>
      <c r="D40" s="140">
        <f>VLOOKUP($A40,'Data shares'!$C:$FB,4)</f>
        <v>1826.3</v>
      </c>
      <c r="E40" s="50">
        <f t="shared" si="0"/>
        <v>1.0677325740568364</v>
      </c>
      <c r="F40" s="49">
        <f>VLOOKUP($A40,'Data shares'!$C:$FB,98)</f>
        <v>3553550</v>
      </c>
      <c r="G40" s="49">
        <f>VLOOKUP($A40,'Data shares'!$C:$FB,99)</f>
        <v>3320525</v>
      </c>
      <c r="H40" s="50">
        <f t="shared" si="1"/>
        <v>7.0177155720857396</v>
      </c>
      <c r="I40" s="49">
        <f>VLOOKUP($A40,'Data shares'!$C:$FB,66)</f>
        <v>3995225</v>
      </c>
      <c r="J40" s="49">
        <f>VLOOKUP($A40,'Data shares'!$C:$FB,67)</f>
        <v>1244750</v>
      </c>
      <c r="K40" s="50">
        <f t="shared" si="2"/>
        <v>68.844057593752538</v>
      </c>
      <c r="L40" s="50">
        <f>VLOOKUP($A40,'Data shares'!$C:$FB,118)</f>
        <v>0.76</v>
      </c>
      <c r="M40" s="50">
        <f>VLOOKUP($A40,'Data shares'!$C:$FB,119)</f>
        <v>0.78</v>
      </c>
      <c r="N40" s="50">
        <f>VLOOKUP($A40,'Data shares'!$C:$FB,121)*100</f>
        <v>-2.56</v>
      </c>
      <c r="O40" s="50">
        <f>VLOOKUP($A40,'Data shares'!$C:$FB,124)</f>
        <v>0.49</v>
      </c>
      <c r="P40" s="50">
        <f>VLOOKUP($A40,'Data shares'!$C:$FB,125)</f>
        <v>0.55000000000000004</v>
      </c>
      <c r="Q40" s="50">
        <f>VLOOKUP($A40,'Data shares'!$C:$FB,127)*100</f>
        <v>-10.91</v>
      </c>
    </row>
    <row r="41" spans="1:17" x14ac:dyDescent="0.25">
      <c r="A41" s="97" t="str">
        <f>'Data Vlaue (Cr)'!C36</f>
        <v>BOSCHLTD</v>
      </c>
      <c r="B41" s="140">
        <f>VLOOKUP($A41,'Data shares'!$C:$FB,7)</f>
        <v>39145</v>
      </c>
      <c r="C41" s="140">
        <f>VLOOKUP($A41,'Data shares'!$C:$FB,3)</f>
        <v>39340</v>
      </c>
      <c r="D41" s="140">
        <f>VLOOKUP($A41,'Data shares'!$C:$FB,4)</f>
        <v>39060</v>
      </c>
      <c r="E41" s="50">
        <f t="shared" si="0"/>
        <v>0.71684587813620071</v>
      </c>
      <c r="F41" s="49">
        <f>VLOOKUP($A41,'Data shares'!$C:$FB,98)</f>
        <v>615850</v>
      </c>
      <c r="G41" s="49">
        <f>VLOOKUP($A41,'Data shares'!$C:$FB,99)</f>
        <v>620325</v>
      </c>
      <c r="H41" s="50">
        <f t="shared" si="1"/>
        <v>-0.72139604239713051</v>
      </c>
      <c r="I41" s="49">
        <f>VLOOKUP($A41,'Data shares'!$C:$FB,66)</f>
        <v>1142000</v>
      </c>
      <c r="J41" s="49">
        <f>VLOOKUP($A41,'Data shares'!$C:$FB,67)</f>
        <v>622000</v>
      </c>
      <c r="K41" s="50">
        <f t="shared" si="2"/>
        <v>45.534150612959721</v>
      </c>
      <c r="L41" s="50">
        <f>VLOOKUP($A41,'Data shares'!$C:$FB,118)</f>
        <v>0.72</v>
      </c>
      <c r="M41" s="50">
        <f>VLOOKUP($A41,'Data shares'!$C:$FB,119)</f>
        <v>0.75</v>
      </c>
      <c r="N41" s="50">
        <f>VLOOKUP($A41,'Data shares'!$C:$FB,121)*100</f>
        <v>-4</v>
      </c>
      <c r="O41" s="50">
        <f>VLOOKUP($A41,'Data shares'!$C:$FB,124)</f>
        <v>0.88</v>
      </c>
      <c r="P41" s="50">
        <f>VLOOKUP($A41,'Data shares'!$C:$FB,125)</f>
        <v>0.53</v>
      </c>
      <c r="Q41" s="50">
        <f>VLOOKUP($A41,'Data shares'!$C:$FB,127)*100</f>
        <v>66.039999999999992</v>
      </c>
    </row>
    <row r="42" spans="1:17" x14ac:dyDescent="0.25">
      <c r="A42" s="97" t="str">
        <f>'Data Vlaue (Cr)'!C37</f>
        <v>BPCL</v>
      </c>
      <c r="B42" s="140">
        <f>VLOOKUP($A42,'Data shares'!$C:$FB,7)</f>
        <v>368.2</v>
      </c>
      <c r="C42" s="140">
        <f>VLOOKUP($A42,'Data shares'!$C:$FB,3)</f>
        <v>369</v>
      </c>
      <c r="D42" s="140">
        <f>VLOOKUP($A42,'Data shares'!$C:$FB,4)</f>
        <v>372.2</v>
      </c>
      <c r="E42" s="50">
        <f t="shared" si="0"/>
        <v>-0.85975282106394102</v>
      </c>
      <c r="F42" s="49">
        <f>VLOOKUP($A42,'Data shares'!$C:$FB,98)</f>
        <v>54826000</v>
      </c>
      <c r="G42" s="49">
        <f>VLOOKUP($A42,'Data shares'!$C:$FB,99)</f>
        <v>53050475</v>
      </c>
      <c r="H42" s="50">
        <f t="shared" si="1"/>
        <v>3.3468597595026246</v>
      </c>
      <c r="I42" s="49">
        <f>VLOOKUP($A42,'Data shares'!$C:$FB,66)</f>
        <v>21470225</v>
      </c>
      <c r="J42" s="49">
        <f>VLOOKUP($A42,'Data shares'!$C:$FB,67)</f>
        <v>65615425</v>
      </c>
      <c r="K42" s="50">
        <f t="shared" si="2"/>
        <v>-205.61125931377057</v>
      </c>
      <c r="L42" s="50">
        <f>VLOOKUP($A42,'Data shares'!$C:$FB,118)</f>
        <v>0.6</v>
      </c>
      <c r="M42" s="50">
        <f>VLOOKUP($A42,'Data shares'!$C:$FB,119)</f>
        <v>0.61</v>
      </c>
      <c r="N42" s="50">
        <f>VLOOKUP($A42,'Data shares'!$C:$FB,121)*100</f>
        <v>-1.6400000000000001</v>
      </c>
      <c r="O42" s="50">
        <f>VLOOKUP($A42,'Data shares'!$C:$FB,124)</f>
        <v>0.57999999999999996</v>
      </c>
      <c r="P42" s="50">
        <f>VLOOKUP($A42,'Data shares'!$C:$FB,125)</f>
        <v>0.7</v>
      </c>
      <c r="Q42" s="50">
        <f>VLOOKUP($A42,'Data shares'!$C:$FB,127)*100</f>
        <v>-17.14</v>
      </c>
    </row>
    <row r="43" spans="1:17" x14ac:dyDescent="0.25">
      <c r="A43" s="97" t="str">
        <f>'Data Vlaue (Cr)'!C38</f>
        <v>BRITANNIA</v>
      </c>
      <c r="B43" s="140">
        <f>VLOOKUP($A43,'Data shares'!$C:$FB,7)</f>
        <v>6185</v>
      </c>
      <c r="C43" s="140">
        <f>VLOOKUP($A43,'Data shares'!$C:$FB,3)</f>
        <v>6199</v>
      </c>
      <c r="D43" s="140">
        <f>VLOOKUP($A43,'Data shares'!$C:$FB,4)</f>
        <v>6161.5</v>
      </c>
      <c r="E43" s="50">
        <f t="shared" si="0"/>
        <v>0.60861803132354131</v>
      </c>
      <c r="F43" s="49">
        <f>VLOOKUP($A43,'Data shares'!$C:$FB,98)</f>
        <v>4293750</v>
      </c>
      <c r="G43" s="49">
        <f>VLOOKUP($A43,'Data shares'!$C:$FB,99)</f>
        <v>4167500</v>
      </c>
      <c r="H43" s="50">
        <f t="shared" si="1"/>
        <v>3.0293941211757649</v>
      </c>
      <c r="I43" s="49">
        <f>VLOOKUP($A43,'Data shares'!$C:$FB,66)</f>
        <v>4725875</v>
      </c>
      <c r="J43" s="49">
        <f>VLOOKUP($A43,'Data shares'!$C:$FB,67)</f>
        <v>4215250</v>
      </c>
      <c r="K43" s="50">
        <f t="shared" si="2"/>
        <v>10.804877403655407</v>
      </c>
      <c r="L43" s="50">
        <f>VLOOKUP($A43,'Data shares'!$C:$FB,118)</f>
        <v>0.67</v>
      </c>
      <c r="M43" s="50">
        <f>VLOOKUP($A43,'Data shares'!$C:$FB,119)</f>
        <v>0.64</v>
      </c>
      <c r="N43" s="50">
        <f>VLOOKUP($A43,'Data shares'!$C:$FB,121)*100</f>
        <v>4.6899999999999995</v>
      </c>
      <c r="O43" s="50">
        <f>VLOOKUP($A43,'Data shares'!$C:$FB,124)</f>
        <v>0.37</v>
      </c>
      <c r="P43" s="50">
        <f>VLOOKUP($A43,'Data shares'!$C:$FB,125)</f>
        <v>0.36</v>
      </c>
      <c r="Q43" s="50">
        <f>VLOOKUP($A43,'Data shares'!$C:$FB,127)*100</f>
        <v>2.78</v>
      </c>
    </row>
    <row r="44" spans="1:17" x14ac:dyDescent="0.25">
      <c r="A44" s="97" t="str">
        <f>'Data Vlaue (Cr)'!C39</f>
        <v>BSE</v>
      </c>
      <c r="B44" s="140">
        <f>VLOOKUP($A44,'Data shares'!$C:$FB,7)</f>
        <v>2744.9</v>
      </c>
      <c r="C44" s="140">
        <f>VLOOKUP($A44,'Data shares'!$C:$FB,3)</f>
        <v>2757.3</v>
      </c>
      <c r="D44" s="140">
        <f>VLOOKUP($A44,'Data shares'!$C:$FB,4)</f>
        <v>2716.6</v>
      </c>
      <c r="E44" s="50">
        <f t="shared" si="0"/>
        <v>1.4981962747552189</v>
      </c>
      <c r="F44" s="49">
        <f>VLOOKUP($A44,'Data shares'!$C:$FB,98)</f>
        <v>23466750</v>
      </c>
      <c r="G44" s="49">
        <f>VLOOKUP($A44,'Data shares'!$C:$FB,99)</f>
        <v>24054750</v>
      </c>
      <c r="H44" s="50">
        <f t="shared" si="1"/>
        <v>-2.4444236585289807</v>
      </c>
      <c r="I44" s="49">
        <f>VLOOKUP($A44,'Data shares'!$C:$FB,66)</f>
        <v>23404500</v>
      </c>
      <c r="J44" s="49">
        <f>VLOOKUP($A44,'Data shares'!$C:$FB,67)</f>
        <v>21691125</v>
      </c>
      <c r="K44" s="50">
        <f t="shared" si="2"/>
        <v>7.320707556239185</v>
      </c>
      <c r="L44" s="50">
        <f>VLOOKUP($A44,'Data shares'!$C:$FB,118)</f>
        <v>0.76</v>
      </c>
      <c r="M44" s="50">
        <f>VLOOKUP($A44,'Data shares'!$C:$FB,119)</f>
        <v>0.7</v>
      </c>
      <c r="N44" s="50">
        <f>VLOOKUP($A44,'Data shares'!$C:$FB,121)*100</f>
        <v>8.57</v>
      </c>
      <c r="O44" s="50">
        <f>VLOOKUP($A44,'Data shares'!$C:$FB,124)</f>
        <v>0.51</v>
      </c>
      <c r="P44" s="50">
        <f>VLOOKUP($A44,'Data shares'!$C:$FB,125)</f>
        <v>0.51</v>
      </c>
      <c r="Q44" s="50">
        <f>VLOOKUP($A44,'Data shares'!$C:$FB,127)*100</f>
        <v>0</v>
      </c>
    </row>
    <row r="45" spans="1:17" x14ac:dyDescent="0.25">
      <c r="A45" s="97" t="str">
        <f>'Data Vlaue (Cr)'!C40</f>
        <v>CAMS</v>
      </c>
      <c r="B45" s="140">
        <f>VLOOKUP($A45,'Data shares'!$C:$FB,7)</f>
        <v>756.8</v>
      </c>
      <c r="C45" s="140">
        <f>VLOOKUP($A45,'Data shares'!$C:$FB,3)</f>
        <v>757.95</v>
      </c>
      <c r="D45" s="140">
        <f>VLOOKUP($A45,'Data shares'!$C:$FB,4)</f>
        <v>751.6</v>
      </c>
      <c r="E45" s="50">
        <f t="shared" si="0"/>
        <v>0.8448642895157028</v>
      </c>
      <c r="F45" s="49">
        <f>VLOOKUP($A45,'Data shares'!$C:$FB,98)</f>
        <v>13011000</v>
      </c>
      <c r="G45" s="49">
        <f>VLOOKUP($A45,'Data shares'!$C:$FB,99)</f>
        <v>12784500</v>
      </c>
      <c r="H45" s="50">
        <f t="shared" si="1"/>
        <v>1.7716766396808636</v>
      </c>
      <c r="I45" s="49">
        <f>VLOOKUP($A45,'Data shares'!$C:$FB,66)</f>
        <v>4629000</v>
      </c>
      <c r="J45" s="49">
        <f>VLOOKUP($A45,'Data shares'!$C:$FB,67)</f>
        <v>3571500</v>
      </c>
      <c r="K45" s="50">
        <f t="shared" si="2"/>
        <v>22.845106934543097</v>
      </c>
      <c r="L45" s="50">
        <f>VLOOKUP($A45,'Data shares'!$C:$FB,118)</f>
        <v>0.93</v>
      </c>
      <c r="M45" s="50">
        <f>VLOOKUP($A45,'Data shares'!$C:$FB,119)</f>
        <v>0.95</v>
      </c>
      <c r="N45" s="50">
        <f>VLOOKUP($A45,'Data shares'!$C:$FB,121)*100</f>
        <v>-2.11</v>
      </c>
      <c r="O45" s="50">
        <f>VLOOKUP($A45,'Data shares'!$C:$FB,124)</f>
        <v>0.33</v>
      </c>
      <c r="P45" s="50">
        <f>VLOOKUP($A45,'Data shares'!$C:$FB,125)</f>
        <v>0.4</v>
      </c>
      <c r="Q45" s="50">
        <f>VLOOKUP($A45,'Data shares'!$C:$FB,127)*100</f>
        <v>-17.5</v>
      </c>
    </row>
    <row r="46" spans="1:17" x14ac:dyDescent="0.25">
      <c r="A46" s="97" t="str">
        <f>'Data Vlaue (Cr)'!C41</f>
        <v>CANBK</v>
      </c>
      <c r="B46" s="140">
        <f>VLOOKUP($A46,'Data shares'!$C:$FB,7)</f>
        <v>152.96</v>
      </c>
      <c r="C46" s="140">
        <f>VLOOKUP($A46,'Data shares'!$C:$FB,3)</f>
        <v>152.85</v>
      </c>
      <c r="D46" s="140">
        <f>VLOOKUP($A46,'Data shares'!$C:$FB,4)</f>
        <v>154.1</v>
      </c>
      <c r="E46" s="50">
        <f t="shared" si="0"/>
        <v>-0.81116158338741073</v>
      </c>
      <c r="F46" s="49">
        <f>VLOOKUP($A46,'Data shares'!$C:$FB,98)</f>
        <v>315447750</v>
      </c>
      <c r="G46" s="49">
        <f>VLOOKUP($A46,'Data shares'!$C:$FB,99)</f>
        <v>295771500</v>
      </c>
      <c r="H46" s="50">
        <f t="shared" si="1"/>
        <v>6.6525172303619513</v>
      </c>
      <c r="I46" s="49">
        <f>VLOOKUP($A46,'Data shares'!$C:$FB,66)</f>
        <v>247704750</v>
      </c>
      <c r="J46" s="49">
        <f>VLOOKUP($A46,'Data shares'!$C:$FB,67)</f>
        <v>171807750</v>
      </c>
      <c r="K46" s="50">
        <f t="shared" si="2"/>
        <v>30.640106820721041</v>
      </c>
      <c r="L46" s="50">
        <f>VLOOKUP($A46,'Data shares'!$C:$FB,118)</f>
        <v>0.73</v>
      </c>
      <c r="M46" s="50">
        <f>VLOOKUP($A46,'Data shares'!$C:$FB,119)</f>
        <v>0.78</v>
      </c>
      <c r="N46" s="50">
        <f>VLOOKUP($A46,'Data shares'!$C:$FB,121)*100</f>
        <v>-6.41</v>
      </c>
      <c r="O46" s="50">
        <f>VLOOKUP($A46,'Data shares'!$C:$FB,124)</f>
        <v>0.66</v>
      </c>
      <c r="P46" s="50">
        <f>VLOOKUP($A46,'Data shares'!$C:$FB,125)</f>
        <v>0.55000000000000004</v>
      </c>
      <c r="Q46" s="50">
        <f>VLOOKUP($A46,'Data shares'!$C:$FB,127)*100</f>
        <v>20</v>
      </c>
    </row>
    <row r="47" spans="1:17" x14ac:dyDescent="0.25">
      <c r="A47" s="97" t="str">
        <f>'Data Vlaue (Cr)'!C42</f>
        <v>CDSL</v>
      </c>
      <c r="B47" s="140">
        <f>VLOOKUP($A47,'Data shares'!$C:$FB,7)</f>
        <v>1475.6</v>
      </c>
      <c r="C47" s="140">
        <f>VLOOKUP($A47,'Data shares'!$C:$FB,3)</f>
        <v>1482.8</v>
      </c>
      <c r="D47" s="140">
        <f>VLOOKUP($A47,'Data shares'!$C:$FB,4)</f>
        <v>1462.5</v>
      </c>
      <c r="E47" s="50">
        <f t="shared" si="0"/>
        <v>1.3880341880341849</v>
      </c>
      <c r="F47" s="49">
        <f>VLOOKUP($A47,'Data shares'!$C:$FB,98)</f>
        <v>22692650</v>
      </c>
      <c r="G47" s="49">
        <f>VLOOKUP($A47,'Data shares'!$C:$FB,99)</f>
        <v>22916850</v>
      </c>
      <c r="H47" s="50">
        <f t="shared" si="1"/>
        <v>-0.9783194461717033</v>
      </c>
      <c r="I47" s="49">
        <f>VLOOKUP($A47,'Data shares'!$C:$FB,66)</f>
        <v>10580625</v>
      </c>
      <c r="J47" s="49">
        <f>VLOOKUP($A47,'Data shares'!$C:$FB,67)</f>
        <v>8804600</v>
      </c>
      <c r="K47" s="50">
        <f t="shared" si="2"/>
        <v>16.785634118967451</v>
      </c>
      <c r="L47" s="50">
        <f>VLOOKUP($A47,'Data shares'!$C:$FB,118)</f>
        <v>0.68</v>
      </c>
      <c r="M47" s="50">
        <f>VLOOKUP($A47,'Data shares'!$C:$FB,119)</f>
        <v>0.72</v>
      </c>
      <c r="N47" s="50">
        <f>VLOOKUP($A47,'Data shares'!$C:$FB,121)*100</f>
        <v>-5.56</v>
      </c>
      <c r="O47" s="50">
        <f>VLOOKUP($A47,'Data shares'!$C:$FB,124)</f>
        <v>0.48</v>
      </c>
      <c r="P47" s="50">
        <f>VLOOKUP($A47,'Data shares'!$C:$FB,125)</f>
        <v>0.5</v>
      </c>
      <c r="Q47" s="50">
        <f>VLOOKUP($A47,'Data shares'!$C:$FB,127)*100</f>
        <v>-4</v>
      </c>
    </row>
    <row r="48" spans="1:17" x14ac:dyDescent="0.25">
      <c r="A48" s="97" t="str">
        <f>'Data Vlaue (Cr)'!C43</f>
        <v>CGPOWER</v>
      </c>
      <c r="B48" s="140">
        <f>VLOOKUP($A48,'Data shares'!$C:$FB,7)</f>
        <v>636.95000000000005</v>
      </c>
      <c r="C48" s="140">
        <f>VLOOKUP($A48,'Data shares'!$C:$FB,3)</f>
        <v>638.65</v>
      </c>
      <c r="D48" s="140">
        <f>VLOOKUP($A48,'Data shares'!$C:$FB,4)</f>
        <v>641</v>
      </c>
      <c r="E48" s="50">
        <f t="shared" si="0"/>
        <v>-0.36661466458658704</v>
      </c>
      <c r="F48" s="49">
        <f>VLOOKUP($A48,'Data shares'!$C:$FB,98)</f>
        <v>25033350</v>
      </c>
      <c r="G48" s="49">
        <f>VLOOKUP($A48,'Data shares'!$C:$FB,99)</f>
        <v>24065200</v>
      </c>
      <c r="H48" s="50">
        <f t="shared" si="1"/>
        <v>4.0230291042667421</v>
      </c>
      <c r="I48" s="49">
        <f>VLOOKUP($A48,'Data shares'!$C:$FB,66)</f>
        <v>8210150</v>
      </c>
      <c r="J48" s="49">
        <f>VLOOKUP($A48,'Data shares'!$C:$FB,67)</f>
        <v>6839950</v>
      </c>
      <c r="K48" s="50">
        <f t="shared" si="2"/>
        <v>16.689098250336475</v>
      </c>
      <c r="L48" s="50">
        <f>VLOOKUP($A48,'Data shares'!$C:$FB,118)</f>
        <v>0.65</v>
      </c>
      <c r="M48" s="50">
        <f>VLOOKUP($A48,'Data shares'!$C:$FB,119)</f>
        <v>0.7</v>
      </c>
      <c r="N48" s="50">
        <f>VLOOKUP($A48,'Data shares'!$C:$FB,121)*100</f>
        <v>-7.1400000000000006</v>
      </c>
      <c r="O48" s="50">
        <f>VLOOKUP($A48,'Data shares'!$C:$FB,124)</f>
        <v>0.37</v>
      </c>
      <c r="P48" s="50">
        <f>VLOOKUP($A48,'Data shares'!$C:$FB,125)</f>
        <v>0.36</v>
      </c>
      <c r="Q48" s="50">
        <f>VLOOKUP($A48,'Data shares'!$C:$FB,127)*100</f>
        <v>2.78</v>
      </c>
    </row>
    <row r="49" spans="1:17" x14ac:dyDescent="0.25">
      <c r="A49" s="97" t="str">
        <f>'Data Vlaue (Cr)'!C44</f>
        <v>CHOLAFIN</v>
      </c>
      <c r="B49" s="140">
        <f>VLOOKUP($A49,'Data shares'!$C:$FB,7)</f>
        <v>1786.5</v>
      </c>
      <c r="C49" s="140">
        <f>VLOOKUP($A49,'Data shares'!$C:$FB,3)</f>
        <v>1794.7</v>
      </c>
      <c r="D49" s="140">
        <f>VLOOKUP($A49,'Data shares'!$C:$FB,4)</f>
        <v>1813.3</v>
      </c>
      <c r="E49" s="50">
        <f t="shared" si="0"/>
        <v>-1.0257541498924563</v>
      </c>
      <c r="F49" s="49">
        <f>VLOOKUP($A49,'Data shares'!$C:$FB,98)</f>
        <v>21136250</v>
      </c>
      <c r="G49" s="49">
        <f>VLOOKUP($A49,'Data shares'!$C:$FB,99)</f>
        <v>21216250</v>
      </c>
      <c r="H49" s="50">
        <f t="shared" si="1"/>
        <v>-0.37706946326518587</v>
      </c>
      <c r="I49" s="49">
        <f>VLOOKUP($A49,'Data shares'!$C:$FB,66)</f>
        <v>6893125</v>
      </c>
      <c r="J49" s="49">
        <f>VLOOKUP($A49,'Data shares'!$C:$FB,67)</f>
        <v>31267500</v>
      </c>
      <c r="K49" s="50">
        <f t="shared" si="2"/>
        <v>-353.60413455435673</v>
      </c>
      <c r="L49" s="50">
        <f>VLOOKUP($A49,'Data shares'!$C:$FB,118)</f>
        <v>0.85</v>
      </c>
      <c r="M49" s="50">
        <f>VLOOKUP($A49,'Data shares'!$C:$FB,119)</f>
        <v>0.89</v>
      </c>
      <c r="N49" s="50">
        <f>VLOOKUP($A49,'Data shares'!$C:$FB,121)*100</f>
        <v>-4.49</v>
      </c>
      <c r="O49" s="50">
        <f>VLOOKUP($A49,'Data shares'!$C:$FB,124)</f>
        <v>0.88</v>
      </c>
      <c r="P49" s="50">
        <f>VLOOKUP($A49,'Data shares'!$C:$FB,125)</f>
        <v>0.41</v>
      </c>
      <c r="Q49" s="50">
        <f>VLOOKUP($A49,'Data shares'!$C:$FB,127)*100</f>
        <v>114.63000000000001</v>
      </c>
    </row>
    <row r="50" spans="1:17" x14ac:dyDescent="0.25">
      <c r="A50" s="97" t="str">
        <f>'Data Vlaue (Cr)'!C45</f>
        <v>CIPLA</v>
      </c>
      <c r="B50" s="140">
        <f>VLOOKUP($A50,'Data shares'!$C:$FB,7)</f>
        <v>1467.9</v>
      </c>
      <c r="C50" s="140">
        <f>VLOOKUP($A50,'Data shares'!$C:$FB,3)</f>
        <v>1471.6</v>
      </c>
      <c r="D50" s="140">
        <f>VLOOKUP($A50,'Data shares'!$C:$FB,4)</f>
        <v>1537.9</v>
      </c>
      <c r="E50" s="50">
        <f t="shared" si="0"/>
        <v>-4.3110735418427844</v>
      </c>
      <c r="F50" s="49">
        <f>VLOOKUP($A50,'Data shares'!$C:$FB,98)</f>
        <v>23972250</v>
      </c>
      <c r="G50" s="49">
        <f>VLOOKUP($A50,'Data shares'!$C:$FB,99)</f>
        <v>18169875</v>
      </c>
      <c r="H50" s="50">
        <f t="shared" si="1"/>
        <v>31.934039171981095</v>
      </c>
      <c r="I50" s="49">
        <f>VLOOKUP($A50,'Data shares'!$C:$FB,66)</f>
        <v>67019250</v>
      </c>
      <c r="J50" s="49">
        <f>VLOOKUP($A50,'Data shares'!$C:$FB,67)</f>
        <v>12056625</v>
      </c>
      <c r="K50" s="50">
        <f t="shared" si="2"/>
        <v>82.010206022896398</v>
      </c>
      <c r="L50" s="50">
        <f>VLOOKUP($A50,'Data shares'!$C:$FB,118)</f>
        <v>0.76</v>
      </c>
      <c r="M50" s="50">
        <f>VLOOKUP($A50,'Data shares'!$C:$FB,119)</f>
        <v>0.76</v>
      </c>
      <c r="N50" s="50">
        <f>VLOOKUP($A50,'Data shares'!$C:$FB,121)*100</f>
        <v>0</v>
      </c>
      <c r="O50" s="50">
        <f>VLOOKUP($A50,'Data shares'!$C:$FB,124)</f>
        <v>1.1599999999999999</v>
      </c>
      <c r="P50" s="50">
        <f>VLOOKUP($A50,'Data shares'!$C:$FB,125)</f>
        <v>0.36</v>
      </c>
      <c r="Q50" s="50">
        <f>VLOOKUP($A50,'Data shares'!$C:$FB,127)*100</f>
        <v>222.22</v>
      </c>
    </row>
    <row r="51" spans="1:17" x14ac:dyDescent="0.25">
      <c r="A51" s="97" t="str">
        <f>'Data Vlaue (Cr)'!C46</f>
        <v>COALINDIA</v>
      </c>
      <c r="B51" s="140">
        <f>VLOOKUP($A51,'Data shares'!$C:$FB,7)</f>
        <v>431.65</v>
      </c>
      <c r="C51" s="140">
        <f>VLOOKUP($A51,'Data shares'!$C:$FB,3)</f>
        <v>432.75</v>
      </c>
      <c r="D51" s="140">
        <f>VLOOKUP($A51,'Data shares'!$C:$FB,4)</f>
        <v>428.15</v>
      </c>
      <c r="E51" s="50">
        <f t="shared" si="0"/>
        <v>1.0743898166530474</v>
      </c>
      <c r="F51" s="49">
        <f>VLOOKUP($A51,'Data shares'!$C:$FB,98)</f>
        <v>129543300</v>
      </c>
      <c r="G51" s="49">
        <f>VLOOKUP($A51,'Data shares'!$C:$FB,99)</f>
        <v>127668150</v>
      </c>
      <c r="H51" s="50">
        <f t="shared" si="1"/>
        <v>1.4687688354534785</v>
      </c>
      <c r="I51" s="49">
        <f>VLOOKUP($A51,'Data shares'!$C:$FB,66)</f>
        <v>82944000</v>
      </c>
      <c r="J51" s="49">
        <f>VLOOKUP($A51,'Data shares'!$C:$FB,67)</f>
        <v>76810950</v>
      </c>
      <c r="K51" s="50">
        <f t="shared" si="2"/>
        <v>7.394205729166667</v>
      </c>
      <c r="L51" s="50">
        <f>VLOOKUP($A51,'Data shares'!$C:$FB,118)</f>
        <v>0.56000000000000005</v>
      </c>
      <c r="M51" s="50">
        <f>VLOOKUP($A51,'Data shares'!$C:$FB,119)</f>
        <v>0.56999999999999995</v>
      </c>
      <c r="N51" s="50">
        <f>VLOOKUP($A51,'Data shares'!$C:$FB,121)*100</f>
        <v>-1.7500000000000002</v>
      </c>
      <c r="O51" s="50">
        <f>VLOOKUP($A51,'Data shares'!$C:$FB,124)</f>
        <v>0.32</v>
      </c>
      <c r="P51" s="50">
        <f>VLOOKUP($A51,'Data shares'!$C:$FB,125)</f>
        <v>0.43</v>
      </c>
      <c r="Q51" s="50">
        <f>VLOOKUP($A51,'Data shares'!$C:$FB,127)*100</f>
        <v>-25.580000000000002</v>
      </c>
    </row>
    <row r="52" spans="1:17" x14ac:dyDescent="0.25">
      <c r="A52" s="97" t="str">
        <f>'Data Vlaue (Cr)'!C47</f>
        <v>COFORGE</v>
      </c>
      <c r="B52" s="140">
        <f>VLOOKUP($A52,'Data shares'!$C:$FB,7)</f>
        <v>1701.5</v>
      </c>
      <c r="C52" s="140">
        <f>VLOOKUP($A52,'Data shares'!$C:$FB,3)</f>
        <v>1704.2</v>
      </c>
      <c r="D52" s="140">
        <f>VLOOKUP($A52,'Data shares'!$C:$FB,4)</f>
        <v>1661.5</v>
      </c>
      <c r="E52" s="50">
        <f t="shared" si="0"/>
        <v>2.5699668973818866</v>
      </c>
      <c r="F52" s="49">
        <f>VLOOKUP($A52,'Data shares'!$C:$FB,98)</f>
        <v>32281875</v>
      </c>
      <c r="G52" s="49">
        <f>VLOOKUP($A52,'Data shares'!$C:$FB,99)</f>
        <v>33378750</v>
      </c>
      <c r="H52" s="50">
        <f t="shared" si="1"/>
        <v>-3.2861476238624872</v>
      </c>
      <c r="I52" s="49">
        <f>VLOOKUP($A52,'Data shares'!$C:$FB,66)</f>
        <v>26512500</v>
      </c>
      <c r="J52" s="49">
        <f>VLOOKUP($A52,'Data shares'!$C:$FB,67)</f>
        <v>12943875</v>
      </c>
      <c r="K52" s="50">
        <f t="shared" si="2"/>
        <v>51.178217821782177</v>
      </c>
      <c r="L52" s="50">
        <f>VLOOKUP($A52,'Data shares'!$C:$FB,118)</f>
        <v>0.49</v>
      </c>
      <c r="M52" s="50">
        <f>VLOOKUP($A52,'Data shares'!$C:$FB,119)</f>
        <v>0.49</v>
      </c>
      <c r="N52" s="50">
        <f>VLOOKUP($A52,'Data shares'!$C:$FB,121)*100</f>
        <v>0</v>
      </c>
      <c r="O52" s="50">
        <f>VLOOKUP($A52,'Data shares'!$C:$FB,124)</f>
        <v>0.31</v>
      </c>
      <c r="P52" s="50">
        <f>VLOOKUP($A52,'Data shares'!$C:$FB,125)</f>
        <v>0.28999999999999998</v>
      </c>
      <c r="Q52" s="50">
        <f>VLOOKUP($A52,'Data shares'!$C:$FB,127)*100</f>
        <v>6.9</v>
      </c>
    </row>
    <row r="53" spans="1:17" x14ac:dyDescent="0.25">
      <c r="A53" s="97" t="str">
        <f>'Data Vlaue (Cr)'!C48</f>
        <v>COLPAL</v>
      </c>
      <c r="B53" s="140">
        <f>VLOOKUP($A53,'Data shares'!$C:$FB,7)</f>
        <v>2076.6</v>
      </c>
      <c r="C53" s="140">
        <f>VLOOKUP($A53,'Data shares'!$C:$FB,3)</f>
        <v>2081.3000000000002</v>
      </c>
      <c r="D53" s="140">
        <f>VLOOKUP($A53,'Data shares'!$C:$FB,4)</f>
        <v>2100.1</v>
      </c>
      <c r="E53" s="50">
        <f t="shared" si="0"/>
        <v>-0.8951954668825165</v>
      </c>
      <c r="F53" s="49">
        <f>VLOOKUP($A53,'Data shares'!$C:$FB,98)</f>
        <v>11213775</v>
      </c>
      <c r="G53" s="49">
        <f>VLOOKUP($A53,'Data shares'!$C:$FB,99)</f>
        <v>10903950</v>
      </c>
      <c r="H53" s="50">
        <f t="shared" si="1"/>
        <v>2.8414015104618051</v>
      </c>
      <c r="I53" s="49">
        <f>VLOOKUP($A53,'Data shares'!$C:$FB,66)</f>
        <v>2560050</v>
      </c>
      <c r="J53" s="49">
        <f>VLOOKUP($A53,'Data shares'!$C:$FB,67)</f>
        <v>4335975</v>
      </c>
      <c r="K53" s="50">
        <f t="shared" si="2"/>
        <v>-69.370715415714528</v>
      </c>
      <c r="L53" s="50">
        <f>VLOOKUP($A53,'Data shares'!$C:$FB,118)</f>
        <v>0.61</v>
      </c>
      <c r="M53" s="50">
        <f>VLOOKUP($A53,'Data shares'!$C:$FB,119)</f>
        <v>0.64</v>
      </c>
      <c r="N53" s="50">
        <f>VLOOKUP($A53,'Data shares'!$C:$FB,121)*100</f>
        <v>-4.6899999999999995</v>
      </c>
      <c r="O53" s="50">
        <f>VLOOKUP($A53,'Data shares'!$C:$FB,124)</f>
        <v>0.32</v>
      </c>
      <c r="P53" s="50">
        <f>VLOOKUP($A53,'Data shares'!$C:$FB,125)</f>
        <v>0.36</v>
      </c>
      <c r="Q53" s="50">
        <f>VLOOKUP($A53,'Data shares'!$C:$FB,127)*100</f>
        <v>-11.110000000000001</v>
      </c>
    </row>
    <row r="54" spans="1:17" x14ac:dyDescent="0.25">
      <c r="A54" s="97" t="str">
        <f>'Data Vlaue (Cr)'!C49</f>
        <v>CONCOR</v>
      </c>
      <c r="B54" s="140">
        <f>VLOOKUP($A54,'Data shares'!$C:$FB,7)</f>
        <v>532.79999999999995</v>
      </c>
      <c r="C54" s="140">
        <f>VLOOKUP($A54,'Data shares'!$C:$FB,3)</f>
        <v>534.04999999999995</v>
      </c>
      <c r="D54" s="140">
        <f>VLOOKUP($A54,'Data shares'!$C:$FB,4)</f>
        <v>531.29999999999995</v>
      </c>
      <c r="E54" s="50">
        <f t="shared" si="0"/>
        <v>0.51759834368530033</v>
      </c>
      <c r="F54" s="49">
        <f>VLOOKUP($A54,'Data shares'!$C:$FB,98)</f>
        <v>56627500</v>
      </c>
      <c r="G54" s="49">
        <f>VLOOKUP($A54,'Data shares'!$C:$FB,99)</f>
        <v>56877500</v>
      </c>
      <c r="H54" s="50">
        <f t="shared" si="1"/>
        <v>-0.43954111907168913</v>
      </c>
      <c r="I54" s="49">
        <f>VLOOKUP($A54,'Data shares'!$C:$FB,66)</f>
        <v>11077500</v>
      </c>
      <c r="J54" s="49">
        <f>VLOOKUP($A54,'Data shares'!$C:$FB,67)</f>
        <v>10635000</v>
      </c>
      <c r="K54" s="50">
        <f t="shared" si="2"/>
        <v>3.9945836154366963</v>
      </c>
      <c r="L54" s="50">
        <f>VLOOKUP($A54,'Data shares'!$C:$FB,118)</f>
        <v>0.67</v>
      </c>
      <c r="M54" s="50">
        <f>VLOOKUP($A54,'Data shares'!$C:$FB,119)</f>
        <v>0.66</v>
      </c>
      <c r="N54" s="50">
        <f>VLOOKUP($A54,'Data shares'!$C:$FB,121)*100</f>
        <v>1.52</v>
      </c>
      <c r="O54" s="50">
        <f>VLOOKUP($A54,'Data shares'!$C:$FB,124)</f>
        <v>0.33</v>
      </c>
      <c r="P54" s="50">
        <f>VLOOKUP($A54,'Data shares'!$C:$FB,125)</f>
        <v>0.3</v>
      </c>
      <c r="Q54" s="50">
        <f>VLOOKUP($A54,'Data shares'!$C:$FB,127)*100</f>
        <v>10</v>
      </c>
    </row>
    <row r="55" spans="1:17" x14ac:dyDescent="0.25">
      <c r="A55" s="97" t="str">
        <f>'Data Vlaue (Cr)'!C50</f>
        <v>CROMPTON</v>
      </c>
      <c r="B55" s="140">
        <f>VLOOKUP($A55,'Data shares'!$C:$FB,7)</f>
        <v>263.45</v>
      </c>
      <c r="C55" s="140">
        <f>VLOOKUP($A55,'Data shares'!$C:$FB,3)</f>
        <v>264.10000000000002</v>
      </c>
      <c r="D55" s="140">
        <f>VLOOKUP($A55,'Data shares'!$C:$FB,4)</f>
        <v>260.85000000000002</v>
      </c>
      <c r="E55" s="50">
        <f t="shared" si="0"/>
        <v>1.2459267778416714</v>
      </c>
      <c r="F55" s="49">
        <f>VLOOKUP($A55,'Data shares'!$C:$FB,98)</f>
        <v>83824200</v>
      </c>
      <c r="G55" s="49">
        <f>VLOOKUP($A55,'Data shares'!$C:$FB,99)</f>
        <v>84918600</v>
      </c>
      <c r="H55" s="50">
        <f t="shared" si="1"/>
        <v>-1.2887635924285139</v>
      </c>
      <c r="I55" s="49">
        <f>VLOOKUP($A55,'Data shares'!$C:$FB,66)</f>
        <v>41774400</v>
      </c>
      <c r="J55" s="49">
        <f>VLOOKUP($A55,'Data shares'!$C:$FB,67)</f>
        <v>38881800</v>
      </c>
      <c r="K55" s="50">
        <f t="shared" si="2"/>
        <v>6.9243364357118242</v>
      </c>
      <c r="L55" s="50">
        <f>VLOOKUP($A55,'Data shares'!$C:$FB,118)</f>
        <v>0.68</v>
      </c>
      <c r="M55" s="50">
        <f>VLOOKUP($A55,'Data shares'!$C:$FB,119)</f>
        <v>0.64</v>
      </c>
      <c r="N55" s="50">
        <f>VLOOKUP($A55,'Data shares'!$C:$FB,121)*100</f>
        <v>6.25</v>
      </c>
      <c r="O55" s="50">
        <f>VLOOKUP($A55,'Data shares'!$C:$FB,124)</f>
        <v>0.25</v>
      </c>
      <c r="P55" s="50">
        <f>VLOOKUP($A55,'Data shares'!$C:$FB,125)</f>
        <v>0.19</v>
      </c>
      <c r="Q55" s="50">
        <f>VLOOKUP($A55,'Data shares'!$C:$FB,127)*100</f>
        <v>31.580000000000002</v>
      </c>
    </row>
    <row r="56" spans="1:17" x14ac:dyDescent="0.25">
      <c r="A56" s="97" t="str">
        <f>'Data Vlaue (Cr)'!C51</f>
        <v>CUMMINSIND</v>
      </c>
      <c r="B56" s="140">
        <f>VLOOKUP($A56,'Data shares'!$C:$FB,7)</f>
        <v>4147.8999999999996</v>
      </c>
      <c r="C56" s="140">
        <f>VLOOKUP($A56,'Data shares'!$C:$FB,3)</f>
        <v>4167.2</v>
      </c>
      <c r="D56" s="140">
        <f>VLOOKUP($A56,'Data shares'!$C:$FB,4)</f>
        <v>4151.3</v>
      </c>
      <c r="E56" s="50">
        <f t="shared" si="0"/>
        <v>0.38301255028544395</v>
      </c>
      <c r="F56" s="49">
        <f>VLOOKUP($A56,'Data shares'!$C:$FB,98)</f>
        <v>6087200</v>
      </c>
      <c r="G56" s="49">
        <f>VLOOKUP($A56,'Data shares'!$C:$FB,99)</f>
        <v>5992600</v>
      </c>
      <c r="H56" s="50">
        <f t="shared" si="1"/>
        <v>1.5786136234689452</v>
      </c>
      <c r="I56" s="49">
        <f>VLOOKUP($A56,'Data shares'!$C:$FB,66)</f>
        <v>3408800</v>
      </c>
      <c r="J56" s="49">
        <f>VLOOKUP($A56,'Data shares'!$C:$FB,67)</f>
        <v>8735200</v>
      </c>
      <c r="K56" s="50">
        <f t="shared" si="2"/>
        <v>-156.2544003754987</v>
      </c>
      <c r="L56" s="50">
        <f>VLOOKUP($A56,'Data shares'!$C:$FB,118)</f>
        <v>0.56000000000000005</v>
      </c>
      <c r="M56" s="50">
        <f>VLOOKUP($A56,'Data shares'!$C:$FB,119)</f>
        <v>0.53</v>
      </c>
      <c r="N56" s="50">
        <f>VLOOKUP($A56,'Data shares'!$C:$FB,121)*100</f>
        <v>5.66</v>
      </c>
      <c r="O56" s="50">
        <f>VLOOKUP($A56,'Data shares'!$C:$FB,124)</f>
        <v>0.67</v>
      </c>
      <c r="P56" s="50">
        <f>VLOOKUP($A56,'Data shares'!$C:$FB,125)</f>
        <v>0.98</v>
      </c>
      <c r="Q56" s="50">
        <f>VLOOKUP($A56,'Data shares'!$C:$FB,127)*100</f>
        <v>-31.630000000000003</v>
      </c>
    </row>
    <row r="57" spans="1:17" x14ac:dyDescent="0.25">
      <c r="A57" s="97" t="str">
        <f>'Data Vlaue (Cr)'!C52</f>
        <v>DABUR</v>
      </c>
      <c r="B57" s="140">
        <f>VLOOKUP($A57,'Data shares'!$C:$FB,7)</f>
        <v>520.9</v>
      </c>
      <c r="C57" s="140">
        <f>VLOOKUP($A57,'Data shares'!$C:$FB,3)</f>
        <v>523.4</v>
      </c>
      <c r="D57" s="140">
        <f>VLOOKUP($A57,'Data shares'!$C:$FB,4)</f>
        <v>522.65</v>
      </c>
      <c r="E57" s="50">
        <f t="shared" si="0"/>
        <v>0.14349947383526263</v>
      </c>
      <c r="F57" s="49">
        <f>VLOOKUP($A57,'Data shares'!$C:$FB,98)</f>
        <v>47967500</v>
      </c>
      <c r="G57" s="49">
        <f>VLOOKUP($A57,'Data shares'!$C:$FB,99)</f>
        <v>48431250</v>
      </c>
      <c r="H57" s="50">
        <f t="shared" si="1"/>
        <v>-0.95754290876242099</v>
      </c>
      <c r="I57" s="49">
        <f>VLOOKUP($A57,'Data shares'!$C:$FB,66)</f>
        <v>17687500</v>
      </c>
      <c r="J57" s="49">
        <f>VLOOKUP($A57,'Data shares'!$C:$FB,67)</f>
        <v>70788750</v>
      </c>
      <c r="K57" s="50">
        <f t="shared" si="2"/>
        <v>-300.21908127208479</v>
      </c>
      <c r="L57" s="50">
        <f>VLOOKUP($A57,'Data shares'!$C:$FB,118)</f>
        <v>0.65</v>
      </c>
      <c r="M57" s="50">
        <f>VLOOKUP($A57,'Data shares'!$C:$FB,119)</f>
        <v>0.65</v>
      </c>
      <c r="N57" s="50">
        <f>VLOOKUP($A57,'Data shares'!$C:$FB,121)*100</f>
        <v>0</v>
      </c>
      <c r="O57" s="50">
        <f>VLOOKUP($A57,'Data shares'!$C:$FB,124)</f>
        <v>0.47</v>
      </c>
      <c r="P57" s="50">
        <f>VLOOKUP($A57,'Data shares'!$C:$FB,125)</f>
        <v>0.5</v>
      </c>
      <c r="Q57" s="50">
        <f>VLOOKUP($A57,'Data shares'!$C:$FB,127)*100</f>
        <v>-6</v>
      </c>
    </row>
    <row r="58" spans="1:17" x14ac:dyDescent="0.25">
      <c r="A58" s="97" t="str">
        <f>'Data Vlaue (Cr)'!C53</f>
        <v>DALBHARAT</v>
      </c>
      <c r="B58" s="140">
        <f>VLOOKUP($A58,'Data shares'!$C:$FB,7)</f>
        <v>2121.1999999999998</v>
      </c>
      <c r="C58" s="140">
        <f>VLOOKUP($A58,'Data shares'!$C:$FB,3)</f>
        <v>2131.6</v>
      </c>
      <c r="D58" s="140">
        <f>VLOOKUP($A58,'Data shares'!$C:$FB,4)</f>
        <v>2127.3000000000002</v>
      </c>
      <c r="E58" s="50">
        <f t="shared" si="0"/>
        <v>0.20213416067314094</v>
      </c>
      <c r="F58" s="49">
        <f>VLOOKUP($A58,'Data shares'!$C:$FB,98)</f>
        <v>4249700</v>
      </c>
      <c r="G58" s="49">
        <f>VLOOKUP($A58,'Data shares'!$C:$FB,99)</f>
        <v>4175275</v>
      </c>
      <c r="H58" s="50">
        <f t="shared" si="1"/>
        <v>1.7825173192184944</v>
      </c>
      <c r="I58" s="49">
        <f>VLOOKUP($A58,'Data shares'!$C:$FB,66)</f>
        <v>1421875</v>
      </c>
      <c r="J58" s="49">
        <f>VLOOKUP($A58,'Data shares'!$C:$FB,67)</f>
        <v>996450</v>
      </c>
      <c r="K58" s="50">
        <f t="shared" si="2"/>
        <v>29.92</v>
      </c>
      <c r="L58" s="50">
        <f>VLOOKUP($A58,'Data shares'!$C:$FB,118)</f>
        <v>0.59</v>
      </c>
      <c r="M58" s="50">
        <f>VLOOKUP($A58,'Data shares'!$C:$FB,119)</f>
        <v>0.55000000000000004</v>
      </c>
      <c r="N58" s="50">
        <f>VLOOKUP($A58,'Data shares'!$C:$FB,121)*100</f>
        <v>7.2700000000000005</v>
      </c>
      <c r="O58" s="50">
        <f>VLOOKUP($A58,'Data shares'!$C:$FB,124)</f>
        <v>0.3</v>
      </c>
      <c r="P58" s="50">
        <f>VLOOKUP($A58,'Data shares'!$C:$FB,125)</f>
        <v>0.43</v>
      </c>
      <c r="Q58" s="50">
        <f>VLOOKUP($A58,'Data shares'!$C:$FB,127)*100</f>
        <v>-30.23</v>
      </c>
    </row>
    <row r="59" spans="1:17" x14ac:dyDescent="0.25">
      <c r="A59" s="97" t="str">
        <f>'Data Vlaue (Cr)'!C54</f>
        <v>DELHIVERY</v>
      </c>
      <c r="B59" s="140">
        <f>VLOOKUP($A59,'Data shares'!$C:$FB,7)</f>
        <v>422.25</v>
      </c>
      <c r="C59" s="140">
        <f>VLOOKUP($A59,'Data shares'!$C:$FB,3)</f>
        <v>424.4</v>
      </c>
      <c r="D59" s="140">
        <f>VLOOKUP($A59,'Data shares'!$C:$FB,4)</f>
        <v>416.2</v>
      </c>
      <c r="E59" s="50">
        <f t="shared" si="0"/>
        <v>1.9702066314271955</v>
      </c>
      <c r="F59" s="49">
        <f>VLOOKUP($A59,'Data shares'!$C:$FB,98)</f>
        <v>33173025</v>
      </c>
      <c r="G59" s="49">
        <f>VLOOKUP($A59,'Data shares'!$C:$FB,99)</f>
        <v>30178800</v>
      </c>
      <c r="H59" s="50">
        <f t="shared" si="1"/>
        <v>9.9216171617161724</v>
      </c>
      <c r="I59" s="49">
        <f>VLOOKUP($A59,'Data shares'!$C:$FB,66)</f>
        <v>41363050</v>
      </c>
      <c r="J59" s="49">
        <f>VLOOKUP($A59,'Data shares'!$C:$FB,67)</f>
        <v>22594675</v>
      </c>
      <c r="K59" s="50">
        <f t="shared" si="2"/>
        <v>45.374736630881912</v>
      </c>
      <c r="L59" s="50">
        <f>VLOOKUP($A59,'Data shares'!$C:$FB,118)</f>
        <v>0.77</v>
      </c>
      <c r="M59" s="50">
        <f>VLOOKUP($A59,'Data shares'!$C:$FB,119)</f>
        <v>0.85</v>
      </c>
      <c r="N59" s="50">
        <f>VLOOKUP($A59,'Data shares'!$C:$FB,121)*100</f>
        <v>-9.41</v>
      </c>
      <c r="O59" s="50">
        <f>VLOOKUP($A59,'Data shares'!$C:$FB,124)</f>
        <v>0.4</v>
      </c>
      <c r="P59" s="50">
        <f>VLOOKUP($A59,'Data shares'!$C:$FB,125)</f>
        <v>0.35</v>
      </c>
      <c r="Q59" s="50">
        <f>VLOOKUP($A59,'Data shares'!$C:$FB,127)*100</f>
        <v>14.29</v>
      </c>
    </row>
    <row r="60" spans="1:17" x14ac:dyDescent="0.25">
      <c r="A60" s="97" t="str">
        <f>'Data Vlaue (Cr)'!C55</f>
        <v>DIVISLAB</v>
      </c>
      <c r="B60" s="140">
        <f>VLOOKUP($A60,'Data shares'!$C:$FB,7)</f>
        <v>6642.5</v>
      </c>
      <c r="C60" s="140">
        <f>VLOOKUP($A60,'Data shares'!$C:$FB,3)</f>
        <v>6657.5</v>
      </c>
      <c r="D60" s="140">
        <f>VLOOKUP($A60,'Data shares'!$C:$FB,4)</f>
        <v>6676.5</v>
      </c>
      <c r="E60" s="50">
        <f t="shared" si="0"/>
        <v>-0.28458024413989369</v>
      </c>
      <c r="F60" s="49">
        <f>VLOOKUP($A60,'Data shares'!$C:$FB,98)</f>
        <v>5454800</v>
      </c>
      <c r="G60" s="49">
        <f>VLOOKUP($A60,'Data shares'!$C:$FB,99)</f>
        <v>5319400</v>
      </c>
      <c r="H60" s="50">
        <f t="shared" si="1"/>
        <v>2.5453998571267435</v>
      </c>
      <c r="I60" s="49">
        <f>VLOOKUP($A60,'Data shares'!$C:$FB,66)</f>
        <v>4762300</v>
      </c>
      <c r="J60" s="49">
        <f>VLOOKUP($A60,'Data shares'!$C:$FB,67)</f>
        <v>12963900</v>
      </c>
      <c r="K60" s="50">
        <f t="shared" si="2"/>
        <v>-172.2193057976188</v>
      </c>
      <c r="L60" s="50">
        <f>VLOOKUP($A60,'Data shares'!$C:$FB,118)</f>
        <v>0.64</v>
      </c>
      <c r="M60" s="50">
        <f>VLOOKUP($A60,'Data shares'!$C:$FB,119)</f>
        <v>0.66</v>
      </c>
      <c r="N60" s="50">
        <f>VLOOKUP($A60,'Data shares'!$C:$FB,121)*100</f>
        <v>-3.0300000000000002</v>
      </c>
      <c r="O60" s="50">
        <f>VLOOKUP($A60,'Data shares'!$C:$FB,124)</f>
        <v>0.28999999999999998</v>
      </c>
      <c r="P60" s="50">
        <f>VLOOKUP($A60,'Data shares'!$C:$FB,125)</f>
        <v>0.22</v>
      </c>
      <c r="Q60" s="50">
        <f>VLOOKUP($A60,'Data shares'!$C:$FB,127)*100</f>
        <v>31.819999999999997</v>
      </c>
    </row>
    <row r="61" spans="1:17" x14ac:dyDescent="0.25">
      <c r="A61" s="97" t="str">
        <f>'Data Vlaue (Cr)'!C56</f>
        <v>DIXON</v>
      </c>
      <c r="B61" s="140">
        <f>VLOOKUP($A61,'Data shares'!$C:$FB,7)</f>
        <v>11770</v>
      </c>
      <c r="C61" s="140">
        <f>VLOOKUP($A61,'Data shares'!$C:$FB,3)</f>
        <v>11827</v>
      </c>
      <c r="D61" s="140">
        <f>VLOOKUP($A61,'Data shares'!$C:$FB,4)</f>
        <v>11739</v>
      </c>
      <c r="E61" s="50">
        <f t="shared" si="0"/>
        <v>0.74963795894028451</v>
      </c>
      <c r="F61" s="49">
        <f>VLOOKUP($A61,'Data shares'!$C:$FB,98)</f>
        <v>7844950</v>
      </c>
      <c r="G61" s="49">
        <f>VLOOKUP($A61,'Data shares'!$C:$FB,99)</f>
        <v>7625250</v>
      </c>
      <c r="H61" s="50">
        <f t="shared" si="1"/>
        <v>2.8812170092783846</v>
      </c>
      <c r="I61" s="49">
        <f>VLOOKUP($A61,'Data shares'!$C:$FB,66)</f>
        <v>9449700</v>
      </c>
      <c r="J61" s="49">
        <f>VLOOKUP($A61,'Data shares'!$C:$FB,67)</f>
        <v>6764750</v>
      </c>
      <c r="K61" s="50">
        <f t="shared" si="2"/>
        <v>28.413071314433264</v>
      </c>
      <c r="L61" s="50">
        <f>VLOOKUP($A61,'Data shares'!$C:$FB,118)</f>
        <v>0.59</v>
      </c>
      <c r="M61" s="50">
        <f>VLOOKUP($A61,'Data shares'!$C:$FB,119)</f>
        <v>0.57999999999999996</v>
      </c>
      <c r="N61" s="50">
        <f>VLOOKUP($A61,'Data shares'!$C:$FB,121)*100</f>
        <v>1.72</v>
      </c>
      <c r="O61" s="50">
        <f>VLOOKUP($A61,'Data shares'!$C:$FB,124)</f>
        <v>0.7</v>
      </c>
      <c r="P61" s="50">
        <f>VLOOKUP($A61,'Data shares'!$C:$FB,125)</f>
        <v>0.8</v>
      </c>
      <c r="Q61" s="50">
        <f>VLOOKUP($A61,'Data shares'!$C:$FB,127)*100</f>
        <v>-12.5</v>
      </c>
    </row>
    <row r="62" spans="1:17" x14ac:dyDescent="0.25">
      <c r="A62" s="97" t="str">
        <f>'Data Vlaue (Cr)'!C57</f>
        <v>DLF</v>
      </c>
      <c r="B62" s="140">
        <f>VLOOKUP($A62,'Data shares'!$C:$FB,7)</f>
        <v>703.25</v>
      </c>
      <c r="C62" s="140">
        <f>VLOOKUP($A62,'Data shares'!$C:$FB,3)</f>
        <v>706.45</v>
      </c>
      <c r="D62" s="140">
        <f>VLOOKUP($A62,'Data shares'!$C:$FB,4)</f>
        <v>708.2</v>
      </c>
      <c r="E62" s="50">
        <f t="shared" si="0"/>
        <v>-0.24710533747528945</v>
      </c>
      <c r="F62" s="49">
        <f>VLOOKUP($A62,'Data shares'!$C:$FB,98)</f>
        <v>76230000</v>
      </c>
      <c r="G62" s="49">
        <f>VLOOKUP($A62,'Data shares'!$C:$FB,99)</f>
        <v>75155850</v>
      </c>
      <c r="H62" s="50">
        <f t="shared" si="1"/>
        <v>1.4292300599354542</v>
      </c>
      <c r="I62" s="49">
        <f>VLOOKUP($A62,'Data shares'!$C:$FB,66)</f>
        <v>28648125</v>
      </c>
      <c r="J62" s="49">
        <f>VLOOKUP($A62,'Data shares'!$C:$FB,67)</f>
        <v>30640500</v>
      </c>
      <c r="K62" s="50">
        <f t="shared" si="2"/>
        <v>-6.9546436285097197</v>
      </c>
      <c r="L62" s="50">
        <f>VLOOKUP($A62,'Data shares'!$C:$FB,118)</f>
        <v>0.75</v>
      </c>
      <c r="M62" s="50">
        <f>VLOOKUP($A62,'Data shares'!$C:$FB,119)</f>
        <v>0.8</v>
      </c>
      <c r="N62" s="50">
        <f>VLOOKUP($A62,'Data shares'!$C:$FB,121)*100</f>
        <v>-6.25</v>
      </c>
      <c r="O62" s="50">
        <f>VLOOKUP($A62,'Data shares'!$C:$FB,124)</f>
        <v>0.38</v>
      </c>
      <c r="P62" s="50">
        <f>VLOOKUP($A62,'Data shares'!$C:$FB,125)</f>
        <v>0.28999999999999998</v>
      </c>
      <c r="Q62" s="50">
        <f>VLOOKUP($A62,'Data shares'!$C:$FB,127)*100</f>
        <v>31.03</v>
      </c>
    </row>
    <row r="63" spans="1:17" x14ac:dyDescent="0.25">
      <c r="A63" s="97" t="str">
        <f>'Data Vlaue (Cr)'!C58</f>
        <v>DMART</v>
      </c>
      <c r="B63" s="140">
        <f>VLOOKUP($A63,'Data shares'!$C:$FB,7)</f>
        <v>3841.6</v>
      </c>
      <c r="C63" s="140">
        <f>VLOOKUP($A63,'Data shares'!$C:$FB,3)</f>
        <v>3857.7</v>
      </c>
      <c r="D63" s="140">
        <f>VLOOKUP($A63,'Data shares'!$C:$FB,4)</f>
        <v>3681.6</v>
      </c>
      <c r="E63" s="50">
        <f t="shared" si="0"/>
        <v>4.7832464146023446</v>
      </c>
      <c r="F63" s="49">
        <f>VLOOKUP($A63,'Data shares'!$C:$FB,98)</f>
        <v>9147750</v>
      </c>
      <c r="G63" s="49">
        <f>VLOOKUP($A63,'Data shares'!$C:$FB,99)</f>
        <v>9022050</v>
      </c>
      <c r="H63" s="50">
        <f t="shared" si="1"/>
        <v>1.3932531963356443</v>
      </c>
      <c r="I63" s="49">
        <f>VLOOKUP($A63,'Data shares'!$C:$FB,66)</f>
        <v>17963850</v>
      </c>
      <c r="J63" s="49">
        <f>VLOOKUP($A63,'Data shares'!$C:$FB,67)</f>
        <v>5418600</v>
      </c>
      <c r="K63" s="50">
        <f t="shared" si="2"/>
        <v>69.836087475680316</v>
      </c>
      <c r="L63" s="50">
        <f>VLOOKUP($A63,'Data shares'!$C:$FB,118)</f>
        <v>0.8</v>
      </c>
      <c r="M63" s="50">
        <f>VLOOKUP($A63,'Data shares'!$C:$FB,119)</f>
        <v>0.81</v>
      </c>
      <c r="N63" s="50">
        <f>VLOOKUP($A63,'Data shares'!$C:$FB,121)*100</f>
        <v>-1.23</v>
      </c>
      <c r="O63" s="50">
        <f>VLOOKUP($A63,'Data shares'!$C:$FB,124)</f>
        <v>0.28000000000000003</v>
      </c>
      <c r="P63" s="50">
        <f>VLOOKUP($A63,'Data shares'!$C:$FB,125)</f>
        <v>0.52</v>
      </c>
      <c r="Q63" s="50">
        <f>VLOOKUP($A63,'Data shares'!$C:$FB,127)*100</f>
        <v>-46.150000000000006</v>
      </c>
    </row>
    <row r="64" spans="1:17" x14ac:dyDescent="0.25">
      <c r="A64" s="97" t="str">
        <f>'Data Vlaue (Cr)'!C59</f>
        <v>DRREDDY</v>
      </c>
      <c r="B64" s="140">
        <f>VLOOKUP($A64,'Data shares'!$C:$FB,7)</f>
        <v>1242.8</v>
      </c>
      <c r="C64" s="140">
        <f>VLOOKUP($A64,'Data shares'!$C:$FB,3)</f>
        <v>1246.2</v>
      </c>
      <c r="D64" s="140">
        <f>VLOOKUP($A64,'Data shares'!$C:$FB,4)</f>
        <v>1259</v>
      </c>
      <c r="E64" s="50">
        <f t="shared" si="0"/>
        <v>-1.0166799046862554</v>
      </c>
      <c r="F64" s="49">
        <f>VLOOKUP($A64,'Data shares'!$C:$FB,98)</f>
        <v>22489375</v>
      </c>
      <c r="G64" s="49">
        <f>VLOOKUP($A64,'Data shares'!$C:$FB,99)</f>
        <v>21442500</v>
      </c>
      <c r="H64" s="50">
        <f t="shared" si="1"/>
        <v>4.8822432085810892</v>
      </c>
      <c r="I64" s="49">
        <f>VLOOKUP($A64,'Data shares'!$C:$FB,66)</f>
        <v>12530000</v>
      </c>
      <c r="J64" s="49">
        <f>VLOOKUP($A64,'Data shares'!$C:$FB,67)</f>
        <v>5915000</v>
      </c>
      <c r="K64" s="50">
        <f t="shared" si="2"/>
        <v>52.793296089385478</v>
      </c>
      <c r="L64" s="50">
        <f>VLOOKUP($A64,'Data shares'!$C:$FB,118)</f>
        <v>0.66</v>
      </c>
      <c r="M64" s="50">
        <f>VLOOKUP($A64,'Data shares'!$C:$FB,119)</f>
        <v>0.69</v>
      </c>
      <c r="N64" s="50">
        <f>VLOOKUP($A64,'Data shares'!$C:$FB,121)*100</f>
        <v>-4.3499999999999996</v>
      </c>
      <c r="O64" s="50">
        <f>VLOOKUP($A64,'Data shares'!$C:$FB,124)</f>
        <v>0.4</v>
      </c>
      <c r="P64" s="50">
        <f>VLOOKUP($A64,'Data shares'!$C:$FB,125)</f>
        <v>0.35</v>
      </c>
      <c r="Q64" s="50">
        <f>VLOOKUP($A64,'Data shares'!$C:$FB,127)*100</f>
        <v>14.29</v>
      </c>
    </row>
    <row r="65" spans="1:17" x14ac:dyDescent="0.25">
      <c r="A65" s="97" t="str">
        <f>'Data Vlaue (Cr)'!C60</f>
        <v>EICHERMOT</v>
      </c>
      <c r="B65" s="140">
        <f>VLOOKUP($A65,'Data shares'!$C:$FB,7)</f>
        <v>7582.5</v>
      </c>
      <c r="C65" s="140">
        <f>VLOOKUP($A65,'Data shares'!$C:$FB,3)</f>
        <v>7617</v>
      </c>
      <c r="D65" s="140">
        <f>VLOOKUP($A65,'Data shares'!$C:$FB,4)</f>
        <v>7557</v>
      </c>
      <c r="E65" s="50">
        <f t="shared" si="0"/>
        <v>0.79396585946804288</v>
      </c>
      <c r="F65" s="49">
        <f>VLOOKUP($A65,'Data shares'!$C:$FB,98)</f>
        <v>5769000</v>
      </c>
      <c r="G65" s="49">
        <f>VLOOKUP($A65,'Data shares'!$C:$FB,99)</f>
        <v>5481100</v>
      </c>
      <c r="H65" s="50">
        <f t="shared" si="1"/>
        <v>5.2525952819689481</v>
      </c>
      <c r="I65" s="49">
        <f>VLOOKUP($A65,'Data shares'!$C:$FB,66)</f>
        <v>3463500</v>
      </c>
      <c r="J65" s="49">
        <f>VLOOKUP($A65,'Data shares'!$C:$FB,67)</f>
        <v>4861900</v>
      </c>
      <c r="K65" s="50">
        <f t="shared" si="2"/>
        <v>-40.375342861267505</v>
      </c>
      <c r="L65" s="50">
        <f>VLOOKUP($A65,'Data shares'!$C:$FB,118)</f>
        <v>1.1100000000000001</v>
      </c>
      <c r="M65" s="50">
        <f>VLOOKUP($A65,'Data shares'!$C:$FB,119)</f>
        <v>1.04</v>
      </c>
      <c r="N65" s="50">
        <f>VLOOKUP($A65,'Data shares'!$C:$FB,121)*100</f>
        <v>6.7299999999999995</v>
      </c>
      <c r="O65" s="50">
        <f>VLOOKUP($A65,'Data shares'!$C:$FB,124)</f>
        <v>0.83</v>
      </c>
      <c r="P65" s="50">
        <f>VLOOKUP($A65,'Data shares'!$C:$FB,125)</f>
        <v>0.67</v>
      </c>
      <c r="Q65" s="50">
        <f>VLOOKUP($A65,'Data shares'!$C:$FB,127)*100</f>
        <v>23.880000000000003</v>
      </c>
    </row>
    <row r="66" spans="1:17" x14ac:dyDescent="0.25">
      <c r="A66" s="97" t="str">
        <f>'Data Vlaue (Cr)'!C61</f>
        <v>ETERNAL</v>
      </c>
      <c r="B66" s="140">
        <f>VLOOKUP($A66,'Data shares'!$C:$FB,7)</f>
        <v>280.95</v>
      </c>
      <c r="C66" s="140">
        <f>VLOOKUP($A66,'Data shares'!$C:$FB,3)</f>
        <v>282.39999999999998</v>
      </c>
      <c r="D66" s="140">
        <f>VLOOKUP($A66,'Data shares'!$C:$FB,4)</f>
        <v>279.60000000000002</v>
      </c>
      <c r="E66" s="50">
        <f t="shared" si="0"/>
        <v>1.0014306151645045</v>
      </c>
      <c r="F66" s="49">
        <f>VLOOKUP($A66,'Data shares'!$C:$FB,98)</f>
        <v>368954050</v>
      </c>
      <c r="G66" s="49">
        <f>VLOOKUP($A66,'Data shares'!$C:$FB,99)</f>
        <v>356084575</v>
      </c>
      <c r="H66" s="50">
        <f t="shared" si="1"/>
        <v>3.6141624500303053</v>
      </c>
      <c r="I66" s="49">
        <f>VLOOKUP($A66,'Data shares'!$C:$FB,66)</f>
        <v>167552950</v>
      </c>
      <c r="J66" s="49">
        <f>VLOOKUP($A66,'Data shares'!$C:$FB,67)</f>
        <v>107342625</v>
      </c>
      <c r="K66" s="50">
        <f t="shared" si="2"/>
        <v>35.935102903291167</v>
      </c>
      <c r="L66" s="50">
        <f>VLOOKUP($A66,'Data shares'!$C:$FB,118)</f>
        <v>0.73</v>
      </c>
      <c r="M66" s="50">
        <f>VLOOKUP($A66,'Data shares'!$C:$FB,119)</f>
        <v>0.74</v>
      </c>
      <c r="N66" s="50">
        <f>VLOOKUP($A66,'Data shares'!$C:$FB,121)*100</f>
        <v>-1.35</v>
      </c>
      <c r="O66" s="50">
        <f>VLOOKUP($A66,'Data shares'!$C:$FB,124)</f>
        <v>0.59</v>
      </c>
      <c r="P66" s="50">
        <f>VLOOKUP($A66,'Data shares'!$C:$FB,125)</f>
        <v>0.7</v>
      </c>
      <c r="Q66" s="50">
        <f>VLOOKUP($A66,'Data shares'!$C:$FB,127)*100</f>
        <v>-15.709999999999999</v>
      </c>
    </row>
    <row r="67" spans="1:17" x14ac:dyDescent="0.25">
      <c r="A67" s="97" t="str">
        <f>'Data Vlaue (Cr)'!C62</f>
        <v>EXIDEIND</v>
      </c>
      <c r="B67" s="140">
        <f>VLOOKUP($A67,'Data shares'!$C:$FB,7)</f>
        <v>359.4</v>
      </c>
      <c r="C67" s="140">
        <f>VLOOKUP($A67,'Data shares'!$C:$FB,3)</f>
        <v>360.35</v>
      </c>
      <c r="D67" s="140">
        <f>VLOOKUP($A67,'Data shares'!$C:$FB,4)</f>
        <v>364.9</v>
      </c>
      <c r="E67" s="50">
        <f t="shared" si="0"/>
        <v>-1.2469169635516455</v>
      </c>
      <c r="F67" s="49">
        <f>VLOOKUP($A67,'Data shares'!$C:$FB,98)</f>
        <v>57565800</v>
      </c>
      <c r="G67" s="49">
        <f>VLOOKUP($A67,'Data shares'!$C:$FB,99)</f>
        <v>53199000</v>
      </c>
      <c r="H67" s="50">
        <f t="shared" si="1"/>
        <v>8.2084249703941801</v>
      </c>
      <c r="I67" s="49">
        <f>VLOOKUP($A67,'Data shares'!$C:$FB,66)</f>
        <v>21429000</v>
      </c>
      <c r="J67" s="49">
        <f>VLOOKUP($A67,'Data shares'!$C:$FB,67)</f>
        <v>19544400</v>
      </c>
      <c r="K67" s="50">
        <f t="shared" si="2"/>
        <v>8.7946241075178495</v>
      </c>
      <c r="L67" s="50">
        <f>VLOOKUP($A67,'Data shares'!$C:$FB,118)</f>
        <v>0.64</v>
      </c>
      <c r="M67" s="50">
        <f>VLOOKUP($A67,'Data shares'!$C:$FB,119)</f>
        <v>0.64</v>
      </c>
      <c r="N67" s="50">
        <f>VLOOKUP($A67,'Data shares'!$C:$FB,121)*100</f>
        <v>0</v>
      </c>
      <c r="O67" s="50">
        <f>VLOOKUP($A67,'Data shares'!$C:$FB,124)</f>
        <v>0.42</v>
      </c>
      <c r="P67" s="50">
        <f>VLOOKUP($A67,'Data shares'!$C:$FB,125)</f>
        <v>0.39</v>
      </c>
      <c r="Q67" s="50">
        <f>VLOOKUP($A67,'Data shares'!$C:$FB,127)*100</f>
        <v>7.6899999999999995</v>
      </c>
    </row>
    <row r="68" spans="1:17" x14ac:dyDescent="0.25">
      <c r="A68" s="97" t="str">
        <f>'Data Vlaue (Cr)'!C63</f>
        <v>FEDERALBNK</v>
      </c>
      <c r="B68" s="140">
        <f>VLOOKUP($A68,'Data shares'!$C:$FB,7)</f>
        <v>258.55</v>
      </c>
      <c r="C68" s="140">
        <f>VLOOKUP($A68,'Data shares'!$C:$FB,3)</f>
        <v>258.89999999999998</v>
      </c>
      <c r="D68" s="140">
        <f>VLOOKUP($A68,'Data shares'!$C:$FB,4)</f>
        <v>258.05</v>
      </c>
      <c r="E68" s="50">
        <f t="shared" si="0"/>
        <v>0.32939352838595848</v>
      </c>
      <c r="F68" s="49">
        <f>VLOOKUP($A68,'Data shares'!$C:$FB,98)</f>
        <v>112550000</v>
      </c>
      <c r="G68" s="49">
        <f>VLOOKUP($A68,'Data shares'!$C:$FB,99)</f>
        <v>111450000</v>
      </c>
      <c r="H68" s="50">
        <f t="shared" si="1"/>
        <v>0.986989681471512</v>
      </c>
      <c r="I68" s="49">
        <f>VLOOKUP($A68,'Data shares'!$C:$FB,66)</f>
        <v>90555000</v>
      </c>
      <c r="J68" s="49">
        <f>VLOOKUP($A68,'Data shares'!$C:$FB,67)</f>
        <v>151500000</v>
      </c>
      <c r="K68" s="50">
        <f t="shared" si="2"/>
        <v>-67.301639887361276</v>
      </c>
      <c r="L68" s="50">
        <f>VLOOKUP($A68,'Data shares'!$C:$FB,118)</f>
        <v>0.76</v>
      </c>
      <c r="M68" s="50">
        <f>VLOOKUP($A68,'Data shares'!$C:$FB,119)</f>
        <v>0.75</v>
      </c>
      <c r="N68" s="50">
        <f>VLOOKUP($A68,'Data shares'!$C:$FB,121)*100</f>
        <v>1.3299999999999998</v>
      </c>
      <c r="O68" s="50">
        <f>VLOOKUP($A68,'Data shares'!$C:$FB,124)</f>
        <v>0.45</v>
      </c>
      <c r="P68" s="50">
        <f>VLOOKUP($A68,'Data shares'!$C:$FB,125)</f>
        <v>0.56999999999999995</v>
      </c>
      <c r="Q68" s="50">
        <f>VLOOKUP($A68,'Data shares'!$C:$FB,127)*100</f>
        <v>-21.05</v>
      </c>
    </row>
    <row r="69" spans="1:17" x14ac:dyDescent="0.25">
      <c r="A69" s="97" t="str">
        <f>'Data Vlaue (Cr)'!C64</f>
        <v>FINNIFTY</v>
      </c>
      <c r="B69" s="140">
        <f>VLOOKUP($A69,'Data shares'!$C:$FB,7)</f>
        <v>27853.35</v>
      </c>
      <c r="C69" s="140">
        <f>VLOOKUP($A69,'Data shares'!$C:$FB,3)</f>
        <v>27955.3</v>
      </c>
      <c r="D69" s="140">
        <f>VLOOKUP($A69,'Data shares'!$C:$FB,4)</f>
        <v>28041.1</v>
      </c>
      <c r="E69" s="50">
        <f t="shared" si="0"/>
        <v>-0.30597943732592259</v>
      </c>
      <c r="F69" s="49">
        <f>VLOOKUP($A69,'Data shares'!$C:$FB,98)</f>
        <v>909240</v>
      </c>
      <c r="G69" s="49">
        <f>VLOOKUP($A69,'Data shares'!$C:$FB,99)</f>
        <v>979380</v>
      </c>
      <c r="H69" s="50">
        <f t="shared" si="1"/>
        <v>-7.1616737119402067</v>
      </c>
      <c r="I69" s="49">
        <f>VLOOKUP($A69,'Data shares'!$C:$FB,66)</f>
        <v>1648620</v>
      </c>
      <c r="J69" s="49">
        <f>VLOOKUP($A69,'Data shares'!$C:$FB,67)</f>
        <v>2987040</v>
      </c>
      <c r="K69" s="50">
        <f t="shared" si="2"/>
        <v>-81.184263201950728</v>
      </c>
      <c r="L69" s="50">
        <f>VLOOKUP($A69,'Data shares'!$C:$FB,118)</f>
        <v>0.75</v>
      </c>
      <c r="M69" s="50">
        <f>VLOOKUP($A69,'Data shares'!$C:$FB,119)</f>
        <v>0.75</v>
      </c>
      <c r="N69" s="50">
        <f>VLOOKUP($A69,'Data shares'!$C:$FB,121)*100</f>
        <v>0</v>
      </c>
      <c r="O69" s="50">
        <f>VLOOKUP($A69,'Data shares'!$C:$FB,124)</f>
        <v>1.04</v>
      </c>
      <c r="P69" s="50">
        <f>VLOOKUP($A69,'Data shares'!$C:$FB,125)</f>
        <v>0.76</v>
      </c>
      <c r="Q69" s="50">
        <f>VLOOKUP($A69,'Data shares'!$C:$FB,127)*100</f>
        <v>36.840000000000003</v>
      </c>
    </row>
    <row r="70" spans="1:17" x14ac:dyDescent="0.25">
      <c r="A70" s="97" t="str">
        <f>'Data Vlaue (Cr)'!C65</f>
        <v>FORTIS</v>
      </c>
      <c r="B70" s="140">
        <f>VLOOKUP($A70,'Data shares'!$C:$FB,7)</f>
        <v>940.85</v>
      </c>
      <c r="C70" s="140">
        <f>VLOOKUP($A70,'Data shares'!$C:$FB,3)</f>
        <v>942.6</v>
      </c>
      <c r="D70" s="140">
        <f>VLOOKUP($A70,'Data shares'!$C:$FB,4)</f>
        <v>947.5</v>
      </c>
      <c r="E70" s="50">
        <f t="shared" si="0"/>
        <v>-0.51715039577836175</v>
      </c>
      <c r="F70" s="49">
        <f>VLOOKUP($A70,'Data shares'!$C:$FB,98)</f>
        <v>16774875</v>
      </c>
      <c r="G70" s="49">
        <f>VLOOKUP($A70,'Data shares'!$C:$FB,99)</f>
        <v>16493550</v>
      </c>
      <c r="H70" s="50">
        <f t="shared" si="1"/>
        <v>1.7056667606427969</v>
      </c>
      <c r="I70" s="49">
        <f>VLOOKUP($A70,'Data shares'!$C:$FB,66)</f>
        <v>9196925</v>
      </c>
      <c r="J70" s="49">
        <f>VLOOKUP($A70,'Data shares'!$C:$FB,67)</f>
        <v>23462350</v>
      </c>
      <c r="K70" s="50">
        <f t="shared" si="2"/>
        <v>-155.11081149405916</v>
      </c>
      <c r="L70" s="50">
        <f>VLOOKUP($A70,'Data shares'!$C:$FB,118)</f>
        <v>0.65</v>
      </c>
      <c r="M70" s="50">
        <f>VLOOKUP($A70,'Data shares'!$C:$FB,119)</f>
        <v>0.64</v>
      </c>
      <c r="N70" s="50">
        <f>VLOOKUP($A70,'Data shares'!$C:$FB,121)*100</f>
        <v>1.5599999999999998</v>
      </c>
      <c r="O70" s="50">
        <f>VLOOKUP($A70,'Data shares'!$C:$FB,124)</f>
        <v>0.31</v>
      </c>
      <c r="P70" s="50">
        <f>VLOOKUP($A70,'Data shares'!$C:$FB,125)</f>
        <v>0.19</v>
      </c>
      <c r="Q70" s="50">
        <f>VLOOKUP($A70,'Data shares'!$C:$FB,127)*100</f>
        <v>63.160000000000004</v>
      </c>
    </row>
    <row r="71" spans="1:17" x14ac:dyDescent="0.25">
      <c r="A71" s="97" t="str">
        <f>'Data Vlaue (Cr)'!C66</f>
        <v>GAIL</v>
      </c>
      <c r="B71" s="140">
        <f>VLOOKUP($A71,'Data shares'!$C:$FB,7)</f>
        <v>168.48</v>
      </c>
      <c r="C71" s="140">
        <f>VLOOKUP($A71,'Data shares'!$C:$FB,3)</f>
        <v>169.05</v>
      </c>
      <c r="D71" s="140">
        <f>VLOOKUP($A71,'Data shares'!$C:$FB,4)</f>
        <v>170.07</v>
      </c>
      <c r="E71" s="50">
        <f t="shared" si="0"/>
        <v>-0.59975304286469211</v>
      </c>
      <c r="F71" s="49">
        <f>VLOOKUP($A71,'Data shares'!$C:$FB,98)</f>
        <v>159856200</v>
      </c>
      <c r="G71" s="49">
        <f>VLOOKUP($A71,'Data shares'!$C:$FB,99)</f>
        <v>151716600</v>
      </c>
      <c r="H71" s="50">
        <f t="shared" si="1"/>
        <v>5.3650029067353211</v>
      </c>
      <c r="I71" s="49">
        <f>VLOOKUP($A71,'Data shares'!$C:$FB,66)</f>
        <v>52957800</v>
      </c>
      <c r="J71" s="49">
        <f>VLOOKUP($A71,'Data shares'!$C:$FB,67)</f>
        <v>54400500</v>
      </c>
      <c r="K71" s="50">
        <f t="shared" si="2"/>
        <v>-2.7242445871996193</v>
      </c>
      <c r="L71" s="50">
        <f>VLOOKUP($A71,'Data shares'!$C:$FB,118)</f>
        <v>0.87</v>
      </c>
      <c r="M71" s="50">
        <f>VLOOKUP($A71,'Data shares'!$C:$FB,119)</f>
        <v>0.89</v>
      </c>
      <c r="N71" s="50">
        <f>VLOOKUP($A71,'Data shares'!$C:$FB,121)*100</f>
        <v>-2.25</v>
      </c>
      <c r="O71" s="50">
        <f>VLOOKUP($A71,'Data shares'!$C:$FB,124)</f>
        <v>0.55000000000000004</v>
      </c>
      <c r="P71" s="50">
        <f>VLOOKUP($A71,'Data shares'!$C:$FB,125)</f>
        <v>0.56000000000000005</v>
      </c>
      <c r="Q71" s="50">
        <f>VLOOKUP($A71,'Data shares'!$C:$FB,127)*100</f>
        <v>-1.79</v>
      </c>
    </row>
    <row r="72" spans="1:17" x14ac:dyDescent="0.25">
      <c r="A72" s="97" t="str">
        <f>'Data Vlaue (Cr)'!C67</f>
        <v>GLENMARK</v>
      </c>
      <c r="B72" s="140">
        <f>VLOOKUP($A72,'Data shares'!$C:$FB,7)</f>
        <v>2113.1</v>
      </c>
      <c r="C72" s="140">
        <f>VLOOKUP($A72,'Data shares'!$C:$FB,3)</f>
        <v>2122.5</v>
      </c>
      <c r="D72" s="140">
        <f>VLOOKUP($A72,'Data shares'!$C:$FB,4)</f>
        <v>2085.5</v>
      </c>
      <c r="E72" s="50">
        <f t="shared" ref="E72:E135" si="3">(C72-D72)/D72*100</f>
        <v>1.7741548789259172</v>
      </c>
      <c r="F72" s="49">
        <f>VLOOKUP($A72,'Data shares'!$C:$FB,98)</f>
        <v>16148250</v>
      </c>
      <c r="G72" s="49">
        <f>VLOOKUP($A72,'Data shares'!$C:$FB,99)</f>
        <v>15168750</v>
      </c>
      <c r="H72" s="50">
        <f t="shared" ref="H72:H135" si="4">(F72-G72)/G72*100</f>
        <v>6.4573547589616807</v>
      </c>
      <c r="I72" s="49">
        <f>VLOOKUP($A72,'Data shares'!$C:$FB,66)</f>
        <v>26317875</v>
      </c>
      <c r="J72" s="49">
        <f>VLOOKUP($A72,'Data shares'!$C:$FB,67)</f>
        <v>5246250</v>
      </c>
      <c r="K72" s="50">
        <f t="shared" ref="K72:K135" si="5">(I72-J72)/I72*100</f>
        <v>80.065829782989695</v>
      </c>
      <c r="L72" s="50">
        <f>VLOOKUP($A72,'Data shares'!$C:$FB,118)</f>
        <v>0.52</v>
      </c>
      <c r="M72" s="50">
        <f>VLOOKUP($A72,'Data shares'!$C:$FB,119)</f>
        <v>0.56999999999999995</v>
      </c>
      <c r="N72" s="50">
        <f>VLOOKUP($A72,'Data shares'!$C:$FB,121)*100</f>
        <v>-8.77</v>
      </c>
      <c r="O72" s="50">
        <f>VLOOKUP($A72,'Data shares'!$C:$FB,124)</f>
        <v>0.33</v>
      </c>
      <c r="P72" s="50">
        <f>VLOOKUP($A72,'Data shares'!$C:$FB,125)</f>
        <v>0.44</v>
      </c>
      <c r="Q72" s="50">
        <f>VLOOKUP($A72,'Data shares'!$C:$FB,127)*100</f>
        <v>-25</v>
      </c>
    </row>
    <row r="73" spans="1:17" x14ac:dyDescent="0.25">
      <c r="A73" s="97" t="str">
        <f>'Data Vlaue (Cr)'!C68</f>
        <v>GMRAIRPORT</v>
      </c>
      <c r="B73" s="140">
        <f>VLOOKUP($A73,'Data shares'!$C:$FB,7)</f>
        <v>104.51</v>
      </c>
      <c r="C73" s="140">
        <f>VLOOKUP($A73,'Data shares'!$C:$FB,3)</f>
        <v>105.03</v>
      </c>
      <c r="D73" s="140">
        <f>VLOOKUP($A73,'Data shares'!$C:$FB,4)</f>
        <v>105</v>
      </c>
      <c r="E73" s="50">
        <f t="shared" si="3"/>
        <v>2.8571428571429653E-2</v>
      </c>
      <c r="F73" s="49">
        <f>VLOOKUP($A73,'Data shares'!$C:$FB,98)</f>
        <v>320780250</v>
      </c>
      <c r="G73" s="49">
        <f>VLOOKUP($A73,'Data shares'!$C:$FB,99)</f>
        <v>311091975</v>
      </c>
      <c r="H73" s="50">
        <f t="shared" si="4"/>
        <v>3.1142799488800699</v>
      </c>
      <c r="I73" s="49">
        <f>VLOOKUP($A73,'Data shares'!$C:$FB,66)</f>
        <v>96031800</v>
      </c>
      <c r="J73" s="49">
        <f>VLOOKUP($A73,'Data shares'!$C:$FB,67)</f>
        <v>94790250</v>
      </c>
      <c r="K73" s="50">
        <f t="shared" si="5"/>
        <v>1.2928529924462522</v>
      </c>
      <c r="L73" s="50">
        <f>VLOOKUP($A73,'Data shares'!$C:$FB,118)</f>
        <v>0.56000000000000005</v>
      </c>
      <c r="M73" s="50">
        <f>VLOOKUP($A73,'Data shares'!$C:$FB,119)</f>
        <v>0.56999999999999995</v>
      </c>
      <c r="N73" s="50">
        <f>VLOOKUP($A73,'Data shares'!$C:$FB,121)*100</f>
        <v>-1.7500000000000002</v>
      </c>
      <c r="O73" s="50">
        <f>VLOOKUP($A73,'Data shares'!$C:$FB,124)</f>
        <v>0.28000000000000003</v>
      </c>
      <c r="P73" s="50">
        <f>VLOOKUP($A73,'Data shares'!$C:$FB,125)</f>
        <v>0.35</v>
      </c>
      <c r="Q73" s="50">
        <f>VLOOKUP($A73,'Data shares'!$C:$FB,127)*100</f>
        <v>-20</v>
      </c>
    </row>
    <row r="74" spans="1:17" x14ac:dyDescent="0.25">
      <c r="A74" s="97" t="str">
        <f>'Data Vlaue (Cr)'!C69</f>
        <v>GODREJCP</v>
      </c>
      <c r="B74" s="140">
        <f>VLOOKUP($A74,'Data shares'!$C:$FB,7)</f>
        <v>1247.7</v>
      </c>
      <c r="C74" s="140">
        <f>VLOOKUP($A74,'Data shares'!$C:$FB,3)</f>
        <v>1250.5999999999999</v>
      </c>
      <c r="D74" s="140">
        <f>VLOOKUP($A74,'Data shares'!$C:$FB,4)</f>
        <v>1260.2</v>
      </c>
      <c r="E74" s="50">
        <f t="shared" si="3"/>
        <v>-0.76178384383432285</v>
      </c>
      <c r="F74" s="49">
        <f>VLOOKUP($A74,'Data shares'!$C:$FB,98)</f>
        <v>12452000</v>
      </c>
      <c r="G74" s="49">
        <f>VLOOKUP($A74,'Data shares'!$C:$FB,99)</f>
        <v>11958000</v>
      </c>
      <c r="H74" s="50">
        <f t="shared" si="4"/>
        <v>4.131125606288677</v>
      </c>
      <c r="I74" s="49">
        <f>VLOOKUP($A74,'Data shares'!$C:$FB,66)</f>
        <v>11302500</v>
      </c>
      <c r="J74" s="49">
        <f>VLOOKUP($A74,'Data shares'!$C:$FB,67)</f>
        <v>3442500</v>
      </c>
      <c r="K74" s="50">
        <f t="shared" si="5"/>
        <v>69.542136695421362</v>
      </c>
      <c r="L74" s="50">
        <f>VLOOKUP($A74,'Data shares'!$C:$FB,118)</f>
        <v>0.65</v>
      </c>
      <c r="M74" s="50">
        <f>VLOOKUP($A74,'Data shares'!$C:$FB,119)</f>
        <v>0.82</v>
      </c>
      <c r="N74" s="50">
        <f>VLOOKUP($A74,'Data shares'!$C:$FB,121)*100</f>
        <v>-20.73</v>
      </c>
      <c r="O74" s="50">
        <f>VLOOKUP($A74,'Data shares'!$C:$FB,124)</f>
        <v>0.3</v>
      </c>
      <c r="P74" s="50">
        <f>VLOOKUP($A74,'Data shares'!$C:$FB,125)</f>
        <v>0.41</v>
      </c>
      <c r="Q74" s="50">
        <f>VLOOKUP($A74,'Data shares'!$C:$FB,127)*100</f>
        <v>-26.83</v>
      </c>
    </row>
    <row r="75" spans="1:17" x14ac:dyDescent="0.25">
      <c r="A75" s="97" t="str">
        <f>'Data Vlaue (Cr)'!C70</f>
        <v>GODREJPROP</v>
      </c>
      <c r="B75" s="140">
        <f>VLOOKUP($A75,'Data shares'!$C:$FB,7)</f>
        <v>2138.1999999999998</v>
      </c>
      <c r="C75" s="140">
        <f>VLOOKUP($A75,'Data shares'!$C:$FB,3)</f>
        <v>2148.6999999999998</v>
      </c>
      <c r="D75" s="140">
        <f>VLOOKUP($A75,'Data shares'!$C:$FB,4)</f>
        <v>2134.9</v>
      </c>
      <c r="E75" s="50">
        <f t="shared" si="3"/>
        <v>0.64640029977983637</v>
      </c>
      <c r="F75" s="49">
        <f>VLOOKUP($A75,'Data shares'!$C:$FB,98)</f>
        <v>13688400</v>
      </c>
      <c r="G75" s="49">
        <f>VLOOKUP($A75,'Data shares'!$C:$FB,99)</f>
        <v>13166725</v>
      </c>
      <c r="H75" s="50">
        <f t="shared" si="4"/>
        <v>3.962071054115583</v>
      </c>
      <c r="I75" s="49">
        <f>VLOOKUP($A75,'Data shares'!$C:$FB,66)</f>
        <v>5665275</v>
      </c>
      <c r="J75" s="49">
        <f>VLOOKUP($A75,'Data shares'!$C:$FB,67)</f>
        <v>3823600</v>
      </c>
      <c r="K75" s="50">
        <f t="shared" si="5"/>
        <v>32.50813067326829</v>
      </c>
      <c r="L75" s="50">
        <f>VLOOKUP($A75,'Data shares'!$C:$FB,118)</f>
        <v>0.99</v>
      </c>
      <c r="M75" s="50">
        <f>VLOOKUP($A75,'Data shares'!$C:$FB,119)</f>
        <v>0.98</v>
      </c>
      <c r="N75" s="50">
        <f>VLOOKUP($A75,'Data shares'!$C:$FB,121)*100</f>
        <v>1.02</v>
      </c>
      <c r="O75" s="50">
        <f>VLOOKUP($A75,'Data shares'!$C:$FB,124)</f>
        <v>0.41</v>
      </c>
      <c r="P75" s="50">
        <f>VLOOKUP($A75,'Data shares'!$C:$FB,125)</f>
        <v>0.43</v>
      </c>
      <c r="Q75" s="50">
        <f>VLOOKUP($A75,'Data shares'!$C:$FB,127)*100</f>
        <v>-4.6500000000000004</v>
      </c>
    </row>
    <row r="76" spans="1:17" x14ac:dyDescent="0.25">
      <c r="A76" s="97" t="str">
        <f>'Data Vlaue (Cr)'!C71</f>
        <v>GRASIM</v>
      </c>
      <c r="B76" s="140">
        <f>VLOOKUP($A76,'Data shares'!$C:$FB,7)</f>
        <v>2837.1</v>
      </c>
      <c r="C76" s="140">
        <f>VLOOKUP($A76,'Data shares'!$C:$FB,3)</f>
        <v>2848.6</v>
      </c>
      <c r="D76" s="140">
        <f>VLOOKUP($A76,'Data shares'!$C:$FB,4)</f>
        <v>2879.7</v>
      </c>
      <c r="E76" s="50">
        <f t="shared" si="3"/>
        <v>-1.0799736083619791</v>
      </c>
      <c r="F76" s="49">
        <f>VLOOKUP($A76,'Data shares'!$C:$FB,98)</f>
        <v>18896250</v>
      </c>
      <c r="G76" s="49">
        <f>VLOOKUP($A76,'Data shares'!$C:$FB,99)</f>
        <v>18662250</v>
      </c>
      <c r="H76" s="50">
        <f t="shared" si="4"/>
        <v>1.253868102720733</v>
      </c>
      <c r="I76" s="49">
        <f>VLOOKUP($A76,'Data shares'!$C:$FB,66)</f>
        <v>2529000</v>
      </c>
      <c r="J76" s="49">
        <f>VLOOKUP($A76,'Data shares'!$C:$FB,67)</f>
        <v>3694500</v>
      </c>
      <c r="K76" s="50">
        <f t="shared" si="5"/>
        <v>-46.085409252669038</v>
      </c>
      <c r="L76" s="50">
        <f>VLOOKUP($A76,'Data shares'!$C:$FB,118)</f>
        <v>1.03</v>
      </c>
      <c r="M76" s="50">
        <f>VLOOKUP($A76,'Data shares'!$C:$FB,119)</f>
        <v>1.08</v>
      </c>
      <c r="N76" s="50">
        <f>VLOOKUP($A76,'Data shares'!$C:$FB,121)*100</f>
        <v>-4.63</v>
      </c>
      <c r="O76" s="50">
        <f>VLOOKUP($A76,'Data shares'!$C:$FB,124)</f>
        <v>0.89</v>
      </c>
      <c r="P76" s="50">
        <f>VLOOKUP($A76,'Data shares'!$C:$FB,125)</f>
        <v>0.52</v>
      </c>
      <c r="Q76" s="50">
        <f>VLOOKUP($A76,'Data shares'!$C:$FB,127)*100</f>
        <v>71.150000000000006</v>
      </c>
    </row>
    <row r="77" spans="1:17" x14ac:dyDescent="0.25">
      <c r="A77" s="97" t="str">
        <f>'Data Vlaue (Cr)'!C72</f>
        <v>HAL</v>
      </c>
      <c r="B77" s="140">
        <f>VLOOKUP($A77,'Data shares'!$C:$FB,7)</f>
        <v>4525.1000000000004</v>
      </c>
      <c r="C77" s="140">
        <f>VLOOKUP($A77,'Data shares'!$C:$FB,3)</f>
        <v>4535.1000000000004</v>
      </c>
      <c r="D77" s="140">
        <f>VLOOKUP($A77,'Data shares'!$C:$FB,4)</f>
        <v>4528.3</v>
      </c>
      <c r="E77" s="50">
        <f t="shared" si="3"/>
        <v>0.15016672923614119</v>
      </c>
      <c r="F77" s="49">
        <f>VLOOKUP($A77,'Data shares'!$C:$FB,98)</f>
        <v>17250000</v>
      </c>
      <c r="G77" s="49">
        <f>VLOOKUP($A77,'Data shares'!$C:$FB,99)</f>
        <v>16956450</v>
      </c>
      <c r="H77" s="50">
        <f t="shared" si="4"/>
        <v>1.7311996319984431</v>
      </c>
      <c r="I77" s="49">
        <f>VLOOKUP($A77,'Data shares'!$C:$FB,66)</f>
        <v>5829450</v>
      </c>
      <c r="J77" s="49">
        <f>VLOOKUP($A77,'Data shares'!$C:$FB,67)</f>
        <v>8399250</v>
      </c>
      <c r="K77" s="50">
        <f t="shared" si="5"/>
        <v>-44.083061009186117</v>
      </c>
      <c r="L77" s="50">
        <f>VLOOKUP($A77,'Data shares'!$C:$FB,118)</f>
        <v>0.7</v>
      </c>
      <c r="M77" s="50">
        <f>VLOOKUP($A77,'Data shares'!$C:$FB,119)</f>
        <v>0.7</v>
      </c>
      <c r="N77" s="50">
        <f>VLOOKUP($A77,'Data shares'!$C:$FB,121)*100</f>
        <v>0</v>
      </c>
      <c r="O77" s="50">
        <f>VLOOKUP($A77,'Data shares'!$C:$FB,124)</f>
        <v>0.45</v>
      </c>
      <c r="P77" s="50">
        <f>VLOOKUP($A77,'Data shares'!$C:$FB,125)</f>
        <v>0.54</v>
      </c>
      <c r="Q77" s="50">
        <f>VLOOKUP($A77,'Data shares'!$C:$FB,127)*100</f>
        <v>-16.669999999999998</v>
      </c>
    </row>
    <row r="78" spans="1:17" x14ac:dyDescent="0.25">
      <c r="A78" s="97" t="str">
        <f>'Data Vlaue (Cr)'!C73</f>
        <v>HAVELLS</v>
      </c>
      <c r="B78" s="140">
        <f>VLOOKUP($A78,'Data shares'!$C:$FB,7)</f>
        <v>1496.2</v>
      </c>
      <c r="C78" s="140">
        <f>VLOOKUP($A78,'Data shares'!$C:$FB,3)</f>
        <v>1499.6</v>
      </c>
      <c r="D78" s="140">
        <f>VLOOKUP($A78,'Data shares'!$C:$FB,4)</f>
        <v>1508.4</v>
      </c>
      <c r="E78" s="50">
        <f t="shared" si="3"/>
        <v>-0.58339962874570284</v>
      </c>
      <c r="F78" s="49">
        <f>VLOOKUP($A78,'Data shares'!$C:$FB,98)</f>
        <v>13461500</v>
      </c>
      <c r="G78" s="49">
        <f>VLOOKUP($A78,'Data shares'!$C:$FB,99)</f>
        <v>12964500</v>
      </c>
      <c r="H78" s="50">
        <f t="shared" si="4"/>
        <v>3.8335454510393765</v>
      </c>
      <c r="I78" s="49">
        <f>VLOOKUP($A78,'Data shares'!$C:$FB,66)</f>
        <v>7009500</v>
      </c>
      <c r="J78" s="49">
        <f>VLOOKUP($A78,'Data shares'!$C:$FB,67)</f>
        <v>17808000</v>
      </c>
      <c r="K78" s="50">
        <f t="shared" si="5"/>
        <v>-154.05521078536273</v>
      </c>
      <c r="L78" s="50">
        <f>VLOOKUP($A78,'Data shares'!$C:$FB,118)</f>
        <v>0.9</v>
      </c>
      <c r="M78" s="50">
        <f>VLOOKUP($A78,'Data shares'!$C:$FB,119)</f>
        <v>0.86</v>
      </c>
      <c r="N78" s="50">
        <f>VLOOKUP($A78,'Data shares'!$C:$FB,121)*100</f>
        <v>4.6500000000000004</v>
      </c>
      <c r="O78" s="50">
        <f>VLOOKUP($A78,'Data shares'!$C:$FB,124)</f>
        <v>0.69</v>
      </c>
      <c r="P78" s="50">
        <f>VLOOKUP($A78,'Data shares'!$C:$FB,125)</f>
        <v>0.3</v>
      </c>
      <c r="Q78" s="50">
        <f>VLOOKUP($A78,'Data shares'!$C:$FB,127)*100</f>
        <v>130</v>
      </c>
    </row>
    <row r="79" spans="1:17" x14ac:dyDescent="0.25">
      <c r="A79" s="97" t="str">
        <f>'Data Vlaue (Cr)'!C74</f>
        <v>HCLTECH</v>
      </c>
      <c r="B79" s="140">
        <f>VLOOKUP($A79,'Data shares'!$C:$FB,7)</f>
        <v>1647.7</v>
      </c>
      <c r="C79" s="140">
        <f>VLOOKUP($A79,'Data shares'!$C:$FB,3)</f>
        <v>1643.4</v>
      </c>
      <c r="D79" s="140">
        <f>VLOOKUP($A79,'Data shares'!$C:$FB,4)</f>
        <v>1611</v>
      </c>
      <c r="E79" s="50">
        <f t="shared" si="3"/>
        <v>2.0111731843575473</v>
      </c>
      <c r="F79" s="49">
        <f>VLOOKUP($A79,'Data shares'!$C:$FB,98)</f>
        <v>29560650</v>
      </c>
      <c r="G79" s="49">
        <f>VLOOKUP($A79,'Data shares'!$C:$FB,99)</f>
        <v>25776450</v>
      </c>
      <c r="H79" s="50">
        <f t="shared" si="4"/>
        <v>14.680842396838974</v>
      </c>
      <c r="I79" s="49">
        <f>VLOOKUP($A79,'Data shares'!$C:$FB,66)</f>
        <v>30650200</v>
      </c>
      <c r="J79" s="49">
        <f>VLOOKUP($A79,'Data shares'!$C:$FB,67)</f>
        <v>10834600</v>
      </c>
      <c r="K79" s="50">
        <f t="shared" si="5"/>
        <v>64.650801626090526</v>
      </c>
      <c r="L79" s="50">
        <f>VLOOKUP($A79,'Data shares'!$C:$FB,118)</f>
        <v>0.47</v>
      </c>
      <c r="M79" s="50">
        <f>VLOOKUP($A79,'Data shares'!$C:$FB,119)</f>
        <v>0.55000000000000004</v>
      </c>
      <c r="N79" s="50">
        <f>VLOOKUP($A79,'Data shares'!$C:$FB,121)*100</f>
        <v>-14.549999999999999</v>
      </c>
      <c r="O79" s="50">
        <f>VLOOKUP($A79,'Data shares'!$C:$FB,124)</f>
        <v>0.34</v>
      </c>
      <c r="P79" s="50">
        <f>VLOOKUP($A79,'Data shares'!$C:$FB,125)</f>
        <v>0.41</v>
      </c>
      <c r="Q79" s="50">
        <f>VLOOKUP($A79,'Data shares'!$C:$FB,127)*100</f>
        <v>-17.07</v>
      </c>
    </row>
    <row r="80" spans="1:17" x14ac:dyDescent="0.25">
      <c r="A80" s="97" t="str">
        <f>'Data Vlaue (Cr)'!C75</f>
        <v>HDFCAMC</v>
      </c>
      <c r="B80" s="140">
        <f>VLOOKUP($A80,'Data shares'!$C:$FB,7)</f>
        <v>2624.6</v>
      </c>
      <c r="C80" s="140">
        <f>VLOOKUP($A80,'Data shares'!$C:$FB,3)</f>
        <v>2636.3</v>
      </c>
      <c r="D80" s="140">
        <f>VLOOKUP($A80,'Data shares'!$C:$FB,4)</f>
        <v>2634.6</v>
      </c>
      <c r="E80" s="50">
        <f t="shared" si="3"/>
        <v>6.4525924238984025E-2</v>
      </c>
      <c r="F80" s="49">
        <f>VLOOKUP($A80,'Data shares'!$C:$FB,98)</f>
        <v>9477300</v>
      </c>
      <c r="G80" s="49">
        <f>VLOOKUP($A80,'Data shares'!$C:$FB,99)</f>
        <v>9020400</v>
      </c>
      <c r="H80" s="50">
        <f t="shared" si="4"/>
        <v>5.0651855793534661</v>
      </c>
      <c r="I80" s="49">
        <f>VLOOKUP($A80,'Data shares'!$C:$FB,66)</f>
        <v>2902800</v>
      </c>
      <c r="J80" s="49">
        <f>VLOOKUP($A80,'Data shares'!$C:$FB,67)</f>
        <v>2925000</v>
      </c>
      <c r="K80" s="50">
        <f t="shared" si="5"/>
        <v>-0.76477883422902027</v>
      </c>
      <c r="L80" s="50">
        <f>VLOOKUP($A80,'Data shares'!$C:$FB,118)</f>
        <v>0.65</v>
      </c>
      <c r="M80" s="50">
        <f>VLOOKUP($A80,'Data shares'!$C:$FB,119)</f>
        <v>0.7</v>
      </c>
      <c r="N80" s="50">
        <f>VLOOKUP($A80,'Data shares'!$C:$FB,121)*100</f>
        <v>-7.1400000000000006</v>
      </c>
      <c r="O80" s="50">
        <f>VLOOKUP($A80,'Data shares'!$C:$FB,124)</f>
        <v>0.48</v>
      </c>
      <c r="P80" s="50">
        <f>VLOOKUP($A80,'Data shares'!$C:$FB,125)</f>
        <v>0.48</v>
      </c>
      <c r="Q80" s="50">
        <f>VLOOKUP($A80,'Data shares'!$C:$FB,127)*100</f>
        <v>0</v>
      </c>
    </row>
    <row r="81" spans="1:17" x14ac:dyDescent="0.25">
      <c r="A81" s="97" t="str">
        <f>'Data Vlaue (Cr)'!C76</f>
        <v>HDFCBANK</v>
      </c>
      <c r="B81" s="140">
        <f>VLOOKUP($A81,'Data shares'!$C:$FB,7)</f>
        <v>949.05</v>
      </c>
      <c r="C81" s="140">
        <f>VLOOKUP($A81,'Data shares'!$C:$FB,3)</f>
        <v>952.55</v>
      </c>
      <c r="D81" s="140">
        <f>VLOOKUP($A81,'Data shares'!$C:$FB,4)</f>
        <v>966.95</v>
      </c>
      <c r="E81" s="50">
        <f t="shared" si="3"/>
        <v>-1.4892186772842537</v>
      </c>
      <c r="F81" s="49">
        <f>VLOOKUP($A81,'Data shares'!$C:$FB,98)</f>
        <v>322696000</v>
      </c>
      <c r="G81" s="49">
        <f>VLOOKUP($A81,'Data shares'!$C:$FB,99)</f>
        <v>302656200</v>
      </c>
      <c r="H81" s="50">
        <f t="shared" si="4"/>
        <v>6.6213082699115366</v>
      </c>
      <c r="I81" s="49">
        <f>VLOOKUP($A81,'Data shares'!$C:$FB,66)</f>
        <v>166455300</v>
      </c>
      <c r="J81" s="49">
        <f>VLOOKUP($A81,'Data shares'!$C:$FB,67)</f>
        <v>145310550</v>
      </c>
      <c r="K81" s="50">
        <f t="shared" si="5"/>
        <v>12.702959893737237</v>
      </c>
      <c r="L81" s="50">
        <f>VLOOKUP($A81,'Data shares'!$C:$FB,118)</f>
        <v>0.56999999999999995</v>
      </c>
      <c r="M81" s="50">
        <f>VLOOKUP($A81,'Data shares'!$C:$FB,119)</f>
        <v>0.6</v>
      </c>
      <c r="N81" s="50">
        <f>VLOOKUP($A81,'Data shares'!$C:$FB,121)*100</f>
        <v>-5</v>
      </c>
      <c r="O81" s="50">
        <f>VLOOKUP($A81,'Data shares'!$C:$FB,124)</f>
        <v>0.6</v>
      </c>
      <c r="P81" s="50">
        <f>VLOOKUP($A81,'Data shares'!$C:$FB,125)</f>
        <v>0.56999999999999995</v>
      </c>
      <c r="Q81" s="50">
        <f>VLOOKUP($A81,'Data shares'!$C:$FB,127)*100</f>
        <v>5.26</v>
      </c>
    </row>
    <row r="82" spans="1:17" x14ac:dyDescent="0.25">
      <c r="A82" s="97" t="str">
        <f>'Data Vlaue (Cr)'!C77</f>
        <v>HDFCLIFE</v>
      </c>
      <c r="B82" s="140">
        <f>VLOOKUP($A82,'Data shares'!$C:$FB,7)</f>
        <v>772.35</v>
      </c>
      <c r="C82" s="140">
        <f>VLOOKUP($A82,'Data shares'!$C:$FB,3)</f>
        <v>775.35</v>
      </c>
      <c r="D82" s="140">
        <f>VLOOKUP($A82,'Data shares'!$C:$FB,4)</f>
        <v>779.55</v>
      </c>
      <c r="E82" s="50">
        <f t="shared" si="3"/>
        <v>-0.5387723686742264</v>
      </c>
      <c r="F82" s="49">
        <f>VLOOKUP($A82,'Data shares'!$C:$FB,98)</f>
        <v>52770300</v>
      </c>
      <c r="G82" s="49">
        <f>VLOOKUP($A82,'Data shares'!$C:$FB,99)</f>
        <v>52044300</v>
      </c>
      <c r="H82" s="50">
        <f t="shared" si="4"/>
        <v>1.3949654429015281</v>
      </c>
      <c r="I82" s="49">
        <f>VLOOKUP($A82,'Data shares'!$C:$FB,66)</f>
        <v>12401400</v>
      </c>
      <c r="J82" s="49">
        <f>VLOOKUP($A82,'Data shares'!$C:$FB,67)</f>
        <v>38723300</v>
      </c>
      <c r="K82" s="50">
        <f t="shared" si="5"/>
        <v>-212.24942345219085</v>
      </c>
      <c r="L82" s="50">
        <f>VLOOKUP($A82,'Data shares'!$C:$FB,118)</f>
        <v>0.65</v>
      </c>
      <c r="M82" s="50">
        <f>VLOOKUP($A82,'Data shares'!$C:$FB,119)</f>
        <v>0.65</v>
      </c>
      <c r="N82" s="50">
        <f>VLOOKUP($A82,'Data shares'!$C:$FB,121)*100</f>
        <v>0</v>
      </c>
      <c r="O82" s="50">
        <f>VLOOKUP($A82,'Data shares'!$C:$FB,124)</f>
        <v>0.47</v>
      </c>
      <c r="P82" s="50">
        <f>VLOOKUP($A82,'Data shares'!$C:$FB,125)</f>
        <v>0.35</v>
      </c>
      <c r="Q82" s="50">
        <f>VLOOKUP($A82,'Data shares'!$C:$FB,127)*100</f>
        <v>34.29</v>
      </c>
    </row>
    <row r="83" spans="1:17" x14ac:dyDescent="0.25">
      <c r="A83" s="97" t="str">
        <f>'Data Vlaue (Cr)'!C78</f>
        <v>HEROMOTOCO</v>
      </c>
      <c r="B83" s="140">
        <f>VLOOKUP($A83,'Data shares'!$C:$FB,7)</f>
        <v>5981</v>
      </c>
      <c r="C83" s="140">
        <f>VLOOKUP($A83,'Data shares'!$C:$FB,3)</f>
        <v>6009</v>
      </c>
      <c r="D83" s="140">
        <f>VLOOKUP($A83,'Data shares'!$C:$FB,4)</f>
        <v>6030</v>
      </c>
      <c r="E83" s="50">
        <f t="shared" si="3"/>
        <v>-0.34825870646766172</v>
      </c>
      <c r="F83" s="49">
        <f>VLOOKUP($A83,'Data shares'!$C:$FB,98)</f>
        <v>9596250</v>
      </c>
      <c r="G83" s="49">
        <f>VLOOKUP($A83,'Data shares'!$C:$FB,99)</f>
        <v>9568500</v>
      </c>
      <c r="H83" s="50">
        <f t="shared" si="4"/>
        <v>0.29001410879448192</v>
      </c>
      <c r="I83" s="49">
        <f>VLOOKUP($A83,'Data shares'!$C:$FB,66)</f>
        <v>7336500</v>
      </c>
      <c r="J83" s="49">
        <f>VLOOKUP($A83,'Data shares'!$C:$FB,67)</f>
        <v>5483400</v>
      </c>
      <c r="K83" s="50">
        <f t="shared" si="5"/>
        <v>25.258638315272954</v>
      </c>
      <c r="L83" s="50">
        <f>VLOOKUP($A83,'Data shares'!$C:$FB,118)</f>
        <v>0.67</v>
      </c>
      <c r="M83" s="50">
        <f>VLOOKUP($A83,'Data shares'!$C:$FB,119)</f>
        <v>0.67</v>
      </c>
      <c r="N83" s="50">
        <f>VLOOKUP($A83,'Data shares'!$C:$FB,121)*100</f>
        <v>0</v>
      </c>
      <c r="O83" s="50">
        <f>VLOOKUP($A83,'Data shares'!$C:$FB,124)</f>
        <v>0.68</v>
      </c>
      <c r="P83" s="50">
        <f>VLOOKUP($A83,'Data shares'!$C:$FB,125)</f>
        <v>0.49</v>
      </c>
      <c r="Q83" s="50">
        <f>VLOOKUP($A83,'Data shares'!$C:$FB,127)*100</f>
        <v>38.78</v>
      </c>
    </row>
    <row r="84" spans="1:17" x14ac:dyDescent="0.25">
      <c r="A84" s="97" t="str">
        <f>'Data Vlaue (Cr)'!C79</f>
        <v>HINDALCO</v>
      </c>
      <c r="B84" s="140">
        <f>VLOOKUP($A84,'Data shares'!$C:$FB,7)</f>
        <v>938.45</v>
      </c>
      <c r="C84" s="140">
        <f>VLOOKUP($A84,'Data shares'!$C:$FB,3)</f>
        <v>940.2</v>
      </c>
      <c r="D84" s="140">
        <f>VLOOKUP($A84,'Data shares'!$C:$FB,4)</f>
        <v>945.8</v>
      </c>
      <c r="E84" s="50">
        <f t="shared" si="3"/>
        <v>-0.59209135123703838</v>
      </c>
      <c r="F84" s="49">
        <f>VLOOKUP($A84,'Data shares'!$C:$FB,98)</f>
        <v>88462500</v>
      </c>
      <c r="G84" s="49">
        <f>VLOOKUP($A84,'Data shares'!$C:$FB,99)</f>
        <v>91242900</v>
      </c>
      <c r="H84" s="50">
        <f t="shared" si="4"/>
        <v>-3.0472507997882574</v>
      </c>
      <c r="I84" s="49">
        <f>VLOOKUP($A84,'Data shares'!$C:$FB,66)</f>
        <v>60690700</v>
      </c>
      <c r="J84" s="49">
        <f>VLOOKUP($A84,'Data shares'!$C:$FB,67)</f>
        <v>153426000</v>
      </c>
      <c r="K84" s="50">
        <f t="shared" si="5"/>
        <v>-152.79985236617802</v>
      </c>
      <c r="L84" s="50">
        <f>VLOOKUP($A84,'Data shares'!$C:$FB,118)</f>
        <v>0.83</v>
      </c>
      <c r="M84" s="50">
        <f>VLOOKUP($A84,'Data shares'!$C:$FB,119)</f>
        <v>0.89</v>
      </c>
      <c r="N84" s="50">
        <f>VLOOKUP($A84,'Data shares'!$C:$FB,121)*100</f>
        <v>-6.74</v>
      </c>
      <c r="O84" s="50">
        <f>VLOOKUP($A84,'Data shares'!$C:$FB,124)</f>
        <v>0.53</v>
      </c>
      <c r="P84" s="50">
        <f>VLOOKUP($A84,'Data shares'!$C:$FB,125)</f>
        <v>0.41</v>
      </c>
      <c r="Q84" s="50">
        <f>VLOOKUP($A84,'Data shares'!$C:$FB,127)*100</f>
        <v>29.270000000000003</v>
      </c>
    </row>
    <row r="85" spans="1:17" x14ac:dyDescent="0.25">
      <c r="A85" s="97" t="str">
        <f>'Data Vlaue (Cr)'!C80</f>
        <v>HINDPETRO</v>
      </c>
      <c r="B85" s="140">
        <f>VLOOKUP($A85,'Data shares'!$C:$FB,7)</f>
        <v>476.45</v>
      </c>
      <c r="C85" s="140">
        <f>VLOOKUP($A85,'Data shares'!$C:$FB,3)</f>
        <v>478.2</v>
      </c>
      <c r="D85" s="140">
        <f>VLOOKUP($A85,'Data shares'!$C:$FB,4)</f>
        <v>484.1</v>
      </c>
      <c r="E85" s="50">
        <f t="shared" si="3"/>
        <v>-1.2187564552778423</v>
      </c>
      <c r="F85" s="49">
        <f>VLOOKUP($A85,'Data shares'!$C:$FB,98)</f>
        <v>61268400</v>
      </c>
      <c r="G85" s="49">
        <f>VLOOKUP($A85,'Data shares'!$C:$FB,99)</f>
        <v>60085800</v>
      </c>
      <c r="H85" s="50">
        <f t="shared" si="4"/>
        <v>1.9681854947425181</v>
      </c>
      <c r="I85" s="49">
        <f>VLOOKUP($A85,'Data shares'!$C:$FB,66)</f>
        <v>20254050</v>
      </c>
      <c r="J85" s="49">
        <f>VLOOKUP($A85,'Data shares'!$C:$FB,67)</f>
        <v>58550850</v>
      </c>
      <c r="K85" s="50">
        <f t="shared" si="5"/>
        <v>-189.08218356328734</v>
      </c>
      <c r="L85" s="50">
        <f>VLOOKUP($A85,'Data shares'!$C:$FB,118)</f>
        <v>0.55000000000000004</v>
      </c>
      <c r="M85" s="50">
        <f>VLOOKUP($A85,'Data shares'!$C:$FB,119)</f>
        <v>0.55000000000000004</v>
      </c>
      <c r="N85" s="50">
        <f>VLOOKUP($A85,'Data shares'!$C:$FB,121)*100</f>
        <v>0</v>
      </c>
      <c r="O85" s="50">
        <f>VLOOKUP($A85,'Data shares'!$C:$FB,124)</f>
        <v>0.47</v>
      </c>
      <c r="P85" s="50">
        <f>VLOOKUP($A85,'Data shares'!$C:$FB,125)</f>
        <v>0.72</v>
      </c>
      <c r="Q85" s="50">
        <f>VLOOKUP($A85,'Data shares'!$C:$FB,127)*100</f>
        <v>-34.72</v>
      </c>
    </row>
    <row r="86" spans="1:17" x14ac:dyDescent="0.25">
      <c r="A86" s="97" t="str">
        <f>'Data Vlaue (Cr)'!C81</f>
        <v>HINDUNILVR</v>
      </c>
      <c r="B86" s="140">
        <f>VLOOKUP($A86,'Data shares'!$C:$FB,7)</f>
        <v>2399.4</v>
      </c>
      <c r="C86" s="140">
        <f>VLOOKUP($A86,'Data shares'!$C:$FB,3)</f>
        <v>2398.4</v>
      </c>
      <c r="D86" s="140">
        <f>VLOOKUP($A86,'Data shares'!$C:$FB,4)</f>
        <v>2428.6</v>
      </c>
      <c r="E86" s="50">
        <f t="shared" si="3"/>
        <v>-1.2435147821790258</v>
      </c>
      <c r="F86" s="49">
        <f>VLOOKUP($A86,'Data shares'!$C:$FB,98)</f>
        <v>22739400</v>
      </c>
      <c r="G86" s="49">
        <f>VLOOKUP($A86,'Data shares'!$C:$FB,99)</f>
        <v>22028700</v>
      </c>
      <c r="H86" s="50">
        <f t="shared" si="4"/>
        <v>3.2262457612115103</v>
      </c>
      <c r="I86" s="49">
        <f>VLOOKUP($A86,'Data shares'!$C:$FB,66)</f>
        <v>12129000</v>
      </c>
      <c r="J86" s="49">
        <f>VLOOKUP($A86,'Data shares'!$C:$FB,67)</f>
        <v>23322300</v>
      </c>
      <c r="K86" s="50">
        <f t="shared" si="5"/>
        <v>-92.285431610190443</v>
      </c>
      <c r="L86" s="50">
        <f>VLOOKUP($A86,'Data shares'!$C:$FB,118)</f>
        <v>0.61</v>
      </c>
      <c r="M86" s="50">
        <f>VLOOKUP($A86,'Data shares'!$C:$FB,119)</f>
        <v>0.69</v>
      </c>
      <c r="N86" s="50">
        <f>VLOOKUP($A86,'Data shares'!$C:$FB,121)*100</f>
        <v>-11.59</v>
      </c>
      <c r="O86" s="50">
        <f>VLOOKUP($A86,'Data shares'!$C:$FB,124)</f>
        <v>0.55000000000000004</v>
      </c>
      <c r="P86" s="50">
        <f>VLOOKUP($A86,'Data shares'!$C:$FB,125)</f>
        <v>0.43</v>
      </c>
      <c r="Q86" s="50">
        <f>VLOOKUP($A86,'Data shares'!$C:$FB,127)*100</f>
        <v>27.91</v>
      </c>
    </row>
    <row r="87" spans="1:17" x14ac:dyDescent="0.25">
      <c r="A87" s="97" t="str">
        <f>'Data Vlaue (Cr)'!C82</f>
        <v>HINDZINC</v>
      </c>
      <c r="B87" s="140">
        <f>VLOOKUP($A87,'Data shares'!$C:$FB,7)</f>
        <v>630</v>
      </c>
      <c r="C87" s="140">
        <f>VLOOKUP($A87,'Data shares'!$C:$FB,3)</f>
        <v>631.20000000000005</v>
      </c>
      <c r="D87" s="140">
        <f>VLOOKUP($A87,'Data shares'!$C:$FB,4)</f>
        <v>644.35</v>
      </c>
      <c r="E87" s="50">
        <f t="shared" si="3"/>
        <v>-2.0408163265306087</v>
      </c>
      <c r="F87" s="49">
        <f>VLOOKUP($A87,'Data shares'!$C:$FB,98)</f>
        <v>101819550</v>
      </c>
      <c r="G87" s="49">
        <f>VLOOKUP($A87,'Data shares'!$C:$FB,99)</f>
        <v>95815825</v>
      </c>
      <c r="H87" s="50">
        <f t="shared" si="4"/>
        <v>6.2659012746589609</v>
      </c>
      <c r="I87" s="49">
        <f>VLOOKUP($A87,'Data shares'!$C:$FB,66)</f>
        <v>80810800</v>
      </c>
      <c r="J87" s="49">
        <f>VLOOKUP($A87,'Data shares'!$C:$FB,67)</f>
        <v>110864950</v>
      </c>
      <c r="K87" s="50">
        <f t="shared" si="5"/>
        <v>-37.190759155954403</v>
      </c>
      <c r="L87" s="50">
        <f>VLOOKUP($A87,'Data shares'!$C:$FB,118)</f>
        <v>0.61</v>
      </c>
      <c r="M87" s="50">
        <f>VLOOKUP($A87,'Data shares'!$C:$FB,119)</f>
        <v>0.67</v>
      </c>
      <c r="N87" s="50">
        <f>VLOOKUP($A87,'Data shares'!$C:$FB,121)*100</f>
        <v>-8.9599999999999991</v>
      </c>
      <c r="O87" s="50">
        <f>VLOOKUP($A87,'Data shares'!$C:$FB,124)</f>
        <v>0.5</v>
      </c>
      <c r="P87" s="50">
        <f>VLOOKUP($A87,'Data shares'!$C:$FB,125)</f>
        <v>0.46</v>
      </c>
      <c r="Q87" s="50">
        <f>VLOOKUP($A87,'Data shares'!$C:$FB,127)*100</f>
        <v>8.6999999999999993</v>
      </c>
    </row>
    <row r="88" spans="1:17" x14ac:dyDescent="0.25">
      <c r="A88" s="97" t="str">
        <f>'Data Vlaue (Cr)'!C83</f>
        <v>HUDCO</v>
      </c>
      <c r="B88" s="140">
        <f>VLOOKUP($A88,'Data shares'!$C:$FB,7)</f>
        <v>226.82</v>
      </c>
      <c r="C88" s="140">
        <f>VLOOKUP($A88,'Data shares'!$C:$FB,3)</f>
        <v>227.86</v>
      </c>
      <c r="D88" s="140">
        <f>VLOOKUP($A88,'Data shares'!$C:$FB,4)</f>
        <v>225.97</v>
      </c>
      <c r="E88" s="50">
        <f t="shared" si="3"/>
        <v>0.83639421162101812</v>
      </c>
      <c r="F88" s="140">
        <f>VLOOKUP($A88,'Data shares'!$C:$FB,98)</f>
        <v>74242350</v>
      </c>
      <c r="G88" s="140">
        <f>VLOOKUP($A88,'Data shares'!$C:$FB,99)</f>
        <v>72699450</v>
      </c>
      <c r="H88" s="50">
        <f t="shared" si="4"/>
        <v>2.1222994121688679</v>
      </c>
      <c r="I88" s="49">
        <f>VLOOKUP($A88,'Data shares'!$C:$FB,66)</f>
        <v>20784750</v>
      </c>
      <c r="J88" s="49">
        <f>VLOOKUP($A88,'Data shares'!$C:$FB,67)</f>
        <v>19888425</v>
      </c>
      <c r="K88" s="50">
        <f t="shared" si="5"/>
        <v>4.3124165554072089</v>
      </c>
      <c r="L88" s="50">
        <f>VLOOKUP($A88,'Data shares'!$C:$FB,118)</f>
        <v>0.72</v>
      </c>
      <c r="M88" s="50">
        <f>VLOOKUP($A88,'Data shares'!$C:$FB,119)</f>
        <v>0.76</v>
      </c>
      <c r="N88" s="50">
        <f>VLOOKUP($A88,'Data shares'!$C:$FB,121)*100</f>
        <v>-5.26</v>
      </c>
      <c r="O88" s="50">
        <f>VLOOKUP($A88,'Data shares'!$C:$FB,124)</f>
        <v>0.26</v>
      </c>
      <c r="P88" s="50">
        <f>VLOOKUP($A88,'Data shares'!$C:$FB,125)</f>
        <v>0.31</v>
      </c>
      <c r="Q88" s="50">
        <f>VLOOKUP($A88,'Data shares'!$C:$FB,127)*100</f>
        <v>-16.13</v>
      </c>
    </row>
    <row r="89" spans="1:17" x14ac:dyDescent="0.25">
      <c r="A89" s="97" t="str">
        <f>'Data Vlaue (Cr)'!C84</f>
        <v>ICICIBANK</v>
      </c>
      <c r="B89" s="140">
        <f>VLOOKUP($A89,'Data shares'!$C:$FB,7)</f>
        <v>1427.7</v>
      </c>
      <c r="C89" s="140">
        <f>VLOOKUP($A89,'Data shares'!$C:$FB,3)</f>
        <v>1430.7</v>
      </c>
      <c r="D89" s="140">
        <f>VLOOKUP($A89,'Data shares'!$C:$FB,4)</f>
        <v>1414.6</v>
      </c>
      <c r="E89" s="50">
        <f t="shared" si="3"/>
        <v>1.1381309204015366</v>
      </c>
      <c r="F89" s="49">
        <f>VLOOKUP($A89,'Data shares'!$C:$FB,98)</f>
        <v>171324300</v>
      </c>
      <c r="G89" s="49">
        <f>VLOOKUP($A89,'Data shares'!$C:$FB,99)</f>
        <v>174059900</v>
      </c>
      <c r="H89" s="50">
        <f t="shared" si="4"/>
        <v>-1.5716428654733228</v>
      </c>
      <c r="I89" s="49">
        <f>VLOOKUP($A89,'Data shares'!$C:$FB,66)</f>
        <v>130500300</v>
      </c>
      <c r="J89" s="49">
        <f>VLOOKUP($A89,'Data shares'!$C:$FB,67)</f>
        <v>179698400</v>
      </c>
      <c r="K89" s="50">
        <f t="shared" si="5"/>
        <v>-37.699606820827228</v>
      </c>
      <c r="L89" s="50">
        <f>VLOOKUP($A89,'Data shares'!$C:$FB,118)</f>
        <v>0.71</v>
      </c>
      <c r="M89" s="50">
        <f>VLOOKUP($A89,'Data shares'!$C:$FB,119)</f>
        <v>0.76</v>
      </c>
      <c r="N89" s="50">
        <f>VLOOKUP($A89,'Data shares'!$C:$FB,121)*100</f>
        <v>-6.58</v>
      </c>
      <c r="O89" s="50">
        <f>VLOOKUP($A89,'Data shares'!$C:$FB,124)</f>
        <v>0.68</v>
      </c>
      <c r="P89" s="50">
        <f>VLOOKUP($A89,'Data shares'!$C:$FB,125)</f>
        <v>0.57999999999999996</v>
      </c>
      <c r="Q89" s="50">
        <f>VLOOKUP($A89,'Data shares'!$C:$FB,127)*100</f>
        <v>17.239999999999998</v>
      </c>
    </row>
    <row r="90" spans="1:17" x14ac:dyDescent="0.25">
      <c r="A90" s="97" t="str">
        <f>'Data Vlaue (Cr)'!C85</f>
        <v>ICICIGI</v>
      </c>
      <c r="B90" s="140">
        <f>VLOOKUP($A90,'Data shares'!$C:$FB,7)</f>
        <v>1966.2</v>
      </c>
      <c r="C90" s="140">
        <f>VLOOKUP($A90,'Data shares'!$C:$FB,3)</f>
        <v>1974</v>
      </c>
      <c r="D90" s="140">
        <f>VLOOKUP($A90,'Data shares'!$C:$FB,4)</f>
        <v>2018.3</v>
      </c>
      <c r="E90" s="50">
        <f t="shared" si="3"/>
        <v>-2.1949165138978324</v>
      </c>
      <c r="F90" s="49">
        <f>VLOOKUP($A90,'Data shares'!$C:$FB,98)</f>
        <v>7012525</v>
      </c>
      <c r="G90" s="49">
        <f>VLOOKUP($A90,'Data shares'!$C:$FB,99)</f>
        <v>6858800</v>
      </c>
      <c r="H90" s="50">
        <f t="shared" si="4"/>
        <v>2.241281273692191</v>
      </c>
      <c r="I90" s="49">
        <f>VLOOKUP($A90,'Data shares'!$C:$FB,66)</f>
        <v>2968550</v>
      </c>
      <c r="J90" s="49">
        <f>VLOOKUP($A90,'Data shares'!$C:$FB,67)</f>
        <v>2986100</v>
      </c>
      <c r="K90" s="50">
        <f t="shared" si="5"/>
        <v>-0.59119772279395666</v>
      </c>
      <c r="L90" s="50">
        <f>VLOOKUP($A90,'Data shares'!$C:$FB,118)</f>
        <v>0.86</v>
      </c>
      <c r="M90" s="50">
        <f>VLOOKUP($A90,'Data shares'!$C:$FB,119)</f>
        <v>0.94</v>
      </c>
      <c r="N90" s="50">
        <f>VLOOKUP($A90,'Data shares'!$C:$FB,121)*100</f>
        <v>-8.51</v>
      </c>
      <c r="O90" s="50">
        <f>VLOOKUP($A90,'Data shares'!$C:$FB,124)</f>
        <v>0.69</v>
      </c>
      <c r="P90" s="50">
        <f>VLOOKUP($A90,'Data shares'!$C:$FB,125)</f>
        <v>0.35</v>
      </c>
      <c r="Q90" s="50">
        <f>VLOOKUP($A90,'Data shares'!$C:$FB,127)*100</f>
        <v>97.14</v>
      </c>
    </row>
    <row r="91" spans="1:17" x14ac:dyDescent="0.25">
      <c r="A91" s="97" t="str">
        <f>'Data Vlaue (Cr)'!C86</f>
        <v>ICICIPRULI</v>
      </c>
      <c r="B91" s="140">
        <f>VLOOKUP($A91,'Data shares'!$C:$FB,7)</f>
        <v>684.6</v>
      </c>
      <c r="C91" s="140">
        <f>VLOOKUP($A91,'Data shares'!$C:$FB,3)</f>
        <v>686.15</v>
      </c>
      <c r="D91" s="140">
        <f>VLOOKUP($A91,'Data shares'!$C:$FB,4)</f>
        <v>691.25</v>
      </c>
      <c r="E91" s="50">
        <f t="shared" si="3"/>
        <v>-0.73779385171790557</v>
      </c>
      <c r="F91" s="49">
        <f>VLOOKUP($A91,'Data shares'!$C:$FB,98)</f>
        <v>21451675</v>
      </c>
      <c r="G91" s="49">
        <f>VLOOKUP($A91,'Data shares'!$C:$FB,99)</f>
        <v>21719000</v>
      </c>
      <c r="H91" s="50">
        <f t="shared" si="4"/>
        <v>-1.2308347529812607</v>
      </c>
      <c r="I91" s="49">
        <f>VLOOKUP($A91,'Data shares'!$C:$FB,66)</f>
        <v>7439775</v>
      </c>
      <c r="J91" s="49">
        <f>VLOOKUP($A91,'Data shares'!$C:$FB,67)</f>
        <v>7158575</v>
      </c>
      <c r="K91" s="50">
        <f t="shared" si="5"/>
        <v>3.7796841974387667</v>
      </c>
      <c r="L91" s="50">
        <f>VLOOKUP($A91,'Data shares'!$C:$FB,118)</f>
        <v>0.94</v>
      </c>
      <c r="M91" s="50">
        <f>VLOOKUP($A91,'Data shares'!$C:$FB,119)</f>
        <v>0.98</v>
      </c>
      <c r="N91" s="50">
        <f>VLOOKUP($A91,'Data shares'!$C:$FB,121)*100</f>
        <v>-4.08</v>
      </c>
      <c r="O91" s="50">
        <f>VLOOKUP($A91,'Data shares'!$C:$FB,124)</f>
        <v>0.55000000000000004</v>
      </c>
      <c r="P91" s="50">
        <f>VLOOKUP($A91,'Data shares'!$C:$FB,125)</f>
        <v>0.61</v>
      </c>
      <c r="Q91" s="50">
        <f>VLOOKUP($A91,'Data shares'!$C:$FB,127)*100</f>
        <v>-9.84</v>
      </c>
    </row>
    <row r="92" spans="1:17" x14ac:dyDescent="0.25">
      <c r="A92" s="97" t="str">
        <f>'Data Vlaue (Cr)'!C87</f>
        <v>IDEA</v>
      </c>
      <c r="B92" s="140">
        <f>VLOOKUP($A92,'Data shares'!$C:$FB,7)</f>
        <v>11.46</v>
      </c>
      <c r="C92" s="140">
        <f>VLOOKUP($A92,'Data shares'!$C:$FB,3)</f>
        <v>11.52</v>
      </c>
      <c r="D92" s="140">
        <f>VLOOKUP($A92,'Data shares'!$C:$FB,4)</f>
        <v>11.66</v>
      </c>
      <c r="E92" s="50">
        <f t="shared" si="3"/>
        <v>-1.2006861063464884</v>
      </c>
      <c r="F92" s="49">
        <f>VLOOKUP($A92,'Data shares'!$C:$FB,98)</f>
        <v>11269677675</v>
      </c>
      <c r="G92" s="49">
        <f>VLOOKUP($A92,'Data shares'!$C:$FB,99)</f>
        <v>11256383325</v>
      </c>
      <c r="H92" s="50">
        <f t="shared" si="4"/>
        <v>0.11810498644332548</v>
      </c>
      <c r="I92" s="49">
        <f>VLOOKUP($A92,'Data shares'!$C:$FB,66)</f>
        <v>1749422100</v>
      </c>
      <c r="J92" s="49">
        <f>VLOOKUP($A92,'Data shares'!$C:$FB,67)</f>
        <v>2652437250</v>
      </c>
      <c r="K92" s="50">
        <f t="shared" si="5"/>
        <v>-51.617911423435203</v>
      </c>
      <c r="L92" s="50">
        <f>VLOOKUP($A92,'Data shares'!$C:$FB,118)</f>
        <v>0.61</v>
      </c>
      <c r="M92" s="50">
        <f>VLOOKUP($A92,'Data shares'!$C:$FB,119)</f>
        <v>0.62</v>
      </c>
      <c r="N92" s="50">
        <f>VLOOKUP($A92,'Data shares'!$C:$FB,121)*100</f>
        <v>-1.6099999999999999</v>
      </c>
      <c r="O92" s="50">
        <f>VLOOKUP($A92,'Data shares'!$C:$FB,124)</f>
        <v>0.37</v>
      </c>
      <c r="P92" s="50">
        <f>VLOOKUP($A92,'Data shares'!$C:$FB,125)</f>
        <v>0.4</v>
      </c>
      <c r="Q92" s="50">
        <f>VLOOKUP($A92,'Data shares'!$C:$FB,127)*100</f>
        <v>-7.5</v>
      </c>
    </row>
    <row r="93" spans="1:17" x14ac:dyDescent="0.25">
      <c r="A93" s="97" t="str">
        <f>'Data Vlaue (Cr)'!C88</f>
        <v>IDFCFIRSTB</v>
      </c>
      <c r="B93" s="140">
        <f>VLOOKUP($A93,'Data shares'!$C:$FB,7)</f>
        <v>84.4</v>
      </c>
      <c r="C93" s="140">
        <f>VLOOKUP($A93,'Data shares'!$C:$FB,3)</f>
        <v>84.79</v>
      </c>
      <c r="D93" s="140">
        <f>VLOOKUP($A93,'Data shares'!$C:$FB,4)</f>
        <v>85.13</v>
      </c>
      <c r="E93" s="50">
        <f t="shared" si="3"/>
        <v>-0.39938916950544961</v>
      </c>
      <c r="F93" s="49">
        <f>VLOOKUP($A93,'Data shares'!$C:$FB,98)</f>
        <v>506090375</v>
      </c>
      <c r="G93" s="49">
        <f>VLOOKUP($A93,'Data shares'!$C:$FB,99)</f>
        <v>491194725</v>
      </c>
      <c r="H93" s="50">
        <f t="shared" si="4"/>
        <v>3.0325346022394681</v>
      </c>
      <c r="I93" s="49">
        <f>VLOOKUP($A93,'Data shares'!$C:$FB,66)</f>
        <v>226671725</v>
      </c>
      <c r="J93" s="49">
        <f>VLOOKUP($A93,'Data shares'!$C:$FB,67)</f>
        <v>184897125</v>
      </c>
      <c r="K93" s="50">
        <f t="shared" si="5"/>
        <v>18.429559310937435</v>
      </c>
      <c r="L93" s="50">
        <f>VLOOKUP($A93,'Data shares'!$C:$FB,118)</f>
        <v>0.56000000000000005</v>
      </c>
      <c r="M93" s="50">
        <f>VLOOKUP($A93,'Data shares'!$C:$FB,119)</f>
        <v>0.56000000000000005</v>
      </c>
      <c r="N93" s="50">
        <f>VLOOKUP($A93,'Data shares'!$C:$FB,121)*100</f>
        <v>0</v>
      </c>
      <c r="O93" s="50">
        <f>VLOOKUP($A93,'Data shares'!$C:$FB,124)</f>
        <v>0.33</v>
      </c>
      <c r="P93" s="50">
        <f>VLOOKUP($A93,'Data shares'!$C:$FB,125)</f>
        <v>0.43</v>
      </c>
      <c r="Q93" s="50">
        <f>VLOOKUP($A93,'Data shares'!$C:$FB,127)*100</f>
        <v>-23.26</v>
      </c>
    </row>
    <row r="94" spans="1:17" x14ac:dyDescent="0.25">
      <c r="A94" s="97" t="str">
        <f>'Data Vlaue (Cr)'!C89</f>
        <v>IEX</v>
      </c>
      <c r="B94" s="140">
        <f>VLOOKUP($A94,'Data shares'!$C:$FB,7)</f>
        <v>154.78</v>
      </c>
      <c r="C94" s="140">
        <f>VLOOKUP($A94,'Data shares'!$C:$FB,3)</f>
        <v>155.34</v>
      </c>
      <c r="D94" s="140">
        <f>VLOOKUP($A94,'Data shares'!$C:$FB,4)</f>
        <v>149.07</v>
      </c>
      <c r="E94" s="50">
        <f t="shared" si="3"/>
        <v>4.2060776816260885</v>
      </c>
      <c r="F94" s="49">
        <f>VLOOKUP($A94,'Data shares'!$C:$FB,98)</f>
        <v>233850000</v>
      </c>
      <c r="G94" s="49">
        <f>VLOOKUP($A94,'Data shares'!$C:$FB,99)</f>
        <v>222270000</v>
      </c>
      <c r="H94" s="50">
        <f t="shared" si="4"/>
        <v>5.2098798758266973</v>
      </c>
      <c r="I94" s="49">
        <f>VLOOKUP($A94,'Data shares'!$C:$FB,66)</f>
        <v>615558750</v>
      </c>
      <c r="J94" s="49">
        <f>VLOOKUP($A94,'Data shares'!$C:$FB,67)</f>
        <v>798600000</v>
      </c>
      <c r="K94" s="50">
        <f t="shared" si="5"/>
        <v>-29.735788826005642</v>
      </c>
      <c r="L94" s="50">
        <f>VLOOKUP($A94,'Data shares'!$C:$FB,118)</f>
        <v>0.68</v>
      </c>
      <c r="M94" s="50">
        <f>VLOOKUP($A94,'Data shares'!$C:$FB,119)</f>
        <v>0.59</v>
      </c>
      <c r="N94" s="50">
        <f>VLOOKUP($A94,'Data shares'!$C:$FB,121)*100</f>
        <v>15.25</v>
      </c>
      <c r="O94" s="50">
        <f>VLOOKUP($A94,'Data shares'!$C:$FB,124)</f>
        <v>0.33</v>
      </c>
      <c r="P94" s="50">
        <f>VLOOKUP($A94,'Data shares'!$C:$FB,125)</f>
        <v>0.34</v>
      </c>
      <c r="Q94" s="50">
        <f>VLOOKUP($A94,'Data shares'!$C:$FB,127)*100</f>
        <v>-2.94</v>
      </c>
    </row>
    <row r="95" spans="1:17" x14ac:dyDescent="0.25">
      <c r="A95" s="97" t="str">
        <f>'Data Vlaue (Cr)'!C90</f>
        <v>IIFL</v>
      </c>
      <c r="B95" s="140">
        <f>VLOOKUP($A95,'Data shares'!$C:$FB,7)</f>
        <v>656.95</v>
      </c>
      <c r="C95" s="140">
        <f>VLOOKUP($A95,'Data shares'!$C:$FB,3)</f>
        <v>660.45</v>
      </c>
      <c r="D95" s="140">
        <f>VLOOKUP($A95,'Data shares'!$C:$FB,4)</f>
        <v>668.75</v>
      </c>
      <c r="E95" s="50">
        <f t="shared" si="3"/>
        <v>-1.2411214953270961</v>
      </c>
      <c r="F95" s="49">
        <f>VLOOKUP($A95,'Data shares'!$C:$FB,98)</f>
        <v>21425250</v>
      </c>
      <c r="G95" s="49">
        <f>VLOOKUP($A95,'Data shares'!$C:$FB,99)</f>
        <v>20872500</v>
      </c>
      <c r="H95" s="50">
        <f t="shared" si="4"/>
        <v>2.6482213438735176</v>
      </c>
      <c r="I95" s="49">
        <f>VLOOKUP($A95,'Data shares'!$C:$FB,66)</f>
        <v>15701400</v>
      </c>
      <c r="J95" s="49">
        <f>VLOOKUP($A95,'Data shares'!$C:$FB,67)</f>
        <v>42748200</v>
      </c>
      <c r="K95" s="50">
        <f t="shared" si="5"/>
        <v>-172.25725094577552</v>
      </c>
      <c r="L95" s="50">
        <f>VLOOKUP($A95,'Data shares'!$C:$FB,118)</f>
        <v>0.79</v>
      </c>
      <c r="M95" s="50">
        <f>VLOOKUP($A95,'Data shares'!$C:$FB,119)</f>
        <v>0.99</v>
      </c>
      <c r="N95" s="50">
        <f>VLOOKUP($A95,'Data shares'!$C:$FB,121)*100</f>
        <v>-20.200000000000003</v>
      </c>
      <c r="O95" s="50">
        <f>VLOOKUP($A95,'Data shares'!$C:$FB,124)</f>
        <v>0.74</v>
      </c>
      <c r="P95" s="50">
        <f>VLOOKUP($A95,'Data shares'!$C:$FB,125)</f>
        <v>0.39</v>
      </c>
      <c r="Q95" s="50">
        <f>VLOOKUP($A95,'Data shares'!$C:$FB,127)*100</f>
        <v>89.74</v>
      </c>
    </row>
    <row r="96" spans="1:17" x14ac:dyDescent="0.25">
      <c r="A96" s="97" t="str">
        <f>'Data Vlaue (Cr)'!C91</f>
        <v>INDHOTEL</v>
      </c>
      <c r="B96" s="140">
        <f>VLOOKUP($A96,'Data shares'!$C:$FB,7)</f>
        <v>715.35</v>
      </c>
      <c r="C96" s="140">
        <f>VLOOKUP($A96,'Data shares'!$C:$FB,3)</f>
        <v>717.15</v>
      </c>
      <c r="D96" s="140">
        <f>VLOOKUP($A96,'Data shares'!$C:$FB,4)</f>
        <v>729.2</v>
      </c>
      <c r="E96" s="50">
        <f t="shared" si="3"/>
        <v>-1.6524958859023682</v>
      </c>
      <c r="F96" s="49">
        <f>VLOOKUP($A96,'Data shares'!$C:$FB,98)</f>
        <v>45365000</v>
      </c>
      <c r="G96" s="49">
        <f>VLOOKUP($A96,'Data shares'!$C:$FB,99)</f>
        <v>40574000</v>
      </c>
      <c r="H96" s="50">
        <f t="shared" si="4"/>
        <v>11.808054419086114</v>
      </c>
      <c r="I96" s="49">
        <f>VLOOKUP($A96,'Data shares'!$C:$FB,66)</f>
        <v>42456000</v>
      </c>
      <c r="J96" s="49">
        <f>VLOOKUP($A96,'Data shares'!$C:$FB,67)</f>
        <v>22124000</v>
      </c>
      <c r="K96" s="50">
        <f t="shared" si="5"/>
        <v>47.889579800263803</v>
      </c>
      <c r="L96" s="50">
        <f>VLOOKUP($A96,'Data shares'!$C:$FB,118)</f>
        <v>0.62</v>
      </c>
      <c r="M96" s="50">
        <f>VLOOKUP($A96,'Data shares'!$C:$FB,119)</f>
        <v>0.61</v>
      </c>
      <c r="N96" s="50">
        <f>VLOOKUP($A96,'Data shares'!$C:$FB,121)*100</f>
        <v>1.6400000000000001</v>
      </c>
      <c r="O96" s="50">
        <f>VLOOKUP($A96,'Data shares'!$C:$FB,124)</f>
        <v>0.67</v>
      </c>
      <c r="P96" s="50">
        <f>VLOOKUP($A96,'Data shares'!$C:$FB,125)</f>
        <v>0.5</v>
      </c>
      <c r="Q96" s="50">
        <f>VLOOKUP($A96,'Data shares'!$C:$FB,127)*100</f>
        <v>34</v>
      </c>
    </row>
    <row r="97" spans="1:17" x14ac:dyDescent="0.25">
      <c r="A97" s="97" t="str">
        <f>'Data Vlaue (Cr)'!C92</f>
        <v>INDIANB</v>
      </c>
      <c r="B97" s="140">
        <f>VLOOKUP($A97,'Data shares'!$C:$FB,7)</f>
        <v>864.6</v>
      </c>
      <c r="C97" s="140">
        <f>VLOOKUP($A97,'Data shares'!$C:$FB,3)</f>
        <v>865.9</v>
      </c>
      <c r="D97" s="140">
        <f>VLOOKUP($A97,'Data shares'!$C:$FB,4)</f>
        <v>865.65</v>
      </c>
      <c r="E97" s="50">
        <f t="shared" si="3"/>
        <v>2.8880032345636224E-2</v>
      </c>
      <c r="F97" s="49">
        <f>VLOOKUP($A97,'Data shares'!$C:$FB,98)</f>
        <v>17370000</v>
      </c>
      <c r="G97" s="49">
        <f>VLOOKUP($A97,'Data shares'!$C:$FB,99)</f>
        <v>17397000</v>
      </c>
      <c r="H97" s="50">
        <f t="shared" si="4"/>
        <v>-0.15519917227108121</v>
      </c>
      <c r="I97" s="49">
        <f>VLOOKUP($A97,'Data shares'!$C:$FB,66)</f>
        <v>6406000</v>
      </c>
      <c r="J97" s="49">
        <f>VLOOKUP($A97,'Data shares'!$C:$FB,67)</f>
        <v>10125000</v>
      </c>
      <c r="K97" s="50">
        <f t="shared" si="5"/>
        <v>-58.054948485794569</v>
      </c>
      <c r="L97" s="50">
        <f>VLOOKUP($A97,'Data shares'!$C:$FB,118)</f>
        <v>0.71</v>
      </c>
      <c r="M97" s="50">
        <f>VLOOKUP($A97,'Data shares'!$C:$FB,119)</f>
        <v>0.7</v>
      </c>
      <c r="N97" s="50">
        <f>VLOOKUP($A97,'Data shares'!$C:$FB,121)*100</f>
        <v>1.43</v>
      </c>
      <c r="O97" s="50">
        <f>VLOOKUP($A97,'Data shares'!$C:$FB,124)</f>
        <v>0.4</v>
      </c>
      <c r="P97" s="50">
        <f>VLOOKUP($A97,'Data shares'!$C:$FB,125)</f>
        <v>0.36</v>
      </c>
      <c r="Q97" s="50">
        <f>VLOOKUP($A97,'Data shares'!$C:$FB,127)*100</f>
        <v>11.110000000000001</v>
      </c>
    </row>
    <row r="98" spans="1:17" x14ac:dyDescent="0.25">
      <c r="A98" s="97" t="str">
        <f>'Data Vlaue (Cr)'!C93</f>
        <v>INDIAVIX</v>
      </c>
      <c r="B98" s="140">
        <f>VLOOKUP($A98,'Data shares'!$C:$FB,7)</f>
        <v>9.9499999999999993</v>
      </c>
      <c r="C98" s="140">
        <f>VLOOKUP($A98,'Data shares'!$C:$FB,3)</f>
        <v>9.9499999999999993</v>
      </c>
      <c r="D98" s="140">
        <f>VLOOKUP($A98,'Data shares'!$C:$FB,4)</f>
        <v>10.02</v>
      </c>
      <c r="E98" s="50">
        <f t="shared" si="3"/>
        <v>-0.69860279441118045</v>
      </c>
      <c r="F98" s="49">
        <f>VLOOKUP($A98,'Data shares'!$C:$FB,98)</f>
        <v>0</v>
      </c>
      <c r="G98" s="49">
        <f>VLOOKUP($A98,'Data shares'!$C:$FB,99)</f>
        <v>0</v>
      </c>
      <c r="H98" s="50" t="e">
        <f t="shared" si="4"/>
        <v>#DIV/0!</v>
      </c>
      <c r="I98" s="49">
        <f>VLOOKUP($A98,'Data shares'!$C:$FB,66)</f>
        <v>0</v>
      </c>
      <c r="J98" s="49">
        <f>VLOOKUP($A98,'Data shares'!$C:$FB,67)</f>
        <v>0</v>
      </c>
      <c r="K98" s="50" t="e">
        <f t="shared" si="5"/>
        <v>#DIV/0!</v>
      </c>
      <c r="L98" s="50">
        <f>VLOOKUP($A98,'Data shares'!$C:$FB,118)</f>
        <v>0</v>
      </c>
      <c r="M98" s="50">
        <f>VLOOKUP($A98,'Data shares'!$C:$FB,119)</f>
        <v>0</v>
      </c>
      <c r="N98" s="50">
        <f>VLOOKUP($A98,'Data shares'!$C:$FB,121)*100</f>
        <v>0</v>
      </c>
      <c r="O98" s="50">
        <f>VLOOKUP($A98,'Data shares'!$C:$FB,124)</f>
        <v>0</v>
      </c>
      <c r="P98" s="50">
        <f>VLOOKUP($A98,'Data shares'!$C:$FB,125)</f>
        <v>0</v>
      </c>
      <c r="Q98" s="50">
        <f>VLOOKUP($A98,'Data shares'!$C:$FB,127)*100</f>
        <v>0</v>
      </c>
    </row>
    <row r="99" spans="1:17" x14ac:dyDescent="0.25">
      <c r="A99" s="97" t="str">
        <f>'Data Vlaue (Cr)'!C94</f>
        <v>INDIGO</v>
      </c>
      <c r="B99" s="140">
        <f>VLOOKUP($A99,'Data shares'!$C:$FB,7)</f>
        <v>4951</v>
      </c>
      <c r="C99" s="140">
        <f>VLOOKUP($A99,'Data shares'!$C:$FB,3)</f>
        <v>4975.5</v>
      </c>
      <c r="D99" s="140">
        <f>VLOOKUP($A99,'Data shares'!$C:$FB,4)</f>
        <v>5029.5</v>
      </c>
      <c r="E99" s="50">
        <f t="shared" si="3"/>
        <v>-1.0736653742916791</v>
      </c>
      <c r="F99" s="49">
        <f>VLOOKUP($A99,'Data shares'!$C:$FB,98)</f>
        <v>16961400</v>
      </c>
      <c r="G99" s="49">
        <f>VLOOKUP($A99,'Data shares'!$C:$FB,99)</f>
        <v>16428300</v>
      </c>
      <c r="H99" s="50">
        <f t="shared" si="4"/>
        <v>3.2450101349500557</v>
      </c>
      <c r="I99" s="49">
        <f>VLOOKUP($A99,'Data shares'!$C:$FB,66)</f>
        <v>12618150</v>
      </c>
      <c r="J99" s="49">
        <f>VLOOKUP($A99,'Data shares'!$C:$FB,67)</f>
        <v>9358650</v>
      </c>
      <c r="K99" s="50">
        <f t="shared" si="5"/>
        <v>25.831837472212648</v>
      </c>
      <c r="L99" s="50">
        <f>VLOOKUP($A99,'Data shares'!$C:$FB,118)</f>
        <v>0.68</v>
      </c>
      <c r="M99" s="50">
        <f>VLOOKUP($A99,'Data shares'!$C:$FB,119)</f>
        <v>0.76</v>
      </c>
      <c r="N99" s="50">
        <f>VLOOKUP($A99,'Data shares'!$C:$FB,121)*100</f>
        <v>-10.530000000000001</v>
      </c>
      <c r="O99" s="50">
        <f>VLOOKUP($A99,'Data shares'!$C:$FB,124)</f>
        <v>0.85</v>
      </c>
      <c r="P99" s="50">
        <f>VLOOKUP($A99,'Data shares'!$C:$FB,125)</f>
        <v>0.67</v>
      </c>
      <c r="Q99" s="50">
        <f>VLOOKUP($A99,'Data shares'!$C:$FB,127)*100</f>
        <v>26.87</v>
      </c>
    </row>
    <row r="100" spans="1:17" x14ac:dyDescent="0.25">
      <c r="A100" s="97" t="str">
        <f>'Data Vlaue (Cr)'!C95</f>
        <v>INDUSINDBK</v>
      </c>
      <c r="B100" s="140">
        <f>VLOOKUP($A100,'Data shares'!$C:$FB,7)</f>
        <v>897.85</v>
      </c>
      <c r="C100" s="140">
        <f>VLOOKUP($A100,'Data shares'!$C:$FB,3)</f>
        <v>900.3</v>
      </c>
      <c r="D100" s="140">
        <f>VLOOKUP($A100,'Data shares'!$C:$FB,4)</f>
        <v>916.4</v>
      </c>
      <c r="E100" s="50">
        <f t="shared" si="3"/>
        <v>-1.756874727193368</v>
      </c>
      <c r="F100" s="49">
        <f>VLOOKUP($A100,'Data shares'!$C:$FB,98)</f>
        <v>68705700</v>
      </c>
      <c r="G100" s="49">
        <f>VLOOKUP($A100,'Data shares'!$C:$FB,99)</f>
        <v>66480400</v>
      </c>
      <c r="H100" s="50">
        <f t="shared" si="4"/>
        <v>3.3473023628016678</v>
      </c>
      <c r="I100" s="49">
        <f>VLOOKUP($A100,'Data shares'!$C:$FB,66)</f>
        <v>35718900</v>
      </c>
      <c r="J100" s="49">
        <f>VLOOKUP($A100,'Data shares'!$C:$FB,67)</f>
        <v>70023800</v>
      </c>
      <c r="K100" s="50">
        <f t="shared" si="5"/>
        <v>-96.041311462559037</v>
      </c>
      <c r="L100" s="50">
        <f>VLOOKUP($A100,'Data shares'!$C:$FB,118)</f>
        <v>0.83</v>
      </c>
      <c r="M100" s="50">
        <f>VLOOKUP($A100,'Data shares'!$C:$FB,119)</f>
        <v>0.91</v>
      </c>
      <c r="N100" s="50">
        <f>VLOOKUP($A100,'Data shares'!$C:$FB,121)*100</f>
        <v>-8.7900000000000009</v>
      </c>
      <c r="O100" s="50">
        <f>VLOOKUP($A100,'Data shares'!$C:$FB,124)</f>
        <v>0.68</v>
      </c>
      <c r="P100" s="50">
        <f>VLOOKUP($A100,'Data shares'!$C:$FB,125)</f>
        <v>0.66</v>
      </c>
      <c r="Q100" s="50">
        <f>VLOOKUP($A100,'Data shares'!$C:$FB,127)*100</f>
        <v>3.0300000000000002</v>
      </c>
    </row>
    <row r="101" spans="1:17" x14ac:dyDescent="0.25">
      <c r="A101" s="97" t="str">
        <f>'Data Vlaue (Cr)'!C96</f>
        <v>INDUSTOWER</v>
      </c>
      <c r="B101" s="140">
        <f>VLOOKUP($A101,'Data shares'!$C:$FB,7)</f>
        <v>429</v>
      </c>
      <c r="C101" s="140">
        <f>VLOOKUP($A101,'Data shares'!$C:$FB,3)</f>
        <v>430.3</v>
      </c>
      <c r="D101" s="140">
        <f>VLOOKUP($A101,'Data shares'!$C:$FB,4)</f>
        <v>434.35</v>
      </c>
      <c r="E101" s="50">
        <f t="shared" si="3"/>
        <v>-0.9324277656268013</v>
      </c>
      <c r="F101" s="49">
        <f>VLOOKUP($A101,'Data shares'!$C:$FB,98)</f>
        <v>134714800</v>
      </c>
      <c r="G101" s="49">
        <f>VLOOKUP($A101,'Data shares'!$C:$FB,99)</f>
        <v>134427500</v>
      </c>
      <c r="H101" s="50">
        <f t="shared" si="4"/>
        <v>0.21372115080619666</v>
      </c>
      <c r="I101" s="49">
        <f>VLOOKUP($A101,'Data shares'!$C:$FB,66)</f>
        <v>28796300</v>
      </c>
      <c r="J101" s="49">
        <f>VLOOKUP($A101,'Data shares'!$C:$FB,67)</f>
        <v>27256100</v>
      </c>
      <c r="K101" s="50">
        <f t="shared" si="5"/>
        <v>5.348603813684397</v>
      </c>
      <c r="L101" s="50">
        <f>VLOOKUP($A101,'Data shares'!$C:$FB,118)</f>
        <v>0.67</v>
      </c>
      <c r="M101" s="50">
        <f>VLOOKUP($A101,'Data shares'!$C:$FB,119)</f>
        <v>0.67</v>
      </c>
      <c r="N101" s="50">
        <f>VLOOKUP($A101,'Data shares'!$C:$FB,121)*100</f>
        <v>0</v>
      </c>
      <c r="O101" s="50">
        <f>VLOOKUP($A101,'Data shares'!$C:$FB,124)</f>
        <v>0.37</v>
      </c>
      <c r="P101" s="50">
        <f>VLOOKUP($A101,'Data shares'!$C:$FB,125)</f>
        <v>0.48</v>
      </c>
      <c r="Q101" s="50">
        <f>VLOOKUP($A101,'Data shares'!$C:$FB,127)*100</f>
        <v>-22.919999999999998</v>
      </c>
    </row>
    <row r="102" spans="1:17" x14ac:dyDescent="0.25">
      <c r="A102" s="97" t="str">
        <f>'Data Vlaue (Cr)'!C97</f>
        <v>INFY</v>
      </c>
      <c r="B102" s="140">
        <f>VLOOKUP($A102,'Data shares'!$C:$FB,7)</f>
        <v>1639</v>
      </c>
      <c r="C102" s="140">
        <f>VLOOKUP($A102,'Data shares'!$C:$FB,3)</f>
        <v>1644.6</v>
      </c>
      <c r="D102" s="140">
        <f>VLOOKUP($A102,'Data shares'!$C:$FB,4)</f>
        <v>1616.8</v>
      </c>
      <c r="E102" s="50">
        <f t="shared" si="3"/>
        <v>1.7194458189015309</v>
      </c>
      <c r="F102" s="49">
        <f>VLOOKUP($A102,'Data shares'!$C:$FB,98)</f>
        <v>107888000</v>
      </c>
      <c r="G102" s="49">
        <f>VLOOKUP($A102,'Data shares'!$C:$FB,99)</f>
        <v>102161600</v>
      </c>
      <c r="H102" s="50">
        <f t="shared" si="4"/>
        <v>5.6052371928395797</v>
      </c>
      <c r="I102" s="49">
        <f>VLOOKUP($A102,'Data shares'!$C:$FB,66)</f>
        <v>52171600</v>
      </c>
      <c r="J102" s="49">
        <f>VLOOKUP($A102,'Data shares'!$C:$FB,67)</f>
        <v>26730400</v>
      </c>
      <c r="K102" s="50">
        <f t="shared" si="5"/>
        <v>48.764461891143839</v>
      </c>
      <c r="L102" s="50">
        <f>VLOOKUP($A102,'Data shares'!$C:$FB,118)</f>
        <v>0.51</v>
      </c>
      <c r="M102" s="50">
        <f>VLOOKUP($A102,'Data shares'!$C:$FB,119)</f>
        <v>0.6</v>
      </c>
      <c r="N102" s="50">
        <f>VLOOKUP($A102,'Data shares'!$C:$FB,121)*100</f>
        <v>-15</v>
      </c>
      <c r="O102" s="50">
        <f>VLOOKUP($A102,'Data shares'!$C:$FB,124)</f>
        <v>0.34</v>
      </c>
      <c r="P102" s="50">
        <f>VLOOKUP($A102,'Data shares'!$C:$FB,125)</f>
        <v>0.54</v>
      </c>
      <c r="Q102" s="50">
        <f>VLOOKUP($A102,'Data shares'!$C:$FB,127)*100</f>
        <v>-37.04</v>
      </c>
    </row>
    <row r="103" spans="1:17" x14ac:dyDescent="0.25">
      <c r="A103" s="97" t="str">
        <f>'Data Vlaue (Cr)'!C98</f>
        <v>INOXWIND</v>
      </c>
      <c r="B103" s="140">
        <f>VLOOKUP($A103,'Data shares'!$C:$FB,7)</f>
        <v>122.94</v>
      </c>
      <c r="C103" s="140">
        <f>VLOOKUP($A103,'Data shares'!$C:$FB,3)</f>
        <v>123.23</v>
      </c>
      <c r="D103" s="140">
        <f>VLOOKUP($A103,'Data shares'!$C:$FB,4)</f>
        <v>123.33</v>
      </c>
      <c r="E103" s="50">
        <f t="shared" si="3"/>
        <v>-8.1083272520874342E-2</v>
      </c>
      <c r="F103" s="49">
        <f>VLOOKUP($A103,'Data shares'!$C:$FB,98)</f>
        <v>140218650</v>
      </c>
      <c r="G103" s="49">
        <f>VLOOKUP($A103,'Data shares'!$C:$FB,99)</f>
        <v>135942950</v>
      </c>
      <c r="H103" s="50">
        <f t="shared" si="4"/>
        <v>3.1452164308630937</v>
      </c>
      <c r="I103" s="49">
        <f>VLOOKUP($A103,'Data shares'!$C:$FB,66)</f>
        <v>37340875</v>
      </c>
      <c r="J103" s="49">
        <f>VLOOKUP($A103,'Data shares'!$C:$FB,67)</f>
        <v>43965350</v>
      </c>
      <c r="K103" s="50">
        <f t="shared" si="5"/>
        <v>-17.740545715653422</v>
      </c>
      <c r="L103" s="50">
        <f>VLOOKUP($A103,'Data shares'!$C:$FB,118)</f>
        <v>0.64</v>
      </c>
      <c r="M103" s="50">
        <f>VLOOKUP($A103,'Data shares'!$C:$FB,119)</f>
        <v>0.68</v>
      </c>
      <c r="N103" s="50">
        <f>VLOOKUP($A103,'Data shares'!$C:$FB,121)*100</f>
        <v>-5.88</v>
      </c>
      <c r="O103" s="50">
        <f>VLOOKUP($A103,'Data shares'!$C:$FB,124)</f>
        <v>0.5</v>
      </c>
      <c r="P103" s="50">
        <f>VLOOKUP($A103,'Data shares'!$C:$FB,125)</f>
        <v>0.45</v>
      </c>
      <c r="Q103" s="50">
        <f>VLOOKUP($A103,'Data shares'!$C:$FB,127)*100</f>
        <v>11.110000000000001</v>
      </c>
    </row>
    <row r="104" spans="1:17" x14ac:dyDescent="0.25">
      <c r="A104" s="97" t="str">
        <f>'Data Vlaue (Cr)'!C99</f>
        <v>IOC</v>
      </c>
      <c r="B104" s="140">
        <f>VLOOKUP($A104,'Data shares'!$C:$FB,7)</f>
        <v>162.66999999999999</v>
      </c>
      <c r="C104" s="140">
        <f>VLOOKUP($A104,'Data shares'!$C:$FB,3)</f>
        <v>163.31</v>
      </c>
      <c r="D104" s="140">
        <f>VLOOKUP($A104,'Data shares'!$C:$FB,4)</f>
        <v>164.39</v>
      </c>
      <c r="E104" s="50">
        <f t="shared" si="3"/>
        <v>-0.65697426850780716</v>
      </c>
      <c r="F104" s="49">
        <f>VLOOKUP($A104,'Data shares'!$C:$FB,98)</f>
        <v>189540000</v>
      </c>
      <c r="G104" s="49">
        <f>VLOOKUP($A104,'Data shares'!$C:$FB,99)</f>
        <v>184055625</v>
      </c>
      <c r="H104" s="50">
        <f t="shared" si="4"/>
        <v>2.9797377830750893</v>
      </c>
      <c r="I104" s="49">
        <f>VLOOKUP($A104,'Data shares'!$C:$FB,66)</f>
        <v>53737125</v>
      </c>
      <c r="J104" s="49">
        <f>VLOOKUP($A104,'Data shares'!$C:$FB,67)</f>
        <v>111384000</v>
      </c>
      <c r="K104" s="50">
        <f t="shared" si="5"/>
        <v>-107.27569627143245</v>
      </c>
      <c r="L104" s="50">
        <f>VLOOKUP($A104,'Data shares'!$C:$FB,118)</f>
        <v>0.6</v>
      </c>
      <c r="M104" s="50">
        <f>VLOOKUP($A104,'Data shares'!$C:$FB,119)</f>
        <v>0.61</v>
      </c>
      <c r="N104" s="50">
        <f>VLOOKUP($A104,'Data shares'!$C:$FB,121)*100</f>
        <v>-1.6400000000000001</v>
      </c>
      <c r="O104" s="50">
        <f>VLOOKUP($A104,'Data shares'!$C:$FB,124)</f>
        <v>0.51</v>
      </c>
      <c r="P104" s="50">
        <f>VLOOKUP($A104,'Data shares'!$C:$FB,125)</f>
        <v>0.62</v>
      </c>
      <c r="Q104" s="50">
        <f>VLOOKUP($A104,'Data shares'!$C:$FB,127)*100</f>
        <v>-17.740000000000002</v>
      </c>
    </row>
    <row r="105" spans="1:17" x14ac:dyDescent="0.25">
      <c r="A105" s="97" t="str">
        <f>'Data Vlaue (Cr)'!C100</f>
        <v>IRCTC</v>
      </c>
      <c r="B105" s="140">
        <f>VLOOKUP($A105,'Data shares'!$C:$FB,7)</f>
        <v>672.8</v>
      </c>
      <c r="C105" s="140">
        <f>VLOOKUP($A105,'Data shares'!$C:$FB,3)</f>
        <v>674.6</v>
      </c>
      <c r="D105" s="140">
        <f>VLOOKUP($A105,'Data shares'!$C:$FB,4)</f>
        <v>672.5</v>
      </c>
      <c r="E105" s="50">
        <f t="shared" si="3"/>
        <v>0.31226765799256845</v>
      </c>
      <c r="F105" s="49">
        <f>VLOOKUP($A105,'Data shares'!$C:$FB,98)</f>
        <v>57025500</v>
      </c>
      <c r="G105" s="49">
        <f>VLOOKUP($A105,'Data shares'!$C:$FB,99)</f>
        <v>53594625</v>
      </c>
      <c r="H105" s="50">
        <f t="shared" si="4"/>
        <v>6.4015281383161096</v>
      </c>
      <c r="I105" s="49">
        <f>VLOOKUP($A105,'Data shares'!$C:$FB,66)</f>
        <v>20762875</v>
      </c>
      <c r="J105" s="49">
        <f>VLOOKUP($A105,'Data shares'!$C:$FB,67)</f>
        <v>19747875</v>
      </c>
      <c r="K105" s="50">
        <f t="shared" si="5"/>
        <v>4.8885330186691389</v>
      </c>
      <c r="L105" s="50">
        <f>VLOOKUP($A105,'Data shares'!$C:$FB,118)</f>
        <v>0.44</v>
      </c>
      <c r="M105" s="50">
        <f>VLOOKUP($A105,'Data shares'!$C:$FB,119)</f>
        <v>0.47</v>
      </c>
      <c r="N105" s="50">
        <f>VLOOKUP($A105,'Data shares'!$C:$FB,121)*100</f>
        <v>-6.38</v>
      </c>
      <c r="O105" s="50">
        <f>VLOOKUP($A105,'Data shares'!$C:$FB,124)</f>
        <v>0.19</v>
      </c>
      <c r="P105" s="50">
        <f>VLOOKUP($A105,'Data shares'!$C:$FB,125)</f>
        <v>0.32</v>
      </c>
      <c r="Q105" s="50">
        <f>VLOOKUP($A105,'Data shares'!$C:$FB,127)*100</f>
        <v>-40.630000000000003</v>
      </c>
    </row>
    <row r="106" spans="1:17" x14ac:dyDescent="0.25">
      <c r="A106" s="97" t="str">
        <f>'Data Vlaue (Cr)'!C101</f>
        <v>IREDA</v>
      </c>
      <c r="B106" s="140">
        <f>VLOOKUP($A106,'Data shares'!$C:$FB,7)</f>
        <v>146.03</v>
      </c>
      <c r="C106" s="140">
        <f>VLOOKUP($A106,'Data shares'!$C:$FB,3)</f>
        <v>145.9</v>
      </c>
      <c r="D106" s="140">
        <f>VLOOKUP($A106,'Data shares'!$C:$FB,4)</f>
        <v>143.82</v>
      </c>
      <c r="E106" s="50">
        <f t="shared" si="3"/>
        <v>1.4462522597691647</v>
      </c>
      <c r="F106" s="49">
        <f>VLOOKUP($A106,'Data shares'!$C:$FB,98)</f>
        <v>112856400</v>
      </c>
      <c r="G106" s="49">
        <f>VLOOKUP($A106,'Data shares'!$C:$FB,99)</f>
        <v>106798200</v>
      </c>
      <c r="H106" s="50">
        <f t="shared" si="4"/>
        <v>5.6725675151828403</v>
      </c>
      <c r="I106" s="49">
        <f>VLOOKUP($A106,'Data shares'!$C:$FB,66)</f>
        <v>53388750</v>
      </c>
      <c r="J106" s="49">
        <f>VLOOKUP($A106,'Data shares'!$C:$FB,67)</f>
        <v>43028400</v>
      </c>
      <c r="K106" s="50">
        <f t="shared" si="5"/>
        <v>19.405492730210018</v>
      </c>
      <c r="L106" s="50">
        <f>VLOOKUP($A106,'Data shares'!$C:$FB,118)</f>
        <v>0.56999999999999995</v>
      </c>
      <c r="M106" s="50">
        <f>VLOOKUP($A106,'Data shares'!$C:$FB,119)</f>
        <v>0.56999999999999995</v>
      </c>
      <c r="N106" s="50">
        <f>VLOOKUP($A106,'Data shares'!$C:$FB,121)*100</f>
        <v>0</v>
      </c>
      <c r="O106" s="50">
        <f>VLOOKUP($A106,'Data shares'!$C:$FB,124)</f>
        <v>0.22</v>
      </c>
      <c r="P106" s="50">
        <f>VLOOKUP($A106,'Data shares'!$C:$FB,125)</f>
        <v>0.34</v>
      </c>
      <c r="Q106" s="50">
        <f>VLOOKUP($A106,'Data shares'!$C:$FB,127)*100</f>
        <v>-35.29</v>
      </c>
    </row>
    <row r="107" spans="1:17" x14ac:dyDescent="0.25">
      <c r="A107" s="97" t="str">
        <f>'Data Vlaue (Cr)'!C102</f>
        <v>IRFC</v>
      </c>
      <c r="B107" s="140">
        <f>VLOOKUP($A107,'Data shares'!$C:$FB,7)</f>
        <v>128.04</v>
      </c>
      <c r="C107" s="140">
        <f>VLOOKUP($A107,'Data shares'!$C:$FB,3)</f>
        <v>128.65</v>
      </c>
      <c r="D107" s="140">
        <f>VLOOKUP($A107,'Data shares'!$C:$FB,4)</f>
        <v>127.83</v>
      </c>
      <c r="E107" s="50">
        <f t="shared" si="3"/>
        <v>0.64147696158961698</v>
      </c>
      <c r="F107" s="49">
        <f>VLOOKUP($A107,'Data shares'!$C:$FB,98)</f>
        <v>181466500</v>
      </c>
      <c r="G107" s="49">
        <f>VLOOKUP($A107,'Data shares'!$C:$FB,99)</f>
        <v>180140500</v>
      </c>
      <c r="H107" s="50">
        <f t="shared" si="4"/>
        <v>0.7360921058840183</v>
      </c>
      <c r="I107" s="49">
        <f>VLOOKUP($A107,'Data shares'!$C:$FB,66)</f>
        <v>47264250</v>
      </c>
      <c r="J107" s="49">
        <f>VLOOKUP($A107,'Data shares'!$C:$FB,67)</f>
        <v>68514250</v>
      </c>
      <c r="K107" s="50">
        <f t="shared" si="5"/>
        <v>-44.959985612804601</v>
      </c>
      <c r="L107" s="50">
        <f>VLOOKUP($A107,'Data shares'!$C:$FB,118)</f>
        <v>0.46</v>
      </c>
      <c r="M107" s="50">
        <f>VLOOKUP($A107,'Data shares'!$C:$FB,119)</f>
        <v>0.45</v>
      </c>
      <c r="N107" s="50">
        <f>VLOOKUP($A107,'Data shares'!$C:$FB,121)*100</f>
        <v>2.2200000000000002</v>
      </c>
      <c r="O107" s="50">
        <f>VLOOKUP($A107,'Data shares'!$C:$FB,124)</f>
        <v>0.33</v>
      </c>
      <c r="P107" s="50">
        <f>VLOOKUP($A107,'Data shares'!$C:$FB,125)</f>
        <v>0.28000000000000003</v>
      </c>
      <c r="Q107" s="50">
        <f>VLOOKUP($A107,'Data shares'!$C:$FB,127)*100</f>
        <v>17.86</v>
      </c>
    </row>
    <row r="108" spans="1:17" x14ac:dyDescent="0.25">
      <c r="A108" s="97" t="str">
        <f>'Data Vlaue (Cr)'!C103</f>
        <v>ITC</v>
      </c>
      <c r="B108" s="140">
        <f>VLOOKUP($A108,'Data shares'!$C:$FB,7)</f>
        <v>341.25</v>
      </c>
      <c r="C108" s="140">
        <f>VLOOKUP($A108,'Data shares'!$C:$FB,3)</f>
        <v>342.9</v>
      </c>
      <c r="D108" s="140">
        <f>VLOOKUP($A108,'Data shares'!$C:$FB,4)</f>
        <v>344.2</v>
      </c>
      <c r="E108" s="50">
        <f t="shared" si="3"/>
        <v>-0.37768739105171745</v>
      </c>
      <c r="F108" s="49">
        <f>VLOOKUP($A108,'Data shares'!$C:$FB,98)</f>
        <v>753646400</v>
      </c>
      <c r="G108" s="49">
        <f>VLOOKUP($A108,'Data shares'!$C:$FB,99)</f>
        <v>732564800</v>
      </c>
      <c r="H108" s="50">
        <f t="shared" si="4"/>
        <v>2.8777795493313358</v>
      </c>
      <c r="I108" s="49">
        <f>VLOOKUP($A108,'Data shares'!$C:$FB,66)</f>
        <v>375084800</v>
      </c>
      <c r="J108" s="49">
        <f>VLOOKUP($A108,'Data shares'!$C:$FB,67)</f>
        <v>875897600</v>
      </c>
      <c r="K108" s="50">
        <f t="shared" si="5"/>
        <v>-133.51988670295358</v>
      </c>
      <c r="L108" s="50">
        <f>VLOOKUP($A108,'Data shares'!$C:$FB,118)</f>
        <v>0.37</v>
      </c>
      <c r="M108" s="50">
        <f>VLOOKUP($A108,'Data shares'!$C:$FB,119)</f>
        <v>0.37</v>
      </c>
      <c r="N108" s="50">
        <f>VLOOKUP($A108,'Data shares'!$C:$FB,121)*100</f>
        <v>0</v>
      </c>
      <c r="O108" s="50">
        <f>VLOOKUP($A108,'Data shares'!$C:$FB,124)</f>
        <v>0.39</v>
      </c>
      <c r="P108" s="50">
        <f>VLOOKUP($A108,'Data shares'!$C:$FB,125)</f>
        <v>0.41</v>
      </c>
      <c r="Q108" s="50">
        <f>VLOOKUP($A108,'Data shares'!$C:$FB,127)*100</f>
        <v>-4.88</v>
      </c>
    </row>
    <row r="109" spans="1:17" x14ac:dyDescent="0.25">
      <c r="A109" s="97" t="str">
        <f>'Data Vlaue (Cr)'!C104</f>
        <v>JINDALSTEL</v>
      </c>
      <c r="B109" s="140">
        <f>VLOOKUP($A109,'Data shares'!$C:$FB,7)</f>
        <v>1074.7</v>
      </c>
      <c r="C109" s="140">
        <f>VLOOKUP($A109,'Data shares'!$C:$FB,3)</f>
        <v>1077.3</v>
      </c>
      <c r="D109" s="140">
        <f>VLOOKUP($A109,'Data shares'!$C:$FB,4)</f>
        <v>1083.5999999999999</v>
      </c>
      <c r="E109" s="50">
        <f t="shared" si="3"/>
        <v>-0.58139534883720512</v>
      </c>
      <c r="F109" s="49">
        <f>VLOOKUP($A109,'Data shares'!$C:$FB,98)</f>
        <v>21510000</v>
      </c>
      <c r="G109" s="49">
        <f>VLOOKUP($A109,'Data shares'!$C:$FB,99)</f>
        <v>20476250</v>
      </c>
      <c r="H109" s="50">
        <f t="shared" si="4"/>
        <v>5.048531835663268</v>
      </c>
      <c r="I109" s="49">
        <f>VLOOKUP($A109,'Data shares'!$C:$FB,66)</f>
        <v>9871875</v>
      </c>
      <c r="J109" s="49">
        <f>VLOOKUP($A109,'Data shares'!$C:$FB,67)</f>
        <v>9658750</v>
      </c>
      <c r="K109" s="50">
        <f t="shared" si="5"/>
        <v>2.1589110477999367</v>
      </c>
      <c r="L109" s="50">
        <f>VLOOKUP($A109,'Data shares'!$C:$FB,118)</f>
        <v>1.02</v>
      </c>
      <c r="M109" s="50">
        <f>VLOOKUP($A109,'Data shares'!$C:$FB,119)</f>
        <v>0.94</v>
      </c>
      <c r="N109" s="50">
        <f>VLOOKUP($A109,'Data shares'!$C:$FB,121)*100</f>
        <v>8.51</v>
      </c>
      <c r="O109" s="50">
        <f>VLOOKUP($A109,'Data shares'!$C:$FB,124)</f>
        <v>1.1200000000000001</v>
      </c>
      <c r="P109" s="50">
        <f>VLOOKUP($A109,'Data shares'!$C:$FB,125)</f>
        <v>0.52</v>
      </c>
      <c r="Q109" s="50">
        <f>VLOOKUP($A109,'Data shares'!$C:$FB,127)*100</f>
        <v>115.38</v>
      </c>
    </row>
    <row r="110" spans="1:17" x14ac:dyDescent="0.25">
      <c r="A110" s="97" t="str">
        <f>'Data Vlaue (Cr)'!C105</f>
        <v>JIOFIN</v>
      </c>
      <c r="B110" s="140">
        <f>VLOOKUP($A110,'Data shares'!$C:$FB,7)</f>
        <v>303.5</v>
      </c>
      <c r="C110" s="140">
        <f>VLOOKUP($A110,'Data shares'!$C:$FB,3)</f>
        <v>305.10000000000002</v>
      </c>
      <c r="D110" s="140">
        <f>VLOOKUP($A110,'Data shares'!$C:$FB,4)</f>
        <v>299.2</v>
      </c>
      <c r="E110" s="50">
        <f t="shared" si="3"/>
        <v>1.9719251336898509</v>
      </c>
      <c r="F110" s="49">
        <f>VLOOKUP($A110,'Data shares'!$C:$FB,98)</f>
        <v>256218150</v>
      </c>
      <c r="G110" s="49">
        <f>VLOOKUP($A110,'Data shares'!$C:$FB,99)</f>
        <v>249906050</v>
      </c>
      <c r="H110" s="50">
        <f t="shared" si="4"/>
        <v>2.5257891915781951</v>
      </c>
      <c r="I110" s="49">
        <f>VLOOKUP($A110,'Data shares'!$C:$FB,66)</f>
        <v>213786550</v>
      </c>
      <c r="J110" s="49">
        <f>VLOOKUP($A110,'Data shares'!$C:$FB,67)</f>
        <v>116343800</v>
      </c>
      <c r="K110" s="50">
        <f t="shared" si="5"/>
        <v>45.579457641278182</v>
      </c>
      <c r="L110" s="50">
        <f>VLOOKUP($A110,'Data shares'!$C:$FB,118)</f>
        <v>0.77</v>
      </c>
      <c r="M110" s="50">
        <f>VLOOKUP($A110,'Data shares'!$C:$FB,119)</f>
        <v>0.76</v>
      </c>
      <c r="N110" s="50">
        <f>VLOOKUP($A110,'Data shares'!$C:$FB,121)*100</f>
        <v>1.32</v>
      </c>
      <c r="O110" s="50">
        <f>VLOOKUP($A110,'Data shares'!$C:$FB,124)</f>
        <v>0.31</v>
      </c>
      <c r="P110" s="50">
        <f>VLOOKUP($A110,'Data shares'!$C:$FB,125)</f>
        <v>0.46</v>
      </c>
      <c r="Q110" s="50">
        <f>VLOOKUP($A110,'Data shares'!$C:$FB,127)*100</f>
        <v>-32.61</v>
      </c>
    </row>
    <row r="111" spans="1:17" x14ac:dyDescent="0.25">
      <c r="A111" s="97" t="str">
        <f>'Data Vlaue (Cr)'!C106</f>
        <v>JSWENERGY</v>
      </c>
      <c r="B111" s="140">
        <f>VLOOKUP($A111,'Data shares'!$C:$FB,7)</f>
        <v>512.6</v>
      </c>
      <c r="C111" s="140">
        <f>VLOOKUP($A111,'Data shares'!$C:$FB,3)</f>
        <v>513.6</v>
      </c>
      <c r="D111" s="140">
        <f>VLOOKUP($A111,'Data shares'!$C:$FB,4)</f>
        <v>516.70000000000005</v>
      </c>
      <c r="E111" s="50">
        <f t="shared" si="3"/>
        <v>-0.59996129281982247</v>
      </c>
      <c r="F111" s="49">
        <f>VLOOKUP($A111,'Data shares'!$C:$FB,98)</f>
        <v>52037000</v>
      </c>
      <c r="G111" s="49">
        <f>VLOOKUP($A111,'Data shares'!$C:$FB,99)</f>
        <v>52066000</v>
      </c>
      <c r="H111" s="50">
        <f t="shared" si="4"/>
        <v>-5.5698536472938195E-2</v>
      </c>
      <c r="I111" s="49">
        <f>VLOOKUP($A111,'Data shares'!$C:$FB,66)</f>
        <v>8526000</v>
      </c>
      <c r="J111" s="49">
        <f>VLOOKUP($A111,'Data shares'!$C:$FB,67)</f>
        <v>9910000</v>
      </c>
      <c r="K111" s="50">
        <f t="shared" si="5"/>
        <v>-16.232699976542342</v>
      </c>
      <c r="L111" s="50">
        <f>VLOOKUP($A111,'Data shares'!$C:$FB,118)</f>
        <v>1.03</v>
      </c>
      <c r="M111" s="50">
        <f>VLOOKUP($A111,'Data shares'!$C:$FB,119)</f>
        <v>1.06</v>
      </c>
      <c r="N111" s="50">
        <f>VLOOKUP($A111,'Data shares'!$C:$FB,121)*100</f>
        <v>-2.83</v>
      </c>
      <c r="O111" s="50">
        <f>VLOOKUP($A111,'Data shares'!$C:$FB,124)</f>
        <v>0.74</v>
      </c>
      <c r="P111" s="50">
        <f>VLOOKUP($A111,'Data shares'!$C:$FB,125)</f>
        <v>0.61</v>
      </c>
      <c r="Q111" s="50">
        <f>VLOOKUP($A111,'Data shares'!$C:$FB,127)*100</f>
        <v>21.310000000000002</v>
      </c>
    </row>
    <row r="112" spans="1:17" x14ac:dyDescent="0.25">
      <c r="A112" s="97" t="str">
        <f>'Data Vlaue (Cr)'!C107</f>
        <v>JSWSTEEL</v>
      </c>
      <c r="B112" s="140">
        <f>VLOOKUP($A112,'Data shares'!$C:$FB,7)</f>
        <v>1189.8</v>
      </c>
      <c r="C112" s="140">
        <f>VLOOKUP($A112,'Data shares'!$C:$FB,3)</f>
        <v>1192.4000000000001</v>
      </c>
      <c r="D112" s="140">
        <f>VLOOKUP($A112,'Data shares'!$C:$FB,4)</f>
        <v>1181.7</v>
      </c>
      <c r="E112" s="50">
        <f t="shared" si="3"/>
        <v>0.90547516290090924</v>
      </c>
      <c r="F112" s="49">
        <f>VLOOKUP($A112,'Data shares'!$C:$FB,98)</f>
        <v>67603950</v>
      </c>
      <c r="G112" s="49">
        <f>VLOOKUP($A112,'Data shares'!$C:$FB,99)</f>
        <v>66999150</v>
      </c>
      <c r="H112" s="50">
        <f t="shared" si="4"/>
        <v>0.9026980193032299</v>
      </c>
      <c r="I112" s="49">
        <f>VLOOKUP($A112,'Data shares'!$C:$FB,66)</f>
        <v>14335650</v>
      </c>
      <c r="J112" s="49">
        <f>VLOOKUP($A112,'Data shares'!$C:$FB,67)</f>
        <v>25449525</v>
      </c>
      <c r="K112" s="50">
        <f t="shared" si="5"/>
        <v>-77.526132404181183</v>
      </c>
      <c r="L112" s="50">
        <f>VLOOKUP($A112,'Data shares'!$C:$FB,118)</f>
        <v>0.97</v>
      </c>
      <c r="M112" s="50">
        <f>VLOOKUP($A112,'Data shares'!$C:$FB,119)</f>
        <v>0.93</v>
      </c>
      <c r="N112" s="50">
        <f>VLOOKUP($A112,'Data shares'!$C:$FB,121)*100</f>
        <v>4.3</v>
      </c>
      <c r="O112" s="50">
        <f>VLOOKUP($A112,'Data shares'!$C:$FB,124)</f>
        <v>0.81</v>
      </c>
      <c r="P112" s="50">
        <f>VLOOKUP($A112,'Data shares'!$C:$FB,125)</f>
        <v>1.04</v>
      </c>
      <c r="Q112" s="50">
        <f>VLOOKUP($A112,'Data shares'!$C:$FB,127)*100</f>
        <v>-22.12</v>
      </c>
    </row>
    <row r="113" spans="1:17" x14ac:dyDescent="0.25">
      <c r="A113" s="97" t="str">
        <f>'Data Vlaue (Cr)'!C108</f>
        <v>JUBLFOOD</v>
      </c>
      <c r="B113" s="140">
        <f>VLOOKUP($A113,'Data shares'!$C:$FB,7)</f>
        <v>537.4</v>
      </c>
      <c r="C113" s="140">
        <f>VLOOKUP($A113,'Data shares'!$C:$FB,3)</f>
        <v>539.45000000000005</v>
      </c>
      <c r="D113" s="140">
        <f>VLOOKUP($A113,'Data shares'!$C:$FB,4)</f>
        <v>545.54999999999995</v>
      </c>
      <c r="E113" s="50">
        <f t="shared" si="3"/>
        <v>-1.1181376592429493</v>
      </c>
      <c r="F113" s="49">
        <f>VLOOKUP($A113,'Data shares'!$C:$FB,98)</f>
        <v>46818750</v>
      </c>
      <c r="G113" s="49">
        <f>VLOOKUP($A113,'Data shares'!$C:$FB,99)</f>
        <v>45272500</v>
      </c>
      <c r="H113" s="50">
        <f t="shared" si="4"/>
        <v>3.4154287923132145</v>
      </c>
      <c r="I113" s="49">
        <f>VLOOKUP($A113,'Data shares'!$C:$FB,66)</f>
        <v>34840000</v>
      </c>
      <c r="J113" s="49">
        <f>VLOOKUP($A113,'Data shares'!$C:$FB,67)</f>
        <v>28413750</v>
      </c>
      <c r="K113" s="50">
        <f t="shared" si="5"/>
        <v>18.445034443168769</v>
      </c>
      <c r="L113" s="50">
        <f>VLOOKUP($A113,'Data shares'!$C:$FB,118)</f>
        <v>0.63</v>
      </c>
      <c r="M113" s="50">
        <f>VLOOKUP($A113,'Data shares'!$C:$FB,119)</f>
        <v>0.65</v>
      </c>
      <c r="N113" s="50">
        <f>VLOOKUP($A113,'Data shares'!$C:$FB,121)*100</f>
        <v>-3.08</v>
      </c>
      <c r="O113" s="50">
        <f>VLOOKUP($A113,'Data shares'!$C:$FB,124)</f>
        <v>0.52</v>
      </c>
      <c r="P113" s="50">
        <f>VLOOKUP($A113,'Data shares'!$C:$FB,125)</f>
        <v>0.48</v>
      </c>
      <c r="Q113" s="50">
        <f>VLOOKUP($A113,'Data shares'!$C:$FB,127)*100</f>
        <v>8.33</v>
      </c>
    </row>
    <row r="114" spans="1:17" x14ac:dyDescent="0.25">
      <c r="A114" s="97" t="str">
        <f>'Data Vlaue (Cr)'!C109</f>
        <v>KALYANKJIL</v>
      </c>
      <c r="B114" s="140">
        <f>VLOOKUP($A114,'Data shares'!$C:$FB,7)</f>
        <v>520.75</v>
      </c>
      <c r="C114" s="140">
        <f>VLOOKUP($A114,'Data shares'!$C:$FB,3)</f>
        <v>523.29999999999995</v>
      </c>
      <c r="D114" s="140">
        <f>VLOOKUP($A114,'Data shares'!$C:$FB,4)</f>
        <v>502.45</v>
      </c>
      <c r="E114" s="50">
        <f t="shared" si="3"/>
        <v>4.1496666334958636</v>
      </c>
      <c r="F114" s="49">
        <f>VLOOKUP($A114,'Data shares'!$C:$FB,98)</f>
        <v>53524775</v>
      </c>
      <c r="G114" s="49">
        <f>VLOOKUP($A114,'Data shares'!$C:$FB,99)</f>
        <v>45218700</v>
      </c>
      <c r="H114" s="50">
        <f t="shared" si="4"/>
        <v>18.368672695146035</v>
      </c>
      <c r="I114" s="49">
        <f>VLOOKUP($A114,'Data shares'!$C:$FB,66)</f>
        <v>124640475</v>
      </c>
      <c r="J114" s="49">
        <f>VLOOKUP($A114,'Data shares'!$C:$FB,67)</f>
        <v>13339775</v>
      </c>
      <c r="K114" s="50">
        <f t="shared" si="5"/>
        <v>89.29739717375115</v>
      </c>
      <c r="L114" s="50">
        <f>VLOOKUP($A114,'Data shares'!$C:$FB,118)</f>
        <v>0.56000000000000005</v>
      </c>
      <c r="M114" s="50">
        <f>VLOOKUP($A114,'Data shares'!$C:$FB,119)</f>
        <v>0.69</v>
      </c>
      <c r="N114" s="50">
        <f>VLOOKUP($A114,'Data shares'!$C:$FB,121)*100</f>
        <v>-18.84</v>
      </c>
      <c r="O114" s="50">
        <f>VLOOKUP($A114,'Data shares'!$C:$FB,124)</f>
        <v>0.28999999999999998</v>
      </c>
      <c r="P114" s="50">
        <f>VLOOKUP($A114,'Data shares'!$C:$FB,125)</f>
        <v>0.4</v>
      </c>
      <c r="Q114" s="50">
        <f>VLOOKUP($A114,'Data shares'!$C:$FB,127)*100</f>
        <v>-27.500000000000004</v>
      </c>
    </row>
    <row r="115" spans="1:17" x14ac:dyDescent="0.25">
      <c r="A115" s="97" t="str">
        <f>'Data Vlaue (Cr)'!C110</f>
        <v>KAYNES</v>
      </c>
      <c r="B115" s="140">
        <f>VLOOKUP($A115,'Data shares'!$C:$FB,7)</f>
        <v>3831.3</v>
      </c>
      <c r="C115" s="140">
        <f>VLOOKUP($A115,'Data shares'!$C:$FB,3)</f>
        <v>3850.8</v>
      </c>
      <c r="D115" s="140">
        <f>VLOOKUP($A115,'Data shares'!$C:$FB,4)</f>
        <v>3794.5</v>
      </c>
      <c r="E115" s="50">
        <f t="shared" si="3"/>
        <v>1.483726446172096</v>
      </c>
      <c r="F115" s="49">
        <f>VLOOKUP($A115,'Data shares'!$C:$FB,98)</f>
        <v>9042200</v>
      </c>
      <c r="G115" s="49">
        <f>VLOOKUP($A115,'Data shares'!$C:$FB,99)</f>
        <v>8479400</v>
      </c>
      <c r="H115" s="50">
        <f t="shared" si="4"/>
        <v>6.6372620704295118</v>
      </c>
      <c r="I115" s="49">
        <f>VLOOKUP($A115,'Data shares'!$C:$FB,66)</f>
        <v>12944200</v>
      </c>
      <c r="J115" s="49">
        <f>VLOOKUP($A115,'Data shares'!$C:$FB,67)</f>
        <v>16983800</v>
      </c>
      <c r="K115" s="50">
        <f t="shared" si="5"/>
        <v>-31.207799632267736</v>
      </c>
      <c r="L115" s="50">
        <f>VLOOKUP($A115,'Data shares'!$C:$FB,118)</f>
        <v>0.52</v>
      </c>
      <c r="M115" s="50">
        <f>VLOOKUP($A115,'Data shares'!$C:$FB,119)</f>
        <v>0.5</v>
      </c>
      <c r="N115" s="50">
        <f>VLOOKUP($A115,'Data shares'!$C:$FB,121)*100</f>
        <v>4</v>
      </c>
      <c r="O115" s="50">
        <f>VLOOKUP($A115,'Data shares'!$C:$FB,124)</f>
        <v>0.66</v>
      </c>
      <c r="P115" s="50">
        <f>VLOOKUP($A115,'Data shares'!$C:$FB,125)</f>
        <v>0.78</v>
      </c>
      <c r="Q115" s="50">
        <f>VLOOKUP($A115,'Data shares'!$C:$FB,127)*100</f>
        <v>-15.379999999999999</v>
      </c>
    </row>
    <row r="116" spans="1:17" x14ac:dyDescent="0.25">
      <c r="A116" s="97" t="str">
        <f>'Data Vlaue (Cr)'!C111</f>
        <v>KEI</v>
      </c>
      <c r="B116" s="140">
        <f>VLOOKUP($A116,'Data shares'!$C:$FB,7)</f>
        <v>4538.2</v>
      </c>
      <c r="C116" s="140">
        <f>VLOOKUP($A116,'Data shares'!$C:$FB,3)</f>
        <v>4559.6000000000004</v>
      </c>
      <c r="D116" s="140">
        <f>VLOOKUP($A116,'Data shares'!$C:$FB,4)</f>
        <v>4545.1000000000004</v>
      </c>
      <c r="E116" s="50">
        <f t="shared" si="3"/>
        <v>0.31902488394094736</v>
      </c>
      <c r="F116" s="49">
        <f>VLOOKUP($A116,'Data shares'!$C:$FB,98)</f>
        <v>1727075</v>
      </c>
      <c r="G116" s="49">
        <f>VLOOKUP($A116,'Data shares'!$C:$FB,99)</f>
        <v>1589000</v>
      </c>
      <c r="H116" s="50">
        <f t="shared" si="4"/>
        <v>8.6894273127753294</v>
      </c>
      <c r="I116" s="49">
        <f>VLOOKUP($A116,'Data shares'!$C:$FB,66)</f>
        <v>1205400</v>
      </c>
      <c r="J116" s="49">
        <f>VLOOKUP($A116,'Data shares'!$C:$FB,67)</f>
        <v>691250</v>
      </c>
      <c r="K116" s="50">
        <f t="shared" si="5"/>
        <v>42.653890824622529</v>
      </c>
      <c r="L116" s="50">
        <f>VLOOKUP($A116,'Data shares'!$C:$FB,118)</f>
        <v>0.68</v>
      </c>
      <c r="M116" s="50">
        <f>VLOOKUP($A116,'Data shares'!$C:$FB,119)</f>
        <v>0.73</v>
      </c>
      <c r="N116" s="50">
        <f>VLOOKUP($A116,'Data shares'!$C:$FB,121)*100</f>
        <v>-6.8500000000000005</v>
      </c>
      <c r="O116" s="50">
        <f>VLOOKUP($A116,'Data shares'!$C:$FB,124)</f>
        <v>0.27</v>
      </c>
      <c r="P116" s="50">
        <f>VLOOKUP($A116,'Data shares'!$C:$FB,125)</f>
        <v>0.36</v>
      </c>
      <c r="Q116" s="50">
        <f>VLOOKUP($A116,'Data shares'!$C:$FB,127)*100</f>
        <v>-25</v>
      </c>
    </row>
    <row r="117" spans="1:17" x14ac:dyDescent="0.25">
      <c r="A117" s="97" t="str">
        <f>'Data Vlaue (Cr)'!C112</f>
        <v>KFINTECH</v>
      </c>
      <c r="B117" s="140">
        <f>VLOOKUP($A117,'Data shares'!$C:$FB,7)</f>
        <v>1074.4000000000001</v>
      </c>
      <c r="C117" s="140">
        <f>VLOOKUP($A117,'Data shares'!$C:$FB,3)</f>
        <v>1068.8</v>
      </c>
      <c r="D117" s="140">
        <f>VLOOKUP($A117,'Data shares'!$C:$FB,4)</f>
        <v>1062.2</v>
      </c>
      <c r="E117" s="50">
        <f t="shared" si="3"/>
        <v>0.62135191112783927</v>
      </c>
      <c r="F117" s="49">
        <f>VLOOKUP($A117,'Data shares'!$C:$FB,98)</f>
        <v>6601500</v>
      </c>
      <c r="G117" s="49">
        <f>VLOOKUP($A117,'Data shares'!$C:$FB,99)</f>
        <v>6346500</v>
      </c>
      <c r="H117" s="50">
        <f t="shared" si="4"/>
        <v>4.0179626565823678</v>
      </c>
      <c r="I117" s="49">
        <f>VLOOKUP($A117,'Data shares'!$C:$FB,66)</f>
        <v>3149000</v>
      </c>
      <c r="J117" s="49">
        <f>VLOOKUP($A117,'Data shares'!$C:$FB,67)</f>
        <v>2840000</v>
      </c>
      <c r="K117" s="50">
        <f t="shared" si="5"/>
        <v>9.8126389329946004</v>
      </c>
      <c r="L117" s="50">
        <f>VLOOKUP($A117,'Data shares'!$C:$FB,118)</f>
        <v>0.68</v>
      </c>
      <c r="M117" s="50">
        <f>VLOOKUP($A117,'Data shares'!$C:$FB,119)</f>
        <v>0.73</v>
      </c>
      <c r="N117" s="50">
        <f>VLOOKUP($A117,'Data shares'!$C:$FB,121)*100</f>
        <v>-6.8500000000000005</v>
      </c>
      <c r="O117" s="50">
        <f>VLOOKUP($A117,'Data shares'!$C:$FB,124)</f>
        <v>0.25</v>
      </c>
      <c r="P117" s="50">
        <f>VLOOKUP($A117,'Data shares'!$C:$FB,125)</f>
        <v>0.48</v>
      </c>
      <c r="Q117" s="50">
        <f>VLOOKUP($A117,'Data shares'!$C:$FB,127)*100</f>
        <v>-47.92</v>
      </c>
    </row>
    <row r="118" spans="1:17" x14ac:dyDescent="0.25">
      <c r="A118" s="97" t="str">
        <f>'Data Vlaue (Cr)'!C113</f>
        <v>KOTAKBANK</v>
      </c>
      <c r="B118" s="140">
        <f>VLOOKUP($A118,'Data shares'!$C:$FB,7)</f>
        <v>2144</v>
      </c>
      <c r="C118" s="140">
        <f>VLOOKUP($A118,'Data shares'!$C:$FB,3)</f>
        <v>2149.8000000000002</v>
      </c>
      <c r="D118" s="140">
        <f>VLOOKUP($A118,'Data shares'!$C:$FB,4)</f>
        <v>2151.6</v>
      </c>
      <c r="E118" s="50">
        <f t="shared" si="3"/>
        <v>-8.3658672615715149E-2</v>
      </c>
      <c r="F118" s="49">
        <f>VLOOKUP($A118,'Data shares'!$C:$FB,98)</f>
        <v>52380800</v>
      </c>
      <c r="G118" s="49">
        <f>VLOOKUP($A118,'Data shares'!$C:$FB,99)</f>
        <v>51292800</v>
      </c>
      <c r="H118" s="50">
        <f t="shared" si="4"/>
        <v>2.1211554058269386</v>
      </c>
      <c r="I118" s="49">
        <f>VLOOKUP($A118,'Data shares'!$C:$FB,66)</f>
        <v>23081600</v>
      </c>
      <c r="J118" s="49">
        <f>VLOOKUP($A118,'Data shares'!$C:$FB,67)</f>
        <v>41256400</v>
      </c>
      <c r="K118" s="50">
        <f t="shared" si="5"/>
        <v>-78.741508387633445</v>
      </c>
      <c r="L118" s="50">
        <f>VLOOKUP($A118,'Data shares'!$C:$FB,118)</f>
        <v>0.63</v>
      </c>
      <c r="M118" s="50">
        <f>VLOOKUP($A118,'Data shares'!$C:$FB,119)</f>
        <v>0.61</v>
      </c>
      <c r="N118" s="50">
        <f>VLOOKUP($A118,'Data shares'!$C:$FB,121)*100</f>
        <v>3.2800000000000002</v>
      </c>
      <c r="O118" s="50">
        <f>VLOOKUP($A118,'Data shares'!$C:$FB,124)</f>
        <v>0.62</v>
      </c>
      <c r="P118" s="50">
        <f>VLOOKUP($A118,'Data shares'!$C:$FB,125)</f>
        <v>0.64</v>
      </c>
      <c r="Q118" s="50">
        <f>VLOOKUP($A118,'Data shares'!$C:$FB,127)*100</f>
        <v>-3.1300000000000003</v>
      </c>
    </row>
    <row r="119" spans="1:17" x14ac:dyDescent="0.25">
      <c r="A119" s="97" t="str">
        <f>'Data Vlaue (Cr)'!C114</f>
        <v>KPITTECH</v>
      </c>
      <c r="B119" s="140">
        <f>VLOOKUP($A119,'Data shares'!$C:$FB,7)</f>
        <v>1208.5</v>
      </c>
      <c r="C119" s="140">
        <f>VLOOKUP($A119,'Data shares'!$C:$FB,3)</f>
        <v>1212.5999999999999</v>
      </c>
      <c r="D119" s="140">
        <f>VLOOKUP($A119,'Data shares'!$C:$FB,4)</f>
        <v>1141.0999999999999</v>
      </c>
      <c r="E119" s="50">
        <f t="shared" si="3"/>
        <v>6.265883796336869</v>
      </c>
      <c r="F119" s="49">
        <f>VLOOKUP($A119,'Data shares'!$C:$FB,98)</f>
        <v>6625325</v>
      </c>
      <c r="G119" s="49">
        <f>VLOOKUP($A119,'Data shares'!$C:$FB,99)</f>
        <v>6497400</v>
      </c>
      <c r="H119" s="50">
        <f t="shared" si="4"/>
        <v>1.9688644688644688</v>
      </c>
      <c r="I119" s="49">
        <f>VLOOKUP($A119,'Data shares'!$C:$FB,66)</f>
        <v>20992450</v>
      </c>
      <c r="J119" s="49">
        <f>VLOOKUP($A119,'Data shares'!$C:$FB,67)</f>
        <v>2980950</v>
      </c>
      <c r="K119" s="50">
        <f t="shared" si="5"/>
        <v>85.799894724055562</v>
      </c>
      <c r="L119" s="50">
        <f>VLOOKUP($A119,'Data shares'!$C:$FB,118)</f>
        <v>0.95</v>
      </c>
      <c r="M119" s="50">
        <f>VLOOKUP($A119,'Data shares'!$C:$FB,119)</f>
        <v>0.72</v>
      </c>
      <c r="N119" s="50">
        <f>VLOOKUP($A119,'Data shares'!$C:$FB,121)*100</f>
        <v>31.94</v>
      </c>
      <c r="O119" s="50">
        <f>VLOOKUP($A119,'Data shares'!$C:$FB,124)</f>
        <v>0.24</v>
      </c>
      <c r="P119" s="50">
        <f>VLOOKUP($A119,'Data shares'!$C:$FB,125)</f>
        <v>0.3</v>
      </c>
      <c r="Q119" s="50">
        <f>VLOOKUP($A119,'Data shares'!$C:$FB,127)*100</f>
        <v>-20</v>
      </c>
    </row>
    <row r="120" spans="1:17" x14ac:dyDescent="0.25">
      <c r="A120" s="97" t="str">
        <f>'Data Vlaue (Cr)'!C115</f>
        <v>LAURUSLABS</v>
      </c>
      <c r="B120" s="140">
        <f>VLOOKUP($A120,'Data shares'!$C:$FB,7)</f>
        <v>1128.5</v>
      </c>
      <c r="C120" s="140">
        <f>VLOOKUP($A120,'Data shares'!$C:$FB,3)</f>
        <v>1134.4000000000001</v>
      </c>
      <c r="D120" s="140">
        <f>VLOOKUP($A120,'Data shares'!$C:$FB,4)</f>
        <v>1121.5999999999999</v>
      </c>
      <c r="E120" s="50">
        <f t="shared" si="3"/>
        <v>1.1412268188302588</v>
      </c>
      <c r="F120" s="49">
        <f>VLOOKUP($A120,'Data shares'!$C:$FB,98)</f>
        <v>27906350</v>
      </c>
      <c r="G120" s="49">
        <f>VLOOKUP($A120,'Data shares'!$C:$FB,99)</f>
        <v>26197850</v>
      </c>
      <c r="H120" s="50">
        <f t="shared" si="4"/>
        <v>6.521527529930891</v>
      </c>
      <c r="I120" s="49">
        <f>VLOOKUP($A120,'Data shares'!$C:$FB,66)</f>
        <v>22523300</v>
      </c>
      <c r="J120" s="49">
        <f>VLOOKUP($A120,'Data shares'!$C:$FB,67)</f>
        <v>15832950</v>
      </c>
      <c r="K120" s="50">
        <f t="shared" si="5"/>
        <v>29.704128613480265</v>
      </c>
      <c r="L120" s="50">
        <f>VLOOKUP($A120,'Data shares'!$C:$FB,118)</f>
        <v>0.8</v>
      </c>
      <c r="M120" s="50">
        <f>VLOOKUP($A120,'Data shares'!$C:$FB,119)</f>
        <v>0.74</v>
      </c>
      <c r="N120" s="50">
        <f>VLOOKUP($A120,'Data shares'!$C:$FB,121)*100</f>
        <v>8.1100000000000012</v>
      </c>
      <c r="O120" s="50">
        <f>VLOOKUP($A120,'Data shares'!$C:$FB,124)</f>
        <v>0.54</v>
      </c>
      <c r="P120" s="50">
        <f>VLOOKUP($A120,'Data shares'!$C:$FB,125)</f>
        <v>0.5</v>
      </c>
      <c r="Q120" s="50">
        <f>VLOOKUP($A120,'Data shares'!$C:$FB,127)*100</f>
        <v>8</v>
      </c>
    </row>
    <row r="121" spans="1:17" x14ac:dyDescent="0.25">
      <c r="A121" s="97" t="str">
        <f>'Data Vlaue (Cr)'!C116</f>
        <v>LICHSGFIN</v>
      </c>
      <c r="B121" s="140">
        <f>VLOOKUP($A121,'Data shares'!$C:$FB,7)</f>
        <v>538.20000000000005</v>
      </c>
      <c r="C121" s="140">
        <f>VLOOKUP($A121,'Data shares'!$C:$FB,3)</f>
        <v>539.6</v>
      </c>
      <c r="D121" s="140">
        <f>VLOOKUP($A121,'Data shares'!$C:$FB,4)</f>
        <v>542.04999999999995</v>
      </c>
      <c r="E121" s="50">
        <f t="shared" si="3"/>
        <v>-0.45198782400146331</v>
      </c>
      <c r="F121" s="49">
        <f>VLOOKUP($A121,'Data shares'!$C:$FB,98)</f>
        <v>48705000</v>
      </c>
      <c r="G121" s="49">
        <f>VLOOKUP($A121,'Data shares'!$C:$FB,99)</f>
        <v>46873000</v>
      </c>
      <c r="H121" s="50">
        <f t="shared" si="4"/>
        <v>3.9084334264928642</v>
      </c>
      <c r="I121" s="49">
        <f>VLOOKUP($A121,'Data shares'!$C:$FB,66)</f>
        <v>9960000</v>
      </c>
      <c r="J121" s="49">
        <f>VLOOKUP($A121,'Data shares'!$C:$FB,67)</f>
        <v>6381000</v>
      </c>
      <c r="K121" s="50">
        <f t="shared" si="5"/>
        <v>35.933734939759034</v>
      </c>
      <c r="L121" s="50">
        <f>VLOOKUP($A121,'Data shares'!$C:$FB,118)</f>
        <v>1.1200000000000001</v>
      </c>
      <c r="M121" s="50">
        <f>VLOOKUP($A121,'Data shares'!$C:$FB,119)</f>
        <v>1.06</v>
      </c>
      <c r="N121" s="50">
        <f>VLOOKUP($A121,'Data shares'!$C:$FB,121)*100</f>
        <v>5.66</v>
      </c>
      <c r="O121" s="50">
        <f>VLOOKUP($A121,'Data shares'!$C:$FB,124)</f>
        <v>0.9</v>
      </c>
      <c r="P121" s="50">
        <f>VLOOKUP($A121,'Data shares'!$C:$FB,125)</f>
        <v>0.53</v>
      </c>
      <c r="Q121" s="50">
        <f>VLOOKUP($A121,'Data shares'!$C:$FB,127)*100</f>
        <v>69.81</v>
      </c>
    </row>
    <row r="122" spans="1:17" x14ac:dyDescent="0.25">
      <c r="A122" s="97" t="str">
        <f>'Data Vlaue (Cr)'!C117</f>
        <v>LICI</v>
      </c>
      <c r="B122" s="140">
        <f>VLOOKUP($A122,'Data shares'!$C:$FB,7)</f>
        <v>851.95</v>
      </c>
      <c r="C122" s="140">
        <f>VLOOKUP($A122,'Data shares'!$C:$FB,3)</f>
        <v>853.7</v>
      </c>
      <c r="D122" s="140">
        <f>VLOOKUP($A122,'Data shares'!$C:$FB,4)</f>
        <v>854.35</v>
      </c>
      <c r="E122" s="50">
        <f t="shared" si="3"/>
        <v>-7.6081231345464656E-2</v>
      </c>
      <c r="F122" s="49">
        <f>VLOOKUP($A122,'Data shares'!$C:$FB,98)</f>
        <v>20490400</v>
      </c>
      <c r="G122" s="49">
        <f>VLOOKUP($A122,'Data shares'!$C:$FB,99)</f>
        <v>19784800</v>
      </c>
      <c r="H122" s="50">
        <f t="shared" si="4"/>
        <v>3.5663741862439853</v>
      </c>
      <c r="I122" s="49">
        <f>VLOOKUP($A122,'Data shares'!$C:$FB,66)</f>
        <v>4929400</v>
      </c>
      <c r="J122" s="49">
        <f>VLOOKUP($A122,'Data shares'!$C:$FB,67)</f>
        <v>5978700</v>
      </c>
      <c r="K122" s="50">
        <f t="shared" si="5"/>
        <v>-21.28656631638739</v>
      </c>
      <c r="L122" s="50">
        <f>VLOOKUP($A122,'Data shares'!$C:$FB,118)</f>
        <v>0.7</v>
      </c>
      <c r="M122" s="50">
        <f>VLOOKUP($A122,'Data shares'!$C:$FB,119)</f>
        <v>0.7</v>
      </c>
      <c r="N122" s="50">
        <f>VLOOKUP($A122,'Data shares'!$C:$FB,121)*100</f>
        <v>0</v>
      </c>
      <c r="O122" s="50">
        <f>VLOOKUP($A122,'Data shares'!$C:$FB,124)</f>
        <v>0.45</v>
      </c>
      <c r="P122" s="50">
        <f>VLOOKUP($A122,'Data shares'!$C:$FB,125)</f>
        <v>0.34</v>
      </c>
      <c r="Q122" s="50">
        <f>VLOOKUP($A122,'Data shares'!$C:$FB,127)*100</f>
        <v>32.35</v>
      </c>
    </row>
    <row r="123" spans="1:17" x14ac:dyDescent="0.25">
      <c r="A123" s="97" t="str">
        <f>'Data Vlaue (Cr)'!C118</f>
        <v>LODHA</v>
      </c>
      <c r="B123" s="140">
        <f>VLOOKUP($A123,'Data shares'!$C:$FB,7)</f>
        <v>1110.9000000000001</v>
      </c>
      <c r="C123" s="140">
        <f>VLOOKUP($A123,'Data shares'!$C:$FB,3)</f>
        <v>1114.7</v>
      </c>
      <c r="D123" s="140">
        <f>VLOOKUP($A123,'Data shares'!$C:$FB,4)</f>
        <v>1114.5</v>
      </c>
      <c r="E123" s="50">
        <f t="shared" si="3"/>
        <v>1.794526693584975E-2</v>
      </c>
      <c r="F123" s="49">
        <f>VLOOKUP($A123,'Data shares'!$C:$FB,98)</f>
        <v>17053650</v>
      </c>
      <c r="G123" s="49">
        <f>VLOOKUP($A123,'Data shares'!$C:$FB,99)</f>
        <v>16609950</v>
      </c>
      <c r="H123" s="50">
        <f t="shared" si="4"/>
        <v>2.671290401235404</v>
      </c>
      <c r="I123" s="49">
        <f>VLOOKUP($A123,'Data shares'!$C:$FB,66)</f>
        <v>10356300</v>
      </c>
      <c r="J123" s="49">
        <f>VLOOKUP($A123,'Data shares'!$C:$FB,67)</f>
        <v>4936500</v>
      </c>
      <c r="K123" s="50">
        <f t="shared" si="5"/>
        <v>52.333362301207963</v>
      </c>
      <c r="L123" s="50">
        <f>VLOOKUP($A123,'Data shares'!$C:$FB,118)</f>
        <v>0.68</v>
      </c>
      <c r="M123" s="50">
        <f>VLOOKUP($A123,'Data shares'!$C:$FB,119)</f>
        <v>0.78</v>
      </c>
      <c r="N123" s="50">
        <f>VLOOKUP($A123,'Data shares'!$C:$FB,121)*100</f>
        <v>-12.82</v>
      </c>
      <c r="O123" s="50">
        <f>VLOOKUP($A123,'Data shares'!$C:$FB,124)</f>
        <v>0.39</v>
      </c>
      <c r="P123" s="50">
        <f>VLOOKUP($A123,'Data shares'!$C:$FB,125)</f>
        <v>0.46</v>
      </c>
      <c r="Q123" s="50">
        <f>VLOOKUP($A123,'Data shares'!$C:$FB,127)*100</f>
        <v>-15.22</v>
      </c>
    </row>
    <row r="124" spans="1:17" x14ac:dyDescent="0.25">
      <c r="A124" s="97" t="str">
        <f>'Data Vlaue (Cr)'!C119</f>
        <v>LT</v>
      </c>
      <c r="B124" s="140">
        <f>VLOOKUP($A124,'Data shares'!$C:$FB,7)</f>
        <v>4157</v>
      </c>
      <c r="C124" s="140">
        <f>VLOOKUP($A124,'Data shares'!$C:$FB,3)</f>
        <v>4164.3</v>
      </c>
      <c r="D124" s="140">
        <f>VLOOKUP($A124,'Data shares'!$C:$FB,4)</f>
        <v>4160.1000000000004</v>
      </c>
      <c r="E124" s="50">
        <f t="shared" si="3"/>
        <v>0.10095911155981389</v>
      </c>
      <c r="F124" s="49">
        <f>VLOOKUP($A124,'Data shares'!$C:$FB,98)</f>
        <v>19313350</v>
      </c>
      <c r="G124" s="49">
        <f>VLOOKUP($A124,'Data shares'!$C:$FB,99)</f>
        <v>18902800</v>
      </c>
      <c r="H124" s="50">
        <f t="shared" si="4"/>
        <v>2.1719004591912312</v>
      </c>
      <c r="I124" s="49">
        <f>VLOOKUP($A124,'Data shares'!$C:$FB,66)</f>
        <v>8455475</v>
      </c>
      <c r="J124" s="49">
        <f>VLOOKUP($A124,'Data shares'!$C:$FB,67)</f>
        <v>6860350</v>
      </c>
      <c r="K124" s="50">
        <f t="shared" si="5"/>
        <v>18.864995757186911</v>
      </c>
      <c r="L124" s="50">
        <f>VLOOKUP($A124,'Data shares'!$C:$FB,118)</f>
        <v>0.67</v>
      </c>
      <c r="M124" s="50">
        <f>VLOOKUP($A124,'Data shares'!$C:$FB,119)</f>
        <v>0.73</v>
      </c>
      <c r="N124" s="50">
        <f>VLOOKUP($A124,'Data shares'!$C:$FB,121)*100</f>
        <v>-8.2199999999999989</v>
      </c>
      <c r="O124" s="50">
        <f>VLOOKUP($A124,'Data shares'!$C:$FB,124)</f>
        <v>0.64</v>
      </c>
      <c r="P124" s="50">
        <f>VLOOKUP($A124,'Data shares'!$C:$FB,125)</f>
        <v>0.49</v>
      </c>
      <c r="Q124" s="50">
        <f>VLOOKUP($A124,'Data shares'!$C:$FB,127)*100</f>
        <v>30.61</v>
      </c>
    </row>
    <row r="125" spans="1:17" x14ac:dyDescent="0.25">
      <c r="A125" s="97" t="str">
        <f>'Data Vlaue (Cr)'!C120</f>
        <v>LTF</v>
      </c>
      <c r="B125" s="140">
        <f>VLOOKUP($A125,'Data shares'!$C:$FB,7)</f>
        <v>313.95</v>
      </c>
      <c r="C125" s="140">
        <f>VLOOKUP($A125,'Data shares'!$C:$FB,3)</f>
        <v>314.2</v>
      </c>
      <c r="D125" s="140">
        <f>VLOOKUP($A125,'Data shares'!$C:$FB,4)</f>
        <v>319.75</v>
      </c>
      <c r="E125" s="50">
        <f t="shared" si="3"/>
        <v>-1.735731039874906</v>
      </c>
      <c r="F125" s="49">
        <f>VLOOKUP($A125,'Data shares'!$C:$FB,98)</f>
        <v>79875000</v>
      </c>
      <c r="G125" s="49">
        <f>VLOOKUP($A125,'Data shares'!$C:$FB,99)</f>
        <v>77760000</v>
      </c>
      <c r="H125" s="50">
        <f t="shared" si="4"/>
        <v>2.7199074074074074</v>
      </c>
      <c r="I125" s="49">
        <f>VLOOKUP($A125,'Data shares'!$C:$FB,66)</f>
        <v>54940500</v>
      </c>
      <c r="J125" s="49">
        <f>VLOOKUP($A125,'Data shares'!$C:$FB,67)</f>
        <v>86253750</v>
      </c>
      <c r="K125" s="50">
        <f t="shared" si="5"/>
        <v>-56.994839872225413</v>
      </c>
      <c r="L125" s="50">
        <f>VLOOKUP($A125,'Data shares'!$C:$FB,118)</f>
        <v>0.65</v>
      </c>
      <c r="M125" s="50">
        <f>VLOOKUP($A125,'Data shares'!$C:$FB,119)</f>
        <v>0.71</v>
      </c>
      <c r="N125" s="50">
        <f>VLOOKUP($A125,'Data shares'!$C:$FB,121)*100</f>
        <v>-8.4500000000000011</v>
      </c>
      <c r="O125" s="50">
        <f>VLOOKUP($A125,'Data shares'!$C:$FB,124)</f>
        <v>0.6</v>
      </c>
      <c r="P125" s="50">
        <f>VLOOKUP($A125,'Data shares'!$C:$FB,125)</f>
        <v>0.43</v>
      </c>
      <c r="Q125" s="50">
        <f>VLOOKUP($A125,'Data shares'!$C:$FB,127)*100</f>
        <v>39.53</v>
      </c>
    </row>
    <row r="126" spans="1:17" x14ac:dyDescent="0.25">
      <c r="A126" s="97" t="str">
        <f>'Data Vlaue (Cr)'!C121</f>
        <v>LTIM</v>
      </c>
      <c r="B126" s="140">
        <f>VLOOKUP($A126,'Data shares'!$C:$FB,7)</f>
        <v>6102</v>
      </c>
      <c r="C126" s="140">
        <f>VLOOKUP($A126,'Data shares'!$C:$FB,3)</f>
        <v>6133</v>
      </c>
      <c r="D126" s="140">
        <f>VLOOKUP($A126,'Data shares'!$C:$FB,4)</f>
        <v>6013.5</v>
      </c>
      <c r="E126" s="50">
        <f t="shared" si="3"/>
        <v>1.9871954768437683</v>
      </c>
      <c r="F126" s="49">
        <f>VLOOKUP($A126,'Data shares'!$C:$FB,98)</f>
        <v>3870600</v>
      </c>
      <c r="G126" s="49">
        <f>VLOOKUP($A126,'Data shares'!$C:$FB,99)</f>
        <v>3778050</v>
      </c>
      <c r="H126" s="50">
        <f t="shared" si="4"/>
        <v>2.4496764203755905</v>
      </c>
      <c r="I126" s="49">
        <f>VLOOKUP($A126,'Data shares'!$C:$FB,66)</f>
        <v>2846250</v>
      </c>
      <c r="J126" s="49">
        <f>VLOOKUP($A126,'Data shares'!$C:$FB,67)</f>
        <v>2673300</v>
      </c>
      <c r="K126" s="50">
        <f t="shared" si="5"/>
        <v>6.0764163372859024</v>
      </c>
      <c r="L126" s="50">
        <f>VLOOKUP($A126,'Data shares'!$C:$FB,118)</f>
        <v>0.8</v>
      </c>
      <c r="M126" s="50">
        <f>VLOOKUP($A126,'Data shares'!$C:$FB,119)</f>
        <v>0.85</v>
      </c>
      <c r="N126" s="50">
        <f>VLOOKUP($A126,'Data shares'!$C:$FB,121)*100</f>
        <v>-5.88</v>
      </c>
      <c r="O126" s="50">
        <f>VLOOKUP($A126,'Data shares'!$C:$FB,124)</f>
        <v>0.45</v>
      </c>
      <c r="P126" s="50">
        <f>VLOOKUP($A126,'Data shares'!$C:$FB,125)</f>
        <v>0.93</v>
      </c>
      <c r="Q126" s="50">
        <f>VLOOKUP($A126,'Data shares'!$C:$FB,127)*100</f>
        <v>-51.61</v>
      </c>
    </row>
    <row r="127" spans="1:17" x14ac:dyDescent="0.25">
      <c r="A127" s="97" t="str">
        <f>'Data Vlaue (Cr)'!C122</f>
        <v>LUPIN</v>
      </c>
      <c r="B127" s="140">
        <f>VLOOKUP($A127,'Data shares'!$C:$FB,7)</f>
        <v>2214.3000000000002</v>
      </c>
      <c r="C127" s="140">
        <f>VLOOKUP($A127,'Data shares'!$C:$FB,3)</f>
        <v>2223.9</v>
      </c>
      <c r="D127" s="140">
        <f>VLOOKUP($A127,'Data shares'!$C:$FB,4)</f>
        <v>2161.9</v>
      </c>
      <c r="E127" s="50">
        <f t="shared" si="3"/>
        <v>2.8678477265368425</v>
      </c>
      <c r="F127" s="49">
        <f>VLOOKUP($A127,'Data shares'!$C:$FB,98)</f>
        <v>11566800</v>
      </c>
      <c r="G127" s="49">
        <f>VLOOKUP($A127,'Data shares'!$C:$FB,99)</f>
        <v>10503875</v>
      </c>
      <c r="H127" s="50">
        <f t="shared" si="4"/>
        <v>10.119360712118148</v>
      </c>
      <c r="I127" s="49">
        <f>VLOOKUP($A127,'Data shares'!$C:$FB,66)</f>
        <v>23969150</v>
      </c>
      <c r="J127" s="49">
        <f>VLOOKUP($A127,'Data shares'!$C:$FB,67)</f>
        <v>14295725</v>
      </c>
      <c r="K127" s="50">
        <f t="shared" si="5"/>
        <v>40.357814106883225</v>
      </c>
      <c r="L127" s="50">
        <f>VLOOKUP($A127,'Data shares'!$C:$FB,118)</f>
        <v>0.79</v>
      </c>
      <c r="M127" s="50">
        <f>VLOOKUP($A127,'Data shares'!$C:$FB,119)</f>
        <v>0.7</v>
      </c>
      <c r="N127" s="50">
        <f>VLOOKUP($A127,'Data shares'!$C:$FB,121)*100</f>
        <v>12.86</v>
      </c>
      <c r="O127" s="50">
        <f>VLOOKUP($A127,'Data shares'!$C:$FB,124)</f>
        <v>0.35</v>
      </c>
      <c r="P127" s="50">
        <f>VLOOKUP($A127,'Data shares'!$C:$FB,125)</f>
        <v>0.27</v>
      </c>
      <c r="Q127" s="50">
        <f>VLOOKUP($A127,'Data shares'!$C:$FB,127)*100</f>
        <v>29.630000000000003</v>
      </c>
    </row>
    <row r="128" spans="1:17" x14ac:dyDescent="0.25">
      <c r="A128" s="97" t="str">
        <f>'Data Vlaue (Cr)'!C123</f>
        <v>M&amp;M</v>
      </c>
      <c r="B128" s="140">
        <f>VLOOKUP($A128,'Data shares'!$C:$FB,7)</f>
        <v>3748.8</v>
      </c>
      <c r="C128" s="140">
        <f>VLOOKUP($A128,'Data shares'!$C:$FB,3)</f>
        <v>3758.5</v>
      </c>
      <c r="D128" s="140">
        <f>VLOOKUP($A128,'Data shares'!$C:$FB,4)</f>
        <v>3802.9</v>
      </c>
      <c r="E128" s="50">
        <f t="shared" si="3"/>
        <v>-1.1675300428620285</v>
      </c>
      <c r="F128" s="49">
        <f>VLOOKUP($A128,'Data shares'!$C:$FB,98)</f>
        <v>23499800</v>
      </c>
      <c r="G128" s="49">
        <f>VLOOKUP($A128,'Data shares'!$C:$FB,99)</f>
        <v>23188600</v>
      </c>
      <c r="H128" s="50">
        <f t="shared" si="4"/>
        <v>1.3420387604253814</v>
      </c>
      <c r="I128" s="49">
        <f>VLOOKUP($A128,'Data shares'!$C:$FB,66)</f>
        <v>9353200</v>
      </c>
      <c r="J128" s="49">
        <f>VLOOKUP($A128,'Data shares'!$C:$FB,67)</f>
        <v>7868400</v>
      </c>
      <c r="K128" s="50">
        <f t="shared" si="5"/>
        <v>15.874780823675319</v>
      </c>
      <c r="L128" s="50">
        <f>VLOOKUP($A128,'Data shares'!$C:$FB,118)</f>
        <v>0.62</v>
      </c>
      <c r="M128" s="50">
        <f>VLOOKUP($A128,'Data shares'!$C:$FB,119)</f>
        <v>0.73</v>
      </c>
      <c r="N128" s="50">
        <f>VLOOKUP($A128,'Data shares'!$C:$FB,121)*100</f>
        <v>-15.07</v>
      </c>
      <c r="O128" s="50">
        <f>VLOOKUP($A128,'Data shares'!$C:$FB,124)</f>
        <v>0.63</v>
      </c>
      <c r="P128" s="50">
        <f>VLOOKUP($A128,'Data shares'!$C:$FB,125)</f>
        <v>0.78</v>
      </c>
      <c r="Q128" s="50">
        <f>VLOOKUP($A128,'Data shares'!$C:$FB,127)*100</f>
        <v>-19.23</v>
      </c>
    </row>
    <row r="129" spans="1:17" x14ac:dyDescent="0.25">
      <c r="A129" s="97" t="str">
        <f>'Data Vlaue (Cr)'!C124</f>
        <v>MANAPPURAM</v>
      </c>
      <c r="B129" s="140">
        <f>VLOOKUP($A129,'Data shares'!$C:$FB,7)</f>
        <v>319.89999999999998</v>
      </c>
      <c r="C129" s="140">
        <f>VLOOKUP($A129,'Data shares'!$C:$FB,3)</f>
        <v>320.55</v>
      </c>
      <c r="D129" s="140">
        <f>VLOOKUP($A129,'Data shares'!$C:$FB,4)</f>
        <v>308.85000000000002</v>
      </c>
      <c r="E129" s="50">
        <f t="shared" si="3"/>
        <v>3.7882467217095637</v>
      </c>
      <c r="F129" s="49">
        <f>VLOOKUP($A129,'Data shares'!$C:$FB,98)</f>
        <v>73380000</v>
      </c>
      <c r="G129" s="49">
        <f>VLOOKUP($A129,'Data shares'!$C:$FB,99)</f>
        <v>67467000</v>
      </c>
      <c r="H129" s="50">
        <f t="shared" si="4"/>
        <v>8.7642847614389261</v>
      </c>
      <c r="I129" s="49">
        <f>VLOOKUP($A129,'Data shares'!$C:$FB,66)</f>
        <v>102120000</v>
      </c>
      <c r="J129" s="49">
        <f>VLOOKUP($A129,'Data shares'!$C:$FB,67)</f>
        <v>22320000</v>
      </c>
      <c r="K129" s="50">
        <f t="shared" si="5"/>
        <v>78.143360752056395</v>
      </c>
      <c r="L129" s="50">
        <f>VLOOKUP($A129,'Data shares'!$C:$FB,118)</f>
        <v>0.56999999999999995</v>
      </c>
      <c r="M129" s="50">
        <f>VLOOKUP($A129,'Data shares'!$C:$FB,119)</f>
        <v>0.56000000000000005</v>
      </c>
      <c r="N129" s="50">
        <f>VLOOKUP($A129,'Data shares'!$C:$FB,121)*100</f>
        <v>1.79</v>
      </c>
      <c r="O129" s="50">
        <f>VLOOKUP($A129,'Data shares'!$C:$FB,124)</f>
        <v>0.21</v>
      </c>
      <c r="P129" s="50">
        <f>VLOOKUP($A129,'Data shares'!$C:$FB,125)</f>
        <v>0.34</v>
      </c>
      <c r="Q129" s="50">
        <f>VLOOKUP($A129,'Data shares'!$C:$FB,127)*100</f>
        <v>-38.24</v>
      </c>
    </row>
    <row r="130" spans="1:17" x14ac:dyDescent="0.25">
      <c r="A130" s="97" t="str">
        <f>'Data Vlaue (Cr)'!C125</f>
        <v>MANKIND</v>
      </c>
      <c r="B130" s="140">
        <f>VLOOKUP($A130,'Data shares'!$C:$FB,7)</f>
        <v>2311.8000000000002</v>
      </c>
      <c r="C130" s="140">
        <f>VLOOKUP($A130,'Data shares'!$C:$FB,3)</f>
        <v>2312.4</v>
      </c>
      <c r="D130" s="140">
        <f>VLOOKUP($A130,'Data shares'!$C:$FB,4)</f>
        <v>2245.1999999999998</v>
      </c>
      <c r="E130" s="50">
        <f t="shared" si="3"/>
        <v>2.9930518439337375</v>
      </c>
      <c r="F130" s="49">
        <f>VLOOKUP($A130,'Data shares'!$C:$FB,98)</f>
        <v>3236625</v>
      </c>
      <c r="G130" s="49">
        <f>VLOOKUP($A130,'Data shares'!$C:$FB,99)</f>
        <v>2935800</v>
      </c>
      <c r="H130" s="50">
        <f t="shared" si="4"/>
        <v>10.246781115879829</v>
      </c>
      <c r="I130" s="49">
        <f>VLOOKUP($A130,'Data shares'!$C:$FB,66)</f>
        <v>6253875</v>
      </c>
      <c r="J130" s="49">
        <f>VLOOKUP($A130,'Data shares'!$C:$FB,67)</f>
        <v>1534275</v>
      </c>
      <c r="K130" s="50">
        <f t="shared" si="5"/>
        <v>75.46681057744199</v>
      </c>
      <c r="L130" s="50">
        <f>VLOOKUP($A130,'Data shares'!$C:$FB,118)</f>
        <v>0.65</v>
      </c>
      <c r="M130" s="50">
        <f>VLOOKUP($A130,'Data shares'!$C:$FB,119)</f>
        <v>0.76</v>
      </c>
      <c r="N130" s="50">
        <f>VLOOKUP($A130,'Data shares'!$C:$FB,121)*100</f>
        <v>-14.469999999999999</v>
      </c>
      <c r="O130" s="50">
        <f>VLOOKUP($A130,'Data shares'!$C:$FB,124)</f>
        <v>0.21</v>
      </c>
      <c r="P130" s="50">
        <f>VLOOKUP($A130,'Data shares'!$C:$FB,125)</f>
        <v>0.09</v>
      </c>
      <c r="Q130" s="50">
        <f>VLOOKUP($A130,'Data shares'!$C:$FB,127)*100</f>
        <v>133.32999999999998</v>
      </c>
    </row>
    <row r="131" spans="1:17" x14ac:dyDescent="0.25">
      <c r="A131" s="97" t="str">
        <f>'Data Vlaue (Cr)'!C126</f>
        <v>MARICO</v>
      </c>
      <c r="B131" s="140">
        <f>VLOOKUP($A131,'Data shares'!$C:$FB,7)</f>
        <v>773.8</v>
      </c>
      <c r="C131" s="140">
        <f>VLOOKUP($A131,'Data shares'!$C:$FB,3)</f>
        <v>775.15</v>
      </c>
      <c r="D131" s="140">
        <f>VLOOKUP($A131,'Data shares'!$C:$FB,4)</f>
        <v>781.05</v>
      </c>
      <c r="E131" s="50">
        <f t="shared" si="3"/>
        <v>-0.7553933807054577</v>
      </c>
      <c r="F131" s="49">
        <f>VLOOKUP($A131,'Data shares'!$C:$FB,98)</f>
        <v>41737200</v>
      </c>
      <c r="G131" s="49">
        <f>VLOOKUP($A131,'Data shares'!$C:$FB,99)</f>
        <v>40582800</v>
      </c>
      <c r="H131" s="50">
        <f t="shared" si="4"/>
        <v>2.8445548360389128</v>
      </c>
      <c r="I131" s="49">
        <f>VLOOKUP($A131,'Data shares'!$C:$FB,66)</f>
        <v>12118800</v>
      </c>
      <c r="J131" s="49">
        <f>VLOOKUP($A131,'Data shares'!$C:$FB,67)</f>
        <v>19537200</v>
      </c>
      <c r="K131" s="50">
        <f t="shared" si="5"/>
        <v>-61.213981582334888</v>
      </c>
      <c r="L131" s="50">
        <f>VLOOKUP($A131,'Data shares'!$C:$FB,118)</f>
        <v>0.6</v>
      </c>
      <c r="M131" s="50">
        <f>VLOOKUP($A131,'Data shares'!$C:$FB,119)</f>
        <v>0.64</v>
      </c>
      <c r="N131" s="50">
        <f>VLOOKUP($A131,'Data shares'!$C:$FB,121)*100</f>
        <v>-6.25</v>
      </c>
      <c r="O131" s="50">
        <f>VLOOKUP($A131,'Data shares'!$C:$FB,124)</f>
        <v>0.35</v>
      </c>
      <c r="P131" s="50">
        <f>VLOOKUP($A131,'Data shares'!$C:$FB,125)</f>
        <v>0.3</v>
      </c>
      <c r="Q131" s="50">
        <f>VLOOKUP($A131,'Data shares'!$C:$FB,127)*100</f>
        <v>16.669999999999998</v>
      </c>
    </row>
    <row r="132" spans="1:17" x14ac:dyDescent="0.25">
      <c r="A132" s="97" t="str">
        <f>'Data Vlaue (Cr)'!C127</f>
        <v>MARUTI</v>
      </c>
      <c r="B132" s="140">
        <f>VLOOKUP($A132,'Data shares'!$C:$FB,7)</f>
        <v>16809</v>
      </c>
      <c r="C132" s="140">
        <f>VLOOKUP($A132,'Data shares'!$C:$FB,3)</f>
        <v>16875</v>
      </c>
      <c r="D132" s="140">
        <f>VLOOKUP($A132,'Data shares'!$C:$FB,4)</f>
        <v>17330</v>
      </c>
      <c r="E132" s="50">
        <f t="shared" si="3"/>
        <v>-2.6255049047893828</v>
      </c>
      <c r="F132" s="49">
        <f>VLOOKUP($A132,'Data shares'!$C:$FB,98)</f>
        <v>5709800</v>
      </c>
      <c r="G132" s="49">
        <f>VLOOKUP($A132,'Data shares'!$C:$FB,99)</f>
        <v>5423600</v>
      </c>
      <c r="H132" s="50">
        <f t="shared" si="4"/>
        <v>5.2769378272733984</v>
      </c>
      <c r="I132" s="49">
        <f>VLOOKUP($A132,'Data shares'!$C:$FB,66)</f>
        <v>18679050</v>
      </c>
      <c r="J132" s="49">
        <f>VLOOKUP($A132,'Data shares'!$C:$FB,67)</f>
        <v>3715200</v>
      </c>
      <c r="K132" s="50">
        <f t="shared" si="5"/>
        <v>80.11033751716495</v>
      </c>
      <c r="L132" s="50">
        <f>VLOOKUP($A132,'Data shares'!$C:$FB,118)</f>
        <v>0.69</v>
      </c>
      <c r="M132" s="50">
        <f>VLOOKUP($A132,'Data shares'!$C:$FB,119)</f>
        <v>1.07</v>
      </c>
      <c r="N132" s="50">
        <f>VLOOKUP($A132,'Data shares'!$C:$FB,121)*100</f>
        <v>-35.510000000000005</v>
      </c>
      <c r="O132" s="50">
        <f>VLOOKUP($A132,'Data shares'!$C:$FB,124)</f>
        <v>1.1100000000000001</v>
      </c>
      <c r="P132" s="50">
        <f>VLOOKUP($A132,'Data shares'!$C:$FB,125)</f>
        <v>0.69</v>
      </c>
      <c r="Q132" s="50">
        <f>VLOOKUP($A132,'Data shares'!$C:$FB,127)*100</f>
        <v>60.870000000000005</v>
      </c>
    </row>
    <row r="133" spans="1:17" x14ac:dyDescent="0.25">
      <c r="A133" s="97" t="str">
        <f>'Data Vlaue (Cr)'!C128</f>
        <v>MAXHEALTH</v>
      </c>
      <c r="B133" s="140">
        <f>VLOOKUP($A133,'Data shares'!$C:$FB,7)</f>
        <v>1034.7</v>
      </c>
      <c r="C133" s="140">
        <f>VLOOKUP($A133,'Data shares'!$C:$FB,3)</f>
        <v>1038.2</v>
      </c>
      <c r="D133" s="140">
        <f>VLOOKUP($A133,'Data shares'!$C:$FB,4)</f>
        <v>1056.5999999999999</v>
      </c>
      <c r="E133" s="50">
        <f t="shared" si="3"/>
        <v>-1.7414347908385259</v>
      </c>
      <c r="F133" s="49">
        <f>VLOOKUP($A133,'Data shares'!$C:$FB,98)</f>
        <v>27850725</v>
      </c>
      <c r="G133" s="49">
        <f>VLOOKUP($A133,'Data shares'!$C:$FB,99)</f>
        <v>26493600</v>
      </c>
      <c r="H133" s="50">
        <f t="shared" si="4"/>
        <v>5.1224635383639825</v>
      </c>
      <c r="I133" s="49">
        <f>VLOOKUP($A133,'Data shares'!$C:$FB,66)</f>
        <v>12709200</v>
      </c>
      <c r="J133" s="49">
        <f>VLOOKUP($A133,'Data shares'!$C:$FB,67)</f>
        <v>6915825</v>
      </c>
      <c r="K133" s="50">
        <f t="shared" si="5"/>
        <v>45.584104428288171</v>
      </c>
      <c r="L133" s="50">
        <f>VLOOKUP($A133,'Data shares'!$C:$FB,118)</f>
        <v>0.64</v>
      </c>
      <c r="M133" s="50">
        <f>VLOOKUP($A133,'Data shares'!$C:$FB,119)</f>
        <v>0.79</v>
      </c>
      <c r="N133" s="50">
        <f>VLOOKUP($A133,'Data shares'!$C:$FB,121)*100</f>
        <v>-18.990000000000002</v>
      </c>
      <c r="O133" s="50">
        <f>VLOOKUP($A133,'Data shares'!$C:$FB,124)</f>
        <v>0.51</v>
      </c>
      <c r="P133" s="50">
        <f>VLOOKUP($A133,'Data shares'!$C:$FB,125)</f>
        <v>0.3</v>
      </c>
      <c r="Q133" s="50">
        <f>VLOOKUP($A133,'Data shares'!$C:$FB,127)*100</f>
        <v>70</v>
      </c>
    </row>
    <row r="134" spans="1:17" x14ac:dyDescent="0.25">
      <c r="A134" s="97" t="str">
        <f>'Data Vlaue (Cr)'!C129</f>
        <v>MAZDOCK</v>
      </c>
      <c r="B134" s="140">
        <f>VLOOKUP($A134,'Data shares'!$C:$FB,7)</f>
        <v>2511.4</v>
      </c>
      <c r="C134" s="140">
        <f>VLOOKUP($A134,'Data shares'!$C:$FB,3)</f>
        <v>2523</v>
      </c>
      <c r="D134" s="140">
        <f>VLOOKUP($A134,'Data shares'!$C:$FB,4)</f>
        <v>2505</v>
      </c>
      <c r="E134" s="50">
        <f t="shared" si="3"/>
        <v>0.71856287425149701</v>
      </c>
      <c r="F134" s="49">
        <f>VLOOKUP($A134,'Data shares'!$C:$FB,98)</f>
        <v>11435800</v>
      </c>
      <c r="G134" s="49">
        <f>VLOOKUP($A134,'Data shares'!$C:$FB,99)</f>
        <v>11505400</v>
      </c>
      <c r="H134" s="50">
        <f t="shared" si="4"/>
        <v>-0.60493333565108565</v>
      </c>
      <c r="I134" s="49">
        <f>VLOOKUP($A134,'Data shares'!$C:$FB,66)</f>
        <v>5470000</v>
      </c>
      <c r="J134" s="49">
        <f>VLOOKUP($A134,'Data shares'!$C:$FB,67)</f>
        <v>4009600</v>
      </c>
      <c r="K134" s="50">
        <f t="shared" si="5"/>
        <v>26.698354661791591</v>
      </c>
      <c r="L134" s="50">
        <f>VLOOKUP($A134,'Data shares'!$C:$FB,118)</f>
        <v>0.52</v>
      </c>
      <c r="M134" s="50">
        <f>VLOOKUP($A134,'Data shares'!$C:$FB,119)</f>
        <v>0.52</v>
      </c>
      <c r="N134" s="50">
        <f>VLOOKUP($A134,'Data shares'!$C:$FB,121)*100</f>
        <v>0</v>
      </c>
      <c r="O134" s="50">
        <f>VLOOKUP($A134,'Data shares'!$C:$FB,124)</f>
        <v>0.33</v>
      </c>
      <c r="P134" s="50">
        <f>VLOOKUP($A134,'Data shares'!$C:$FB,125)</f>
        <v>0.41</v>
      </c>
      <c r="Q134" s="50">
        <f>VLOOKUP($A134,'Data shares'!$C:$FB,127)*100</f>
        <v>-19.509999999999998</v>
      </c>
    </row>
    <row r="135" spans="1:17" x14ac:dyDescent="0.25">
      <c r="A135" s="97" t="str">
        <f>'Data Vlaue (Cr)'!C130</f>
        <v>MCX</v>
      </c>
      <c r="B135" s="140">
        <f>VLOOKUP($A135,'Data shares'!$C:$FB,7)</f>
        <v>2305</v>
      </c>
      <c r="C135" s="140">
        <f>VLOOKUP($A135,'Data shares'!$C:$FB,3)</f>
        <v>2310</v>
      </c>
      <c r="D135" s="140">
        <f>VLOOKUP($A135,'Data shares'!$C:$FB,4)</f>
        <v>2260</v>
      </c>
      <c r="E135" s="50">
        <f t="shared" si="3"/>
        <v>2.2123893805309733</v>
      </c>
      <c r="F135" s="49">
        <f>VLOOKUP($A135,'Data shares'!$C:$FB,98)</f>
        <v>30596875</v>
      </c>
      <c r="G135" s="49">
        <f>VLOOKUP($A135,'Data shares'!$C:$FB,99)</f>
        <v>29654375</v>
      </c>
      <c r="H135" s="50">
        <f t="shared" si="4"/>
        <v>3.1782831369738869</v>
      </c>
      <c r="I135" s="49">
        <f>VLOOKUP($A135,'Data shares'!$C:$FB,66)</f>
        <v>46578125</v>
      </c>
      <c r="J135" s="49">
        <f>VLOOKUP($A135,'Data shares'!$C:$FB,67)</f>
        <v>33348750</v>
      </c>
      <c r="K135" s="50">
        <f t="shared" si="5"/>
        <v>28.402549480040257</v>
      </c>
      <c r="L135" s="50">
        <f>VLOOKUP($A135,'Data shares'!$C:$FB,118)</f>
        <v>0.75</v>
      </c>
      <c r="M135" s="50">
        <f>VLOOKUP($A135,'Data shares'!$C:$FB,119)</f>
        <v>0.67</v>
      </c>
      <c r="N135" s="50">
        <f>VLOOKUP($A135,'Data shares'!$C:$FB,121)*100</f>
        <v>11.940000000000001</v>
      </c>
      <c r="O135" s="50">
        <f>VLOOKUP($A135,'Data shares'!$C:$FB,124)</f>
        <v>0.46</v>
      </c>
      <c r="P135" s="50">
        <f>VLOOKUP($A135,'Data shares'!$C:$FB,125)</f>
        <v>0.41</v>
      </c>
      <c r="Q135" s="50">
        <f>VLOOKUP($A135,'Data shares'!$C:$FB,127)*100</f>
        <v>12.2</v>
      </c>
    </row>
    <row r="136" spans="1:17" x14ac:dyDescent="0.25">
      <c r="A136" s="97" t="str">
        <f>'Data Vlaue (Cr)'!C131</f>
        <v>MFSL</v>
      </c>
      <c r="B136" s="140">
        <f>VLOOKUP($A136,'Data shares'!$C:$FB,7)</f>
        <v>1727.1</v>
      </c>
      <c r="C136" s="140">
        <f>VLOOKUP($A136,'Data shares'!$C:$FB,3)</f>
        <v>1735.2</v>
      </c>
      <c r="D136" s="140">
        <f>VLOOKUP($A136,'Data shares'!$C:$FB,4)</f>
        <v>1740.6</v>
      </c>
      <c r="E136" s="50">
        <f t="shared" ref="E136:E172" si="6">(C136-D136)/D136*100</f>
        <v>-0.31023784901757234</v>
      </c>
      <c r="F136" s="49">
        <f>VLOOKUP($A136,'Data shares'!$C:$FB,98)</f>
        <v>11436400</v>
      </c>
      <c r="G136" s="49">
        <f>VLOOKUP($A136,'Data shares'!$C:$FB,99)</f>
        <v>10871200</v>
      </c>
      <c r="H136" s="50">
        <f t="shared" ref="H136:H172" si="7">(F136-G136)/G136*100</f>
        <v>5.1990580616675253</v>
      </c>
      <c r="I136" s="49">
        <f>VLOOKUP($A136,'Data shares'!$C:$FB,66)</f>
        <v>4611200</v>
      </c>
      <c r="J136" s="49">
        <f>VLOOKUP($A136,'Data shares'!$C:$FB,67)</f>
        <v>8821200</v>
      </c>
      <c r="K136" s="50">
        <f t="shared" ref="K136:K172" si="8">(I136-J136)/I136*100</f>
        <v>-91.29944482997918</v>
      </c>
      <c r="L136" s="50">
        <f>VLOOKUP($A136,'Data shares'!$C:$FB,118)</f>
        <v>0.68</v>
      </c>
      <c r="M136" s="50">
        <f>VLOOKUP($A136,'Data shares'!$C:$FB,119)</f>
        <v>0.75</v>
      </c>
      <c r="N136" s="50">
        <f>VLOOKUP($A136,'Data shares'!$C:$FB,121)*100</f>
        <v>-9.33</v>
      </c>
      <c r="O136" s="50">
        <f>VLOOKUP($A136,'Data shares'!$C:$FB,124)</f>
        <v>0.24</v>
      </c>
      <c r="P136" s="50">
        <f>VLOOKUP($A136,'Data shares'!$C:$FB,125)</f>
        <v>0.23</v>
      </c>
      <c r="Q136" s="50">
        <f>VLOOKUP($A136,'Data shares'!$C:$FB,127)*100</f>
        <v>4.3499999999999996</v>
      </c>
    </row>
    <row r="137" spans="1:17" x14ac:dyDescent="0.25">
      <c r="A137" s="97" t="str">
        <f>'Data Vlaue (Cr)'!C132</f>
        <v>MIDCPNIFTY</v>
      </c>
      <c r="B137" s="140">
        <f>VLOOKUP($A137,'Data shares'!$C:$FB,7)</f>
        <v>14053.4</v>
      </c>
      <c r="C137" s="140">
        <f>VLOOKUP($A137,'Data shares'!$C:$FB,3)</f>
        <v>14113.4</v>
      </c>
      <c r="D137" s="140">
        <f>VLOOKUP($A137,'Data shares'!$C:$FB,4)</f>
        <v>14007.65</v>
      </c>
      <c r="E137" s="50">
        <f t="shared" si="6"/>
        <v>0.75494461954717595</v>
      </c>
      <c r="F137" s="49">
        <f>VLOOKUP($A137,'Data shares'!$C:$FB,98)</f>
        <v>17095080</v>
      </c>
      <c r="G137" s="49">
        <f>VLOOKUP($A137,'Data shares'!$C:$FB,99)</f>
        <v>14859840</v>
      </c>
      <c r="H137" s="50">
        <f t="shared" si="7"/>
        <v>15.042153885909942</v>
      </c>
      <c r="I137" s="49">
        <f>VLOOKUP($A137,'Data shares'!$C:$FB,66)</f>
        <v>38088600</v>
      </c>
      <c r="J137" s="49">
        <f>VLOOKUP($A137,'Data shares'!$C:$FB,67)</f>
        <v>23557200</v>
      </c>
      <c r="K137" s="50">
        <f t="shared" si="8"/>
        <v>38.151572911579848</v>
      </c>
      <c r="L137" s="50">
        <f>VLOOKUP($A137,'Data shares'!$C:$FB,118)</f>
        <v>1.19</v>
      </c>
      <c r="M137" s="50">
        <f>VLOOKUP($A137,'Data shares'!$C:$FB,119)</f>
        <v>1.1200000000000001</v>
      </c>
      <c r="N137" s="50">
        <f>VLOOKUP($A137,'Data shares'!$C:$FB,121)*100</f>
        <v>6.25</v>
      </c>
      <c r="O137" s="50">
        <f>VLOOKUP($A137,'Data shares'!$C:$FB,124)</f>
        <v>1.08</v>
      </c>
      <c r="P137" s="50">
        <f>VLOOKUP($A137,'Data shares'!$C:$FB,125)</f>
        <v>1.1000000000000001</v>
      </c>
      <c r="Q137" s="50">
        <f>VLOOKUP($A137,'Data shares'!$C:$FB,127)*100</f>
        <v>-1.82</v>
      </c>
    </row>
    <row r="138" spans="1:17" x14ac:dyDescent="0.25">
      <c r="A138" s="97" t="str">
        <f>'Data Vlaue (Cr)'!C133</f>
        <v>MOTHERSON</v>
      </c>
      <c r="B138" s="140">
        <f>VLOOKUP($A138,'Data shares'!$C:$FB,7)</f>
        <v>119.35</v>
      </c>
      <c r="C138" s="140">
        <f>VLOOKUP($A138,'Data shares'!$C:$FB,3)</f>
        <v>119.82</v>
      </c>
      <c r="D138" s="140">
        <f>VLOOKUP($A138,'Data shares'!$C:$FB,4)</f>
        <v>121.41</v>
      </c>
      <c r="E138" s="50">
        <f t="shared" si="6"/>
        <v>-1.3096120583148039</v>
      </c>
      <c r="F138" s="49">
        <f>VLOOKUP($A138,'Data shares'!$C:$FB,98)</f>
        <v>262525050</v>
      </c>
      <c r="G138" s="49">
        <f>VLOOKUP($A138,'Data shares'!$C:$FB,99)</f>
        <v>252051600</v>
      </c>
      <c r="H138" s="50">
        <f t="shared" si="7"/>
        <v>4.1552801093109508</v>
      </c>
      <c r="I138" s="49">
        <f>VLOOKUP($A138,'Data shares'!$C:$FB,66)</f>
        <v>57496350</v>
      </c>
      <c r="J138" s="49">
        <f>VLOOKUP($A138,'Data shares'!$C:$FB,67)</f>
        <v>65878800</v>
      </c>
      <c r="K138" s="50">
        <f t="shared" si="8"/>
        <v>-14.579099368916463</v>
      </c>
      <c r="L138" s="50">
        <f>VLOOKUP($A138,'Data shares'!$C:$FB,118)</f>
        <v>0.64</v>
      </c>
      <c r="M138" s="50">
        <f>VLOOKUP($A138,'Data shares'!$C:$FB,119)</f>
        <v>0.69</v>
      </c>
      <c r="N138" s="50">
        <f>VLOOKUP($A138,'Data shares'!$C:$FB,121)*100</f>
        <v>-7.2499999999999991</v>
      </c>
      <c r="O138" s="50">
        <f>VLOOKUP($A138,'Data shares'!$C:$FB,124)</f>
        <v>0.36</v>
      </c>
      <c r="P138" s="50">
        <f>VLOOKUP($A138,'Data shares'!$C:$FB,125)</f>
        <v>0.49</v>
      </c>
      <c r="Q138" s="50">
        <f>VLOOKUP($A138,'Data shares'!$C:$FB,127)*100</f>
        <v>-26.529999999999998</v>
      </c>
    </row>
    <row r="139" spans="1:17" x14ac:dyDescent="0.25">
      <c r="A139" s="97" t="str">
        <f>'Data Vlaue (Cr)'!C134</f>
        <v>MPHASIS</v>
      </c>
      <c r="B139" s="140">
        <f>VLOOKUP($A139,'Data shares'!$C:$FB,7)</f>
        <v>2874.8</v>
      </c>
      <c r="C139" s="140">
        <f>VLOOKUP($A139,'Data shares'!$C:$FB,3)</f>
        <v>2886.6</v>
      </c>
      <c r="D139" s="140">
        <f>VLOOKUP($A139,'Data shares'!$C:$FB,4)</f>
        <v>2828.8</v>
      </c>
      <c r="E139" s="50">
        <f t="shared" si="6"/>
        <v>2.0432692307692211</v>
      </c>
      <c r="F139" s="49">
        <f>VLOOKUP($A139,'Data shares'!$C:$FB,98)</f>
        <v>6735300</v>
      </c>
      <c r="G139" s="49">
        <f>VLOOKUP($A139,'Data shares'!$C:$FB,99)</f>
        <v>6821925</v>
      </c>
      <c r="H139" s="50">
        <f t="shared" si="7"/>
        <v>-1.2698028782198574</v>
      </c>
      <c r="I139" s="49">
        <f>VLOOKUP($A139,'Data shares'!$C:$FB,66)</f>
        <v>4839450</v>
      </c>
      <c r="J139" s="49">
        <f>VLOOKUP($A139,'Data shares'!$C:$FB,67)</f>
        <v>1796025</v>
      </c>
      <c r="K139" s="50">
        <f t="shared" si="8"/>
        <v>62.887828162291171</v>
      </c>
      <c r="L139" s="50">
        <f>VLOOKUP($A139,'Data shares'!$C:$FB,118)</f>
        <v>0.7</v>
      </c>
      <c r="M139" s="50">
        <f>VLOOKUP($A139,'Data shares'!$C:$FB,119)</f>
        <v>0.64</v>
      </c>
      <c r="N139" s="50">
        <f>VLOOKUP($A139,'Data shares'!$C:$FB,121)*100</f>
        <v>9.370000000000001</v>
      </c>
      <c r="O139" s="50">
        <f>VLOOKUP($A139,'Data shares'!$C:$FB,124)</f>
        <v>0.16</v>
      </c>
      <c r="P139" s="50">
        <f>VLOOKUP($A139,'Data shares'!$C:$FB,125)</f>
        <v>0.39</v>
      </c>
      <c r="Q139" s="50">
        <f>VLOOKUP($A139,'Data shares'!$C:$FB,127)*100</f>
        <v>-58.97</v>
      </c>
    </row>
    <row r="140" spans="1:17" x14ac:dyDescent="0.25">
      <c r="A140" s="97" t="str">
        <f>'Data Vlaue (Cr)'!C135</f>
        <v>MUTHOOTFIN</v>
      </c>
      <c r="B140" s="140">
        <f>VLOOKUP($A140,'Data shares'!$C:$FB,7)</f>
        <v>3960.1</v>
      </c>
      <c r="C140" s="140">
        <f>VLOOKUP($A140,'Data shares'!$C:$FB,3)</f>
        <v>3973.1</v>
      </c>
      <c r="D140" s="140">
        <f>VLOOKUP($A140,'Data shares'!$C:$FB,4)</f>
        <v>3960.4</v>
      </c>
      <c r="E140" s="50">
        <f t="shared" si="6"/>
        <v>0.32067467932531607</v>
      </c>
      <c r="F140" s="49">
        <f>VLOOKUP($A140,'Data shares'!$C:$FB,98)</f>
        <v>7275125</v>
      </c>
      <c r="G140" s="49">
        <f>VLOOKUP($A140,'Data shares'!$C:$FB,99)</f>
        <v>7103525</v>
      </c>
      <c r="H140" s="50">
        <f t="shared" si="7"/>
        <v>2.4157020634121791</v>
      </c>
      <c r="I140" s="49">
        <f>VLOOKUP($A140,'Data shares'!$C:$FB,66)</f>
        <v>7395300</v>
      </c>
      <c r="J140" s="49">
        <f>VLOOKUP($A140,'Data shares'!$C:$FB,67)</f>
        <v>11436425</v>
      </c>
      <c r="K140" s="50">
        <f t="shared" si="8"/>
        <v>-54.644503941692705</v>
      </c>
      <c r="L140" s="50">
        <f>VLOOKUP($A140,'Data shares'!$C:$FB,118)</f>
        <v>0.74</v>
      </c>
      <c r="M140" s="50">
        <f>VLOOKUP($A140,'Data shares'!$C:$FB,119)</f>
        <v>0.71</v>
      </c>
      <c r="N140" s="50">
        <f>VLOOKUP($A140,'Data shares'!$C:$FB,121)*100</f>
        <v>4.2299999999999995</v>
      </c>
      <c r="O140" s="50">
        <f>VLOOKUP($A140,'Data shares'!$C:$FB,124)</f>
        <v>0.48</v>
      </c>
      <c r="P140" s="50">
        <f>VLOOKUP($A140,'Data shares'!$C:$FB,125)</f>
        <v>0.41</v>
      </c>
      <c r="Q140" s="50">
        <f>VLOOKUP($A140,'Data shares'!$C:$FB,127)*100</f>
        <v>17.07</v>
      </c>
    </row>
    <row r="141" spans="1:17" x14ac:dyDescent="0.25">
      <c r="A141" s="97" t="str">
        <f>'Data Vlaue (Cr)'!C136</f>
        <v>NATIONALUM</v>
      </c>
      <c r="B141" s="140">
        <f>VLOOKUP($A141,'Data shares'!$C:$FB,7)</f>
        <v>352.6</v>
      </c>
      <c r="C141" s="140">
        <f>VLOOKUP($A141,'Data shares'!$C:$FB,3)</f>
        <v>351.8</v>
      </c>
      <c r="D141" s="140">
        <f>VLOOKUP($A141,'Data shares'!$C:$FB,4)</f>
        <v>347.6</v>
      </c>
      <c r="E141" s="50">
        <f t="shared" si="6"/>
        <v>1.208285385500572</v>
      </c>
      <c r="F141" s="49">
        <f>VLOOKUP($A141,'Data shares'!$C:$FB,98)</f>
        <v>141828750</v>
      </c>
      <c r="G141" s="49">
        <f>VLOOKUP($A141,'Data shares'!$C:$FB,99)</f>
        <v>145781250</v>
      </c>
      <c r="H141" s="50">
        <f t="shared" si="7"/>
        <v>-2.7112540192926042</v>
      </c>
      <c r="I141" s="49">
        <f>VLOOKUP($A141,'Data shares'!$C:$FB,66)</f>
        <v>269722500</v>
      </c>
      <c r="J141" s="49">
        <f>VLOOKUP($A141,'Data shares'!$C:$FB,67)</f>
        <v>432168750</v>
      </c>
      <c r="K141" s="50">
        <f t="shared" si="8"/>
        <v>-60.227177932875456</v>
      </c>
      <c r="L141" s="50">
        <f>VLOOKUP($A141,'Data shares'!$C:$FB,118)</f>
        <v>0.92</v>
      </c>
      <c r="M141" s="50">
        <f>VLOOKUP($A141,'Data shares'!$C:$FB,119)</f>
        <v>0.78</v>
      </c>
      <c r="N141" s="50">
        <f>VLOOKUP($A141,'Data shares'!$C:$FB,121)*100</f>
        <v>17.95</v>
      </c>
      <c r="O141" s="50">
        <f>VLOOKUP($A141,'Data shares'!$C:$FB,124)</f>
        <v>0.43</v>
      </c>
      <c r="P141" s="50">
        <f>VLOOKUP($A141,'Data shares'!$C:$FB,125)</f>
        <v>0.34</v>
      </c>
      <c r="Q141" s="50">
        <f>VLOOKUP($A141,'Data shares'!$C:$FB,127)*100</f>
        <v>26.47</v>
      </c>
    </row>
    <row r="142" spans="1:17" x14ac:dyDescent="0.25">
      <c r="A142" s="97" t="str">
        <f>'Data Vlaue (Cr)'!C137</f>
        <v>NAUKRI</v>
      </c>
      <c r="B142" s="140">
        <f>VLOOKUP($A142,'Data shares'!$C:$FB,7)</f>
        <v>1359.4</v>
      </c>
      <c r="C142" s="140">
        <f>VLOOKUP($A142,'Data shares'!$C:$FB,3)</f>
        <v>1360.6</v>
      </c>
      <c r="D142" s="140">
        <f>VLOOKUP($A142,'Data shares'!$C:$FB,4)</f>
        <v>1342.7</v>
      </c>
      <c r="E142" s="50">
        <f t="shared" si="6"/>
        <v>1.3331347285320521</v>
      </c>
      <c r="F142" s="49">
        <f>VLOOKUP($A142,'Data shares'!$C:$FB,98)</f>
        <v>13452375</v>
      </c>
      <c r="G142" s="49">
        <f>VLOOKUP($A142,'Data shares'!$C:$FB,99)</f>
        <v>11763750</v>
      </c>
      <c r="H142" s="50">
        <f t="shared" si="7"/>
        <v>14.354478801402614</v>
      </c>
      <c r="I142" s="49">
        <f>VLOOKUP($A142,'Data shares'!$C:$FB,66)</f>
        <v>17936250</v>
      </c>
      <c r="J142" s="49">
        <f>VLOOKUP($A142,'Data shares'!$C:$FB,67)</f>
        <v>2764500</v>
      </c>
      <c r="K142" s="50">
        <f t="shared" si="8"/>
        <v>84.587079238971356</v>
      </c>
      <c r="L142" s="50">
        <f>VLOOKUP($A142,'Data shares'!$C:$FB,118)</f>
        <v>0.55000000000000004</v>
      </c>
      <c r="M142" s="50">
        <f>VLOOKUP($A142,'Data shares'!$C:$FB,119)</f>
        <v>0.76</v>
      </c>
      <c r="N142" s="50">
        <f>VLOOKUP($A142,'Data shares'!$C:$FB,121)*100</f>
        <v>-27.63</v>
      </c>
      <c r="O142" s="50">
        <f>VLOOKUP($A142,'Data shares'!$C:$FB,124)</f>
        <v>0.23</v>
      </c>
      <c r="P142" s="50">
        <f>VLOOKUP($A142,'Data shares'!$C:$FB,125)</f>
        <v>0.68</v>
      </c>
      <c r="Q142" s="50">
        <f>VLOOKUP($A142,'Data shares'!$C:$FB,127)*100</f>
        <v>-66.180000000000007</v>
      </c>
    </row>
    <row r="143" spans="1:17" x14ac:dyDescent="0.25">
      <c r="A143" s="97" t="str">
        <f>'Data Vlaue (Cr)'!C138</f>
        <v>NBCC</v>
      </c>
      <c r="B143" s="140">
        <f>VLOOKUP($A143,'Data shares'!$C:$FB,7)</f>
        <v>116.05</v>
      </c>
      <c r="C143" s="140">
        <f>VLOOKUP($A143,'Data shares'!$C:$FB,3)</f>
        <v>116.32</v>
      </c>
      <c r="D143" s="140">
        <f>VLOOKUP($A143,'Data shares'!$C:$FB,4)</f>
        <v>118.99</v>
      </c>
      <c r="E143" s="50">
        <f t="shared" si="6"/>
        <v>-2.24388604084377</v>
      </c>
      <c r="F143" s="49">
        <f>VLOOKUP($A143,'Data shares'!$C:$FB,98)</f>
        <v>165113000</v>
      </c>
      <c r="G143" s="49">
        <f>VLOOKUP($A143,'Data shares'!$C:$FB,99)</f>
        <v>158489500</v>
      </c>
      <c r="H143" s="50">
        <f t="shared" si="7"/>
        <v>4.1791412049378671</v>
      </c>
      <c r="I143" s="49">
        <f>VLOOKUP($A143,'Data shares'!$C:$FB,66)</f>
        <v>94594500</v>
      </c>
      <c r="J143" s="49">
        <f>VLOOKUP($A143,'Data shares'!$C:$FB,67)</f>
        <v>48743500</v>
      </c>
      <c r="K143" s="50">
        <f t="shared" si="8"/>
        <v>48.471105613962756</v>
      </c>
      <c r="L143" s="50">
        <f>VLOOKUP($A143,'Data shares'!$C:$FB,118)</f>
        <v>0.48</v>
      </c>
      <c r="M143" s="50">
        <f>VLOOKUP($A143,'Data shares'!$C:$FB,119)</f>
        <v>0.51</v>
      </c>
      <c r="N143" s="50">
        <f>VLOOKUP($A143,'Data shares'!$C:$FB,121)*100</f>
        <v>-5.88</v>
      </c>
      <c r="O143" s="50">
        <f>VLOOKUP($A143,'Data shares'!$C:$FB,124)</f>
        <v>0.43</v>
      </c>
      <c r="P143" s="50">
        <f>VLOOKUP($A143,'Data shares'!$C:$FB,125)</f>
        <v>0.3</v>
      </c>
      <c r="Q143" s="50">
        <f>VLOOKUP($A143,'Data shares'!$C:$FB,127)*100</f>
        <v>43.33</v>
      </c>
    </row>
    <row r="144" spans="1:17" x14ac:dyDescent="0.25">
      <c r="A144" s="97" t="str">
        <f>'Data Vlaue (Cr)'!C139</f>
        <v>NESTLEIND</v>
      </c>
      <c r="B144" s="140">
        <f>VLOOKUP($A144,'Data shares'!$C:$FB,7)</f>
        <v>1314.8</v>
      </c>
      <c r="C144" s="140">
        <f>VLOOKUP($A144,'Data shares'!$C:$FB,3)</f>
        <v>1319.9</v>
      </c>
      <c r="D144" s="140">
        <f>VLOOKUP($A144,'Data shares'!$C:$FB,4)</f>
        <v>1323.6</v>
      </c>
      <c r="E144" s="50">
        <f t="shared" si="6"/>
        <v>-0.27954064672105006</v>
      </c>
      <c r="F144" s="49">
        <f>VLOOKUP($A144,'Data shares'!$C:$FB,98)</f>
        <v>23736000</v>
      </c>
      <c r="G144" s="49">
        <f>VLOOKUP($A144,'Data shares'!$C:$FB,99)</f>
        <v>23412500</v>
      </c>
      <c r="H144" s="50">
        <f t="shared" si="7"/>
        <v>1.381740523224773</v>
      </c>
      <c r="I144" s="49">
        <f>VLOOKUP($A144,'Data shares'!$C:$FB,66)</f>
        <v>7166500</v>
      </c>
      <c r="J144" s="49">
        <f>VLOOKUP($A144,'Data shares'!$C:$FB,67)</f>
        <v>9131000</v>
      </c>
      <c r="K144" s="50">
        <f t="shared" si="8"/>
        <v>-27.412265401520962</v>
      </c>
      <c r="L144" s="50">
        <f>VLOOKUP($A144,'Data shares'!$C:$FB,118)</f>
        <v>0.7</v>
      </c>
      <c r="M144" s="50">
        <f>VLOOKUP($A144,'Data shares'!$C:$FB,119)</f>
        <v>0.69</v>
      </c>
      <c r="N144" s="50">
        <f>VLOOKUP($A144,'Data shares'!$C:$FB,121)*100</f>
        <v>1.4500000000000002</v>
      </c>
      <c r="O144" s="50">
        <f>VLOOKUP($A144,'Data shares'!$C:$FB,124)</f>
        <v>0.52</v>
      </c>
      <c r="P144" s="50">
        <f>VLOOKUP($A144,'Data shares'!$C:$FB,125)</f>
        <v>0.45</v>
      </c>
      <c r="Q144" s="50">
        <f>VLOOKUP($A144,'Data shares'!$C:$FB,127)*100</f>
        <v>15.559999999999999</v>
      </c>
    </row>
    <row r="145" spans="1:17" x14ac:dyDescent="0.25">
      <c r="A145" s="97" t="str">
        <f>'Data Vlaue (Cr)'!C140</f>
        <v>NHPC</v>
      </c>
      <c r="B145" s="140">
        <f>VLOOKUP($A145,'Data shares'!$C:$FB,7)</f>
        <v>83.66</v>
      </c>
      <c r="C145" s="140">
        <f>VLOOKUP($A145,'Data shares'!$C:$FB,3)</f>
        <v>83.77</v>
      </c>
      <c r="D145" s="140">
        <f>VLOOKUP($A145,'Data shares'!$C:$FB,4)</f>
        <v>83.7</v>
      </c>
      <c r="E145" s="50">
        <f t="shared" si="6"/>
        <v>8.3632019115881931E-2</v>
      </c>
      <c r="F145" s="49">
        <f>VLOOKUP($A145,'Data shares'!$C:$FB,98)</f>
        <v>118457600</v>
      </c>
      <c r="G145" s="49">
        <f>VLOOKUP($A145,'Data shares'!$C:$FB,99)</f>
        <v>120768000</v>
      </c>
      <c r="H145" s="50">
        <f t="shared" si="7"/>
        <v>-1.9130895601483837</v>
      </c>
      <c r="I145" s="49">
        <f>VLOOKUP($A145,'Data shares'!$C:$FB,66)</f>
        <v>49075200</v>
      </c>
      <c r="J145" s="49">
        <f>VLOOKUP($A145,'Data shares'!$C:$FB,67)</f>
        <v>37760000</v>
      </c>
      <c r="K145" s="50">
        <f t="shared" si="8"/>
        <v>23.056859676577986</v>
      </c>
      <c r="L145" s="50">
        <f>VLOOKUP($A145,'Data shares'!$C:$FB,118)</f>
        <v>0.53</v>
      </c>
      <c r="M145" s="50">
        <f>VLOOKUP($A145,'Data shares'!$C:$FB,119)</f>
        <v>0.55000000000000004</v>
      </c>
      <c r="N145" s="50">
        <f>VLOOKUP($A145,'Data shares'!$C:$FB,121)*100</f>
        <v>-3.64</v>
      </c>
      <c r="O145" s="50">
        <f>VLOOKUP($A145,'Data shares'!$C:$FB,124)</f>
        <v>0.4</v>
      </c>
      <c r="P145" s="50">
        <f>VLOOKUP($A145,'Data shares'!$C:$FB,125)</f>
        <v>0.41</v>
      </c>
      <c r="Q145" s="50">
        <f>VLOOKUP($A145,'Data shares'!$C:$FB,127)*100</f>
        <v>-2.44</v>
      </c>
    </row>
    <row r="146" spans="1:17" x14ac:dyDescent="0.25">
      <c r="A146" s="97" t="str">
        <f>'Data Vlaue (Cr)'!C141</f>
        <v>NIFTY</v>
      </c>
      <c r="B146" s="140">
        <f>VLOOKUP($A146,'Data shares'!$C:$FB,7)</f>
        <v>26140.75</v>
      </c>
      <c r="C146" s="140">
        <f>VLOOKUP($A146,'Data shares'!$C:$FB,3)</f>
        <v>26235.3</v>
      </c>
      <c r="D146" s="140">
        <f>VLOOKUP($A146,'Data shares'!$C:$FB,4)</f>
        <v>26285.1</v>
      </c>
      <c r="E146" s="50">
        <f t="shared" si="6"/>
        <v>-0.18946094935913987</v>
      </c>
      <c r="F146" s="49">
        <f>VLOOKUP($A146,'Data shares'!$C:$FB,98)</f>
        <v>416738020</v>
      </c>
      <c r="G146" s="49">
        <f>VLOOKUP($A146,'Data shares'!$C:$FB,99)</f>
        <v>635015005</v>
      </c>
      <c r="H146" s="50">
        <f t="shared" si="7"/>
        <v>-34.37351610297776</v>
      </c>
      <c r="I146" s="49">
        <f>VLOOKUP($A146,'Data shares'!$C:$FB,66)</f>
        <v>4372173455</v>
      </c>
      <c r="J146" s="49">
        <f>VLOOKUP($A146,'Data shares'!$C:$FB,67)</f>
        <v>21851945700</v>
      </c>
      <c r="K146" s="50">
        <f t="shared" si="8"/>
        <v>-399.79594645336414</v>
      </c>
      <c r="L146" s="50">
        <f>VLOOKUP($A146,'Data shares'!$C:$FB,118)</f>
        <v>0.89</v>
      </c>
      <c r="M146" s="50">
        <f>VLOOKUP($A146,'Data shares'!$C:$FB,119)</f>
        <v>0.92</v>
      </c>
      <c r="N146" s="50">
        <f>VLOOKUP($A146,'Data shares'!$C:$FB,121)*100</f>
        <v>-3.26</v>
      </c>
      <c r="O146" s="50">
        <f>VLOOKUP($A146,'Data shares'!$C:$FB,124)</f>
        <v>0.98</v>
      </c>
      <c r="P146" s="50">
        <f>VLOOKUP($A146,'Data shares'!$C:$FB,125)</f>
        <v>1.06</v>
      </c>
      <c r="Q146" s="50">
        <f>VLOOKUP($A146,'Data shares'!$C:$FB,127)*100</f>
        <v>-7.55</v>
      </c>
    </row>
    <row r="147" spans="1:17" x14ac:dyDescent="0.25">
      <c r="A147" s="97" t="str">
        <f>'Data Vlaue (Cr)'!C142</f>
        <v>NIFTYNXT50</v>
      </c>
      <c r="B147" s="140">
        <f>VLOOKUP($A147,'Data shares'!$C:$FB,7)</f>
        <v>70690.600000000006</v>
      </c>
      <c r="C147" s="140">
        <f>VLOOKUP($A147,'Data shares'!$C:$FB,3)</f>
        <v>70906</v>
      </c>
      <c r="D147" s="140">
        <f>VLOOKUP($A147,'Data shares'!$C:$FB,4)</f>
        <v>70841.399999999994</v>
      </c>
      <c r="E147" s="50">
        <f t="shared" si="6"/>
        <v>9.1189615112075462E-2</v>
      </c>
      <c r="F147" s="49">
        <f>VLOOKUP($A147,'Data shares'!$C:$FB,98)</f>
        <v>30425</v>
      </c>
      <c r="G147" s="49">
        <f>VLOOKUP($A147,'Data shares'!$C:$FB,99)</f>
        <v>28600</v>
      </c>
      <c r="H147" s="50">
        <f t="shared" si="7"/>
        <v>6.3811188811188817</v>
      </c>
      <c r="I147" s="49">
        <f>VLOOKUP($A147,'Data shares'!$C:$FB,66)</f>
        <v>15825</v>
      </c>
      <c r="J147" s="49">
        <f>VLOOKUP($A147,'Data shares'!$C:$FB,67)</f>
        <v>17025</v>
      </c>
      <c r="K147" s="50">
        <f t="shared" si="8"/>
        <v>-7.5829383886255926</v>
      </c>
      <c r="L147" s="50">
        <f>VLOOKUP($A147,'Data shares'!$C:$FB,118)</f>
        <v>1.1000000000000001</v>
      </c>
      <c r="M147" s="50">
        <f>VLOOKUP($A147,'Data shares'!$C:$FB,119)</f>
        <v>0.89</v>
      </c>
      <c r="N147" s="50">
        <f>VLOOKUP($A147,'Data shares'!$C:$FB,121)*100</f>
        <v>23.599999999999998</v>
      </c>
      <c r="O147" s="50">
        <f>VLOOKUP($A147,'Data shares'!$C:$FB,124)</f>
        <v>1.1599999999999999</v>
      </c>
      <c r="P147" s="50">
        <f>VLOOKUP($A147,'Data shares'!$C:$FB,125)</f>
        <v>0.45</v>
      </c>
      <c r="Q147" s="50">
        <f>VLOOKUP($A147,'Data shares'!$C:$FB,127)*100</f>
        <v>157.78</v>
      </c>
    </row>
    <row r="148" spans="1:17" x14ac:dyDescent="0.25">
      <c r="A148" s="97" t="str">
        <f>'Data Vlaue (Cr)'!C143</f>
        <v>NMDC</v>
      </c>
      <c r="B148" s="140">
        <f>VLOOKUP($A148,'Data shares'!$C:$FB,7)</f>
        <v>86.16</v>
      </c>
      <c r="C148" s="140">
        <f>VLOOKUP($A148,'Data shares'!$C:$FB,3)</f>
        <v>86.51</v>
      </c>
      <c r="D148" s="140">
        <f>VLOOKUP($A148,'Data shares'!$C:$FB,4)</f>
        <v>84.25</v>
      </c>
      <c r="E148" s="50">
        <f t="shared" si="6"/>
        <v>2.6824925816023799</v>
      </c>
      <c r="F148" s="49">
        <f>VLOOKUP($A148,'Data shares'!$C:$FB,98)</f>
        <v>527296500</v>
      </c>
      <c r="G148" s="49">
        <f>VLOOKUP($A148,'Data shares'!$C:$FB,99)</f>
        <v>523671750</v>
      </c>
      <c r="H148" s="50">
        <f t="shared" si="7"/>
        <v>0.69217978628787979</v>
      </c>
      <c r="I148" s="49">
        <f>VLOOKUP($A148,'Data shares'!$C:$FB,66)</f>
        <v>405013500</v>
      </c>
      <c r="J148" s="49">
        <f>VLOOKUP($A148,'Data shares'!$C:$FB,67)</f>
        <v>136599750</v>
      </c>
      <c r="K148" s="50">
        <f t="shared" si="8"/>
        <v>66.272790906969774</v>
      </c>
      <c r="L148" s="50">
        <f>VLOOKUP($A148,'Data shares'!$C:$FB,118)</f>
        <v>0.49</v>
      </c>
      <c r="M148" s="50">
        <f>VLOOKUP($A148,'Data shares'!$C:$FB,119)</f>
        <v>0.45</v>
      </c>
      <c r="N148" s="50">
        <f>VLOOKUP($A148,'Data shares'!$C:$FB,121)*100</f>
        <v>8.89</v>
      </c>
      <c r="O148" s="50">
        <f>VLOOKUP($A148,'Data shares'!$C:$FB,124)</f>
        <v>0.28999999999999998</v>
      </c>
      <c r="P148" s="50">
        <f>VLOOKUP($A148,'Data shares'!$C:$FB,125)</f>
        <v>0.34</v>
      </c>
      <c r="Q148" s="50">
        <f>VLOOKUP($A148,'Data shares'!$C:$FB,127)*100</f>
        <v>-14.71</v>
      </c>
    </row>
    <row r="149" spans="1:17" x14ac:dyDescent="0.25">
      <c r="A149" s="97" t="str">
        <f>'Data Vlaue (Cr)'!C144</f>
        <v>NTPC</v>
      </c>
      <c r="B149" s="140">
        <f>VLOOKUP($A149,'Data shares'!$C:$FB,7)</f>
        <v>348.85</v>
      </c>
      <c r="C149" s="140">
        <f>VLOOKUP($A149,'Data shares'!$C:$FB,3)</f>
        <v>349.65</v>
      </c>
      <c r="D149" s="140">
        <f>VLOOKUP($A149,'Data shares'!$C:$FB,4)</f>
        <v>351.45</v>
      </c>
      <c r="E149" s="50">
        <f t="shared" si="6"/>
        <v>-0.51216389244558591</v>
      </c>
      <c r="F149" s="49">
        <f>VLOOKUP($A149,'Data shares'!$C:$FB,98)</f>
        <v>151666500</v>
      </c>
      <c r="G149" s="49">
        <f>VLOOKUP($A149,'Data shares'!$C:$FB,99)</f>
        <v>151173000</v>
      </c>
      <c r="H149" s="50">
        <f t="shared" si="7"/>
        <v>0.32644718302871545</v>
      </c>
      <c r="I149" s="49">
        <f>VLOOKUP($A149,'Data shares'!$C:$FB,66)</f>
        <v>44070000</v>
      </c>
      <c r="J149" s="49">
        <f>VLOOKUP($A149,'Data shares'!$C:$FB,67)</f>
        <v>67024500</v>
      </c>
      <c r="K149" s="50">
        <f t="shared" si="8"/>
        <v>-52.086453369639209</v>
      </c>
      <c r="L149" s="50">
        <f>VLOOKUP($A149,'Data shares'!$C:$FB,118)</f>
        <v>0.62</v>
      </c>
      <c r="M149" s="50">
        <f>VLOOKUP($A149,'Data shares'!$C:$FB,119)</f>
        <v>0.64</v>
      </c>
      <c r="N149" s="50">
        <f>VLOOKUP($A149,'Data shares'!$C:$FB,121)*100</f>
        <v>-3.1300000000000003</v>
      </c>
      <c r="O149" s="50">
        <f>VLOOKUP($A149,'Data shares'!$C:$FB,124)</f>
        <v>0.46</v>
      </c>
      <c r="P149" s="50">
        <f>VLOOKUP($A149,'Data shares'!$C:$FB,125)</f>
        <v>0.49</v>
      </c>
      <c r="Q149" s="50">
        <f>VLOOKUP($A149,'Data shares'!$C:$FB,127)*100</f>
        <v>-6.12</v>
      </c>
    </row>
    <row r="150" spans="1:17" x14ac:dyDescent="0.25">
      <c r="A150" s="97" t="str">
        <f>'Data Vlaue (Cr)'!C145</f>
        <v>NUVAMA</v>
      </c>
      <c r="B150" s="140">
        <f>VLOOKUP($A150,'Data shares'!$C:$FB,7)</f>
        <v>1478.9</v>
      </c>
      <c r="C150" s="140">
        <f>VLOOKUP($A150,'Data shares'!$C:$FB,3)</f>
        <v>1487</v>
      </c>
      <c r="D150" s="140">
        <f>VLOOKUP($A150,'Data shares'!$C:$FB,4)</f>
        <v>1486.8</v>
      </c>
      <c r="E150" s="50">
        <f t="shared" si="6"/>
        <v>1.3451708366965664E-2</v>
      </c>
      <c r="F150" s="49">
        <f>VLOOKUP($A150,'Data shares'!$C:$FB,98)</f>
        <v>4312500</v>
      </c>
      <c r="G150" s="49">
        <f>VLOOKUP($A150,'Data shares'!$C:$FB,99)</f>
        <v>4339500</v>
      </c>
      <c r="H150" s="50">
        <f t="shared" si="7"/>
        <v>-0.62219149671621155</v>
      </c>
      <c r="I150" s="49">
        <f>VLOOKUP($A150,'Data shares'!$C:$FB,66)</f>
        <v>1038000</v>
      </c>
      <c r="J150" s="49">
        <f>VLOOKUP($A150,'Data shares'!$C:$FB,67)</f>
        <v>1105500</v>
      </c>
      <c r="K150" s="50">
        <f t="shared" si="8"/>
        <v>-6.5028901734104041</v>
      </c>
      <c r="L150" s="50">
        <f>VLOOKUP($A150,'Data shares'!$C:$FB,118)</f>
        <v>0.51</v>
      </c>
      <c r="M150" s="50">
        <f>VLOOKUP($A150,'Data shares'!$C:$FB,119)</f>
        <v>0.52</v>
      </c>
      <c r="N150" s="50">
        <f>VLOOKUP($A150,'Data shares'!$C:$FB,121)*100</f>
        <v>-1.92</v>
      </c>
      <c r="O150" s="50">
        <f>VLOOKUP($A150,'Data shares'!$C:$FB,124)</f>
        <v>0.18</v>
      </c>
      <c r="P150" s="50">
        <f>VLOOKUP($A150,'Data shares'!$C:$FB,125)</f>
        <v>0.32</v>
      </c>
      <c r="Q150" s="50">
        <f>VLOOKUP($A150,'Data shares'!$C:$FB,127)*100</f>
        <v>-43.75</v>
      </c>
    </row>
    <row r="151" spans="1:17" x14ac:dyDescent="0.25">
      <c r="A151" s="97" t="str">
        <f>'Data Vlaue (Cr)'!C146</f>
        <v>NYKAA</v>
      </c>
      <c r="B151" s="140">
        <f>VLOOKUP($A151,'Data shares'!$C:$FB,7)</f>
        <v>266.35000000000002</v>
      </c>
      <c r="C151" s="140">
        <f>VLOOKUP($A151,'Data shares'!$C:$FB,3)</f>
        <v>267.55</v>
      </c>
      <c r="D151" s="140">
        <f>VLOOKUP($A151,'Data shares'!$C:$FB,4)</f>
        <v>269.89999999999998</v>
      </c>
      <c r="E151" s="50">
        <f t="shared" si="6"/>
        <v>-0.87069284920339618</v>
      </c>
      <c r="F151" s="49">
        <f>VLOOKUP($A151,'Data shares'!$C:$FB,98)</f>
        <v>63993750</v>
      </c>
      <c r="G151" s="49">
        <f>VLOOKUP($A151,'Data shares'!$C:$FB,99)</f>
        <v>62515625</v>
      </c>
      <c r="H151" s="50">
        <f t="shared" si="7"/>
        <v>2.3644088977755562</v>
      </c>
      <c r="I151" s="49">
        <f>VLOOKUP($A151,'Data shares'!$C:$FB,66)</f>
        <v>24359375</v>
      </c>
      <c r="J151" s="49">
        <f>VLOOKUP($A151,'Data shares'!$C:$FB,67)</f>
        <v>14309375</v>
      </c>
      <c r="K151" s="50">
        <f t="shared" si="8"/>
        <v>41.257216164207826</v>
      </c>
      <c r="L151" s="50">
        <f>VLOOKUP($A151,'Data shares'!$C:$FB,118)</f>
        <v>0.84</v>
      </c>
      <c r="M151" s="50">
        <f>VLOOKUP($A151,'Data shares'!$C:$FB,119)</f>
        <v>0.9</v>
      </c>
      <c r="N151" s="50">
        <f>VLOOKUP($A151,'Data shares'!$C:$FB,121)*100</f>
        <v>-6.67</v>
      </c>
      <c r="O151" s="50">
        <f>VLOOKUP($A151,'Data shares'!$C:$FB,124)</f>
        <v>0.43</v>
      </c>
      <c r="P151" s="50">
        <f>VLOOKUP($A151,'Data shares'!$C:$FB,125)</f>
        <v>0.65</v>
      </c>
      <c r="Q151" s="50">
        <f>VLOOKUP($A151,'Data shares'!$C:$FB,127)*100</f>
        <v>-33.85</v>
      </c>
    </row>
    <row r="152" spans="1:17" x14ac:dyDescent="0.25">
      <c r="A152" s="97" t="str">
        <f>'Data Vlaue (Cr)'!C147</f>
        <v>OBEROIRLTY</v>
      </c>
      <c r="B152" s="140">
        <f>VLOOKUP($A152,'Data shares'!$C:$FB,7)</f>
        <v>1708.7</v>
      </c>
      <c r="C152" s="140">
        <f>VLOOKUP($A152,'Data shares'!$C:$FB,3)</f>
        <v>1713.6</v>
      </c>
      <c r="D152" s="140">
        <f>VLOOKUP($A152,'Data shares'!$C:$FB,4)</f>
        <v>1725.6</v>
      </c>
      <c r="E152" s="50">
        <f t="shared" si="6"/>
        <v>-0.69541029207232274</v>
      </c>
      <c r="F152" s="49">
        <f>VLOOKUP($A152,'Data shares'!$C:$FB,98)</f>
        <v>5974850</v>
      </c>
      <c r="G152" s="49">
        <f>VLOOKUP($A152,'Data shares'!$C:$FB,99)</f>
        <v>5923400</v>
      </c>
      <c r="H152" s="50">
        <f t="shared" si="7"/>
        <v>0.86858898605530621</v>
      </c>
      <c r="I152" s="49">
        <f>VLOOKUP($A152,'Data shares'!$C:$FB,66)</f>
        <v>1677900</v>
      </c>
      <c r="J152" s="49">
        <f>VLOOKUP($A152,'Data shares'!$C:$FB,67)</f>
        <v>1524950</v>
      </c>
      <c r="K152" s="50">
        <f t="shared" si="8"/>
        <v>9.1155611180642477</v>
      </c>
      <c r="L152" s="50">
        <f>VLOOKUP($A152,'Data shares'!$C:$FB,118)</f>
        <v>0.78</v>
      </c>
      <c r="M152" s="50">
        <f>VLOOKUP($A152,'Data shares'!$C:$FB,119)</f>
        <v>0.8</v>
      </c>
      <c r="N152" s="50">
        <f>VLOOKUP($A152,'Data shares'!$C:$FB,121)*100</f>
        <v>-2.5</v>
      </c>
      <c r="O152" s="50">
        <f>VLOOKUP($A152,'Data shares'!$C:$FB,124)</f>
        <v>0.38</v>
      </c>
      <c r="P152" s="50">
        <f>VLOOKUP($A152,'Data shares'!$C:$FB,125)</f>
        <v>0.32</v>
      </c>
      <c r="Q152" s="50">
        <f>VLOOKUP($A152,'Data shares'!$C:$FB,127)*100</f>
        <v>18.75</v>
      </c>
    </row>
    <row r="153" spans="1:17" x14ac:dyDescent="0.25">
      <c r="A153" s="97" t="str">
        <f>'Data Vlaue (Cr)'!C148</f>
        <v>OFSS</v>
      </c>
      <c r="B153" s="140">
        <f>VLOOKUP($A153,'Data shares'!$C:$FB,7)</f>
        <v>7832.5</v>
      </c>
      <c r="C153" s="140">
        <f>VLOOKUP($A153,'Data shares'!$C:$FB,3)</f>
        <v>7871</v>
      </c>
      <c r="D153" s="140">
        <f>VLOOKUP($A153,'Data shares'!$C:$FB,4)</f>
        <v>7607.5</v>
      </c>
      <c r="E153" s="50">
        <f t="shared" si="6"/>
        <v>3.4636871508379885</v>
      </c>
      <c r="F153" s="49">
        <f>VLOOKUP($A153,'Data shares'!$C:$FB,98)</f>
        <v>2218650</v>
      </c>
      <c r="G153" s="49">
        <f>VLOOKUP($A153,'Data shares'!$C:$FB,99)</f>
        <v>2093850</v>
      </c>
      <c r="H153" s="50">
        <f t="shared" si="7"/>
        <v>5.9603123432910667</v>
      </c>
      <c r="I153" s="49">
        <f>VLOOKUP($A153,'Data shares'!$C:$FB,66)</f>
        <v>2667375</v>
      </c>
      <c r="J153" s="49">
        <f>VLOOKUP($A153,'Data shares'!$C:$FB,67)</f>
        <v>882600</v>
      </c>
      <c r="K153" s="50">
        <f t="shared" si="8"/>
        <v>66.911289188809221</v>
      </c>
      <c r="L153" s="50">
        <f>VLOOKUP($A153,'Data shares'!$C:$FB,118)</f>
        <v>0.73</v>
      </c>
      <c r="M153" s="50">
        <f>VLOOKUP($A153,'Data shares'!$C:$FB,119)</f>
        <v>0.76</v>
      </c>
      <c r="N153" s="50">
        <f>VLOOKUP($A153,'Data shares'!$C:$FB,121)*100</f>
        <v>-3.95</v>
      </c>
      <c r="O153" s="50">
        <f>VLOOKUP($A153,'Data shares'!$C:$FB,124)</f>
        <v>0.25</v>
      </c>
      <c r="P153" s="50">
        <f>VLOOKUP($A153,'Data shares'!$C:$FB,125)</f>
        <v>0.51</v>
      </c>
      <c r="Q153" s="50">
        <f>VLOOKUP($A153,'Data shares'!$C:$FB,127)*100</f>
        <v>-50.980000000000004</v>
      </c>
    </row>
    <row r="154" spans="1:17" x14ac:dyDescent="0.25">
      <c r="A154" s="97" t="str">
        <f>'Data Vlaue (Cr)'!C149</f>
        <v>OIL</v>
      </c>
      <c r="B154" s="140">
        <f>VLOOKUP($A154,'Data shares'!$C:$FB,7)</f>
        <v>418.4</v>
      </c>
      <c r="C154" s="140">
        <f>VLOOKUP($A154,'Data shares'!$C:$FB,3)</f>
        <v>418.7</v>
      </c>
      <c r="D154" s="140">
        <f>VLOOKUP($A154,'Data shares'!$C:$FB,4)</f>
        <v>426.8</v>
      </c>
      <c r="E154" s="50">
        <f t="shared" si="6"/>
        <v>-1.8978444236176248</v>
      </c>
      <c r="F154" s="49">
        <f>VLOOKUP($A154,'Data shares'!$C:$FB,98)</f>
        <v>21687400</v>
      </c>
      <c r="G154" s="49">
        <f>VLOOKUP($A154,'Data shares'!$C:$FB,99)</f>
        <v>20529600</v>
      </c>
      <c r="H154" s="50">
        <f t="shared" si="7"/>
        <v>5.6396617566830338</v>
      </c>
      <c r="I154" s="49">
        <f>VLOOKUP($A154,'Data shares'!$C:$FB,66)</f>
        <v>18898600</v>
      </c>
      <c r="J154" s="49">
        <f>VLOOKUP($A154,'Data shares'!$C:$FB,67)</f>
        <v>10925600</v>
      </c>
      <c r="K154" s="50">
        <f t="shared" si="8"/>
        <v>42.188310245203347</v>
      </c>
      <c r="L154" s="50">
        <f>VLOOKUP($A154,'Data shares'!$C:$FB,118)</f>
        <v>0.71</v>
      </c>
      <c r="M154" s="50">
        <f>VLOOKUP($A154,'Data shares'!$C:$FB,119)</f>
        <v>0.54</v>
      </c>
      <c r="N154" s="50">
        <f>VLOOKUP($A154,'Data shares'!$C:$FB,121)*100</f>
        <v>31.480000000000004</v>
      </c>
      <c r="O154" s="50">
        <f>VLOOKUP($A154,'Data shares'!$C:$FB,124)</f>
        <v>1.26</v>
      </c>
      <c r="P154" s="50">
        <f>VLOOKUP($A154,'Data shares'!$C:$FB,125)</f>
        <v>0.41</v>
      </c>
      <c r="Q154" s="50">
        <f>VLOOKUP($A154,'Data shares'!$C:$FB,127)*100</f>
        <v>207.32</v>
      </c>
    </row>
    <row r="155" spans="1:17" x14ac:dyDescent="0.25">
      <c r="A155" s="97" t="str">
        <f>'Data Vlaue (Cr)'!C150</f>
        <v>ONGC</v>
      </c>
      <c r="B155" s="140">
        <f>VLOOKUP($A155,'Data shares'!$C:$FB,7)</f>
        <v>239.06</v>
      </c>
      <c r="C155" s="140">
        <f>VLOOKUP($A155,'Data shares'!$C:$FB,3)</f>
        <v>239.56</v>
      </c>
      <c r="D155" s="140">
        <f>VLOOKUP($A155,'Data shares'!$C:$FB,4)</f>
        <v>242.44</v>
      </c>
      <c r="E155" s="50">
        <f t="shared" si="6"/>
        <v>-1.187922785018972</v>
      </c>
      <c r="F155" s="49">
        <f>VLOOKUP($A155,'Data shares'!$C:$FB,98)</f>
        <v>211682250</v>
      </c>
      <c r="G155" s="49">
        <f>VLOOKUP($A155,'Data shares'!$C:$FB,99)</f>
        <v>219476250</v>
      </c>
      <c r="H155" s="50">
        <f t="shared" si="7"/>
        <v>-3.5511815059716025</v>
      </c>
      <c r="I155" s="49">
        <f>VLOOKUP($A155,'Data shares'!$C:$FB,66)</f>
        <v>92191500</v>
      </c>
      <c r="J155" s="49">
        <f>VLOOKUP($A155,'Data shares'!$C:$FB,67)</f>
        <v>143640000</v>
      </c>
      <c r="K155" s="50">
        <f t="shared" si="8"/>
        <v>-55.80612095475179</v>
      </c>
      <c r="L155" s="50">
        <f>VLOOKUP($A155,'Data shares'!$C:$FB,118)</f>
        <v>0.38</v>
      </c>
      <c r="M155" s="50">
        <f>VLOOKUP($A155,'Data shares'!$C:$FB,119)</f>
        <v>0.44</v>
      </c>
      <c r="N155" s="50">
        <f>VLOOKUP($A155,'Data shares'!$C:$FB,121)*100</f>
        <v>-13.639999999999999</v>
      </c>
      <c r="O155" s="50">
        <f>VLOOKUP($A155,'Data shares'!$C:$FB,124)</f>
        <v>0.8</v>
      </c>
      <c r="P155" s="50">
        <f>VLOOKUP($A155,'Data shares'!$C:$FB,125)</f>
        <v>0.49</v>
      </c>
      <c r="Q155" s="50">
        <f>VLOOKUP($A155,'Data shares'!$C:$FB,127)*100</f>
        <v>63.27</v>
      </c>
    </row>
    <row r="156" spans="1:17" x14ac:dyDescent="0.25">
      <c r="A156" s="97" t="str">
        <f>'Data Vlaue (Cr)'!C151</f>
        <v>PAGEIND</v>
      </c>
      <c r="B156" s="140">
        <f>VLOOKUP($A156,'Data shares'!$C:$FB,7)</f>
        <v>35380</v>
      </c>
      <c r="C156" s="140">
        <f>VLOOKUP($A156,'Data shares'!$C:$FB,3)</f>
        <v>35565</v>
      </c>
      <c r="D156" s="140">
        <f>VLOOKUP($A156,'Data shares'!$C:$FB,4)</f>
        <v>35485</v>
      </c>
      <c r="E156" s="50">
        <f t="shared" si="6"/>
        <v>0.22544737212906862</v>
      </c>
      <c r="F156" s="49">
        <f>VLOOKUP($A156,'Data shares'!$C:$FB,98)</f>
        <v>362760</v>
      </c>
      <c r="G156" s="49">
        <f>VLOOKUP($A156,'Data shares'!$C:$FB,99)</f>
        <v>361830</v>
      </c>
      <c r="H156" s="50">
        <f t="shared" si="7"/>
        <v>0.25702678053229416</v>
      </c>
      <c r="I156" s="49">
        <f>VLOOKUP($A156,'Data shares'!$C:$FB,66)</f>
        <v>148545</v>
      </c>
      <c r="J156" s="49">
        <f>VLOOKUP($A156,'Data shares'!$C:$FB,67)</f>
        <v>190050</v>
      </c>
      <c r="K156" s="50">
        <f t="shared" si="8"/>
        <v>-27.941027971321819</v>
      </c>
      <c r="L156" s="50">
        <f>VLOOKUP($A156,'Data shares'!$C:$FB,118)</f>
        <v>0.53</v>
      </c>
      <c r="M156" s="50">
        <f>VLOOKUP($A156,'Data shares'!$C:$FB,119)</f>
        <v>0.48</v>
      </c>
      <c r="N156" s="50">
        <f>VLOOKUP($A156,'Data shares'!$C:$FB,121)*100</f>
        <v>10.42</v>
      </c>
      <c r="O156" s="50">
        <f>VLOOKUP($A156,'Data shares'!$C:$FB,124)</f>
        <v>0.22</v>
      </c>
      <c r="P156" s="50">
        <f>VLOOKUP($A156,'Data shares'!$C:$FB,125)</f>
        <v>0.42</v>
      </c>
      <c r="Q156" s="50">
        <f>VLOOKUP($A156,'Data shares'!$C:$FB,127)*100</f>
        <v>-47.620000000000005</v>
      </c>
    </row>
    <row r="157" spans="1:17" x14ac:dyDescent="0.25">
      <c r="A157" s="97" t="str">
        <f>'Data Vlaue (Cr)'!C152</f>
        <v>PATANJALI</v>
      </c>
      <c r="B157" s="140">
        <f>VLOOKUP($A157,'Data shares'!$C:$FB,7)</f>
        <v>576.45000000000005</v>
      </c>
      <c r="C157" s="140">
        <f>VLOOKUP($A157,'Data shares'!$C:$FB,3)</f>
        <v>578.75</v>
      </c>
      <c r="D157" s="140">
        <f>VLOOKUP($A157,'Data shares'!$C:$FB,4)</f>
        <v>575.65</v>
      </c>
      <c r="E157" s="50">
        <f t="shared" si="6"/>
        <v>0.53852167115435123</v>
      </c>
      <c r="F157" s="49">
        <f>VLOOKUP($A157,'Data shares'!$C:$FB,98)</f>
        <v>48599100</v>
      </c>
      <c r="G157" s="49">
        <f>VLOOKUP($A157,'Data shares'!$C:$FB,99)</f>
        <v>48099600</v>
      </c>
      <c r="H157" s="50">
        <f t="shared" si="7"/>
        <v>1.0384701743881446</v>
      </c>
      <c r="I157" s="49">
        <f>VLOOKUP($A157,'Data shares'!$C:$FB,66)</f>
        <v>12416400</v>
      </c>
      <c r="J157" s="49">
        <f>VLOOKUP($A157,'Data shares'!$C:$FB,67)</f>
        <v>15680700</v>
      </c>
      <c r="K157" s="50">
        <f t="shared" si="8"/>
        <v>-26.2902290518991</v>
      </c>
      <c r="L157" s="50">
        <f>VLOOKUP($A157,'Data shares'!$C:$FB,118)</f>
        <v>0.61</v>
      </c>
      <c r="M157" s="50">
        <f>VLOOKUP($A157,'Data shares'!$C:$FB,119)</f>
        <v>0.59</v>
      </c>
      <c r="N157" s="50">
        <f>VLOOKUP($A157,'Data shares'!$C:$FB,121)*100</f>
        <v>3.39</v>
      </c>
      <c r="O157" s="50">
        <f>VLOOKUP($A157,'Data shares'!$C:$FB,124)</f>
        <v>0.44</v>
      </c>
      <c r="P157" s="50">
        <f>VLOOKUP($A157,'Data shares'!$C:$FB,125)</f>
        <v>0.47</v>
      </c>
      <c r="Q157" s="50">
        <f>VLOOKUP($A157,'Data shares'!$C:$FB,127)*100</f>
        <v>-6.38</v>
      </c>
    </row>
    <row r="158" spans="1:17" x14ac:dyDescent="0.25">
      <c r="A158" s="97" t="str">
        <f>'Data Vlaue (Cr)'!C153</f>
        <v>PAYTM</v>
      </c>
      <c r="B158" s="140">
        <f>VLOOKUP($A158,'Data shares'!$C:$FB,7)</f>
        <v>1318.8</v>
      </c>
      <c r="C158" s="140">
        <f>VLOOKUP($A158,'Data shares'!$C:$FB,3)</f>
        <v>1325.4</v>
      </c>
      <c r="D158" s="140">
        <f>VLOOKUP($A158,'Data shares'!$C:$FB,4)</f>
        <v>1335.1</v>
      </c>
      <c r="E158" s="50">
        <f t="shared" si="6"/>
        <v>-0.72653733802710052</v>
      </c>
      <c r="F158" s="49">
        <f>VLOOKUP($A158,'Data shares'!$C:$FB,98)</f>
        <v>24726850</v>
      </c>
      <c r="G158" s="49">
        <f>VLOOKUP($A158,'Data shares'!$C:$FB,99)</f>
        <v>24004750</v>
      </c>
      <c r="H158" s="50">
        <f t="shared" si="7"/>
        <v>3.0081546360616129</v>
      </c>
      <c r="I158" s="49">
        <f>VLOOKUP($A158,'Data shares'!$C:$FB,66)</f>
        <v>8939975</v>
      </c>
      <c r="J158" s="49">
        <f>VLOOKUP($A158,'Data shares'!$C:$FB,67)</f>
        <v>7951075</v>
      </c>
      <c r="K158" s="50">
        <f t="shared" si="8"/>
        <v>11.061552185548617</v>
      </c>
      <c r="L158" s="50">
        <f>VLOOKUP($A158,'Data shares'!$C:$FB,118)</f>
        <v>0.63</v>
      </c>
      <c r="M158" s="50">
        <f>VLOOKUP($A158,'Data shares'!$C:$FB,119)</f>
        <v>0.69</v>
      </c>
      <c r="N158" s="50">
        <f>VLOOKUP($A158,'Data shares'!$C:$FB,121)*100</f>
        <v>-8.6999999999999993</v>
      </c>
      <c r="O158" s="50">
        <f>VLOOKUP($A158,'Data shares'!$C:$FB,124)</f>
        <v>0.5</v>
      </c>
      <c r="P158" s="50">
        <f>VLOOKUP($A158,'Data shares'!$C:$FB,125)</f>
        <v>0.59</v>
      </c>
      <c r="Q158" s="50">
        <f>VLOOKUP($A158,'Data shares'!$C:$FB,127)*100</f>
        <v>-15.25</v>
      </c>
    </row>
    <row r="159" spans="1:17" x14ac:dyDescent="0.25">
      <c r="A159" s="97" t="str">
        <f>'Data Vlaue (Cr)'!C154</f>
        <v>PERSISTENT</v>
      </c>
      <c r="B159" s="140">
        <f>VLOOKUP($A159,'Data shares'!$C:$FB,7)</f>
        <v>6513.5</v>
      </c>
      <c r="C159" s="140">
        <f>VLOOKUP($A159,'Data shares'!$C:$FB,3)</f>
        <v>6539</v>
      </c>
      <c r="D159" s="140">
        <f>VLOOKUP($A159,'Data shares'!$C:$FB,4)</f>
        <v>6253</v>
      </c>
      <c r="E159" s="50">
        <f t="shared" si="6"/>
        <v>4.5738045738045745</v>
      </c>
      <c r="F159" s="49">
        <f>VLOOKUP($A159,'Data shares'!$C:$FB,98)</f>
        <v>3453200</v>
      </c>
      <c r="G159" s="49">
        <f>VLOOKUP($A159,'Data shares'!$C:$FB,99)</f>
        <v>3238900</v>
      </c>
      <c r="H159" s="50">
        <f t="shared" si="7"/>
        <v>6.616443854395011</v>
      </c>
      <c r="I159" s="49">
        <f>VLOOKUP($A159,'Data shares'!$C:$FB,66)</f>
        <v>6821000</v>
      </c>
      <c r="J159" s="49">
        <f>VLOOKUP($A159,'Data shares'!$C:$FB,67)</f>
        <v>1436300</v>
      </c>
      <c r="K159" s="50">
        <f t="shared" si="8"/>
        <v>78.942970238967888</v>
      </c>
      <c r="L159" s="50">
        <f>VLOOKUP($A159,'Data shares'!$C:$FB,118)</f>
        <v>0.85</v>
      </c>
      <c r="M159" s="50">
        <f>VLOOKUP($A159,'Data shares'!$C:$FB,119)</f>
        <v>0.66</v>
      </c>
      <c r="N159" s="50">
        <f>VLOOKUP($A159,'Data shares'!$C:$FB,121)*100</f>
        <v>28.79</v>
      </c>
      <c r="O159" s="50">
        <f>VLOOKUP($A159,'Data shares'!$C:$FB,124)</f>
        <v>0.35</v>
      </c>
      <c r="P159" s="50">
        <f>VLOOKUP($A159,'Data shares'!$C:$FB,125)</f>
        <v>0.34</v>
      </c>
      <c r="Q159" s="50">
        <f>VLOOKUP($A159,'Data shares'!$C:$FB,127)*100</f>
        <v>2.94</v>
      </c>
    </row>
    <row r="160" spans="1:17" x14ac:dyDescent="0.25">
      <c r="A160" s="97" t="str">
        <f>'Data Vlaue (Cr)'!C155</f>
        <v>PETRONET</v>
      </c>
      <c r="B160" s="140">
        <f>VLOOKUP($A160,'Data shares'!$C:$FB,7)</f>
        <v>294.35000000000002</v>
      </c>
      <c r="C160" s="140">
        <f>VLOOKUP($A160,'Data shares'!$C:$FB,3)</f>
        <v>294.75</v>
      </c>
      <c r="D160" s="140">
        <f>VLOOKUP($A160,'Data shares'!$C:$FB,4)</f>
        <v>296.05</v>
      </c>
      <c r="E160" s="50">
        <f t="shared" si="6"/>
        <v>-0.43911501435568695</v>
      </c>
      <c r="F160" s="49">
        <f>VLOOKUP($A160,'Data shares'!$C:$FB,98)</f>
        <v>76904400</v>
      </c>
      <c r="G160" s="49">
        <f>VLOOKUP($A160,'Data shares'!$C:$FB,99)</f>
        <v>79062800</v>
      </c>
      <c r="H160" s="50">
        <f t="shared" si="7"/>
        <v>-2.7299817360376815</v>
      </c>
      <c r="I160" s="49">
        <f>VLOOKUP($A160,'Data shares'!$C:$FB,66)</f>
        <v>31410800</v>
      </c>
      <c r="J160" s="49">
        <f>VLOOKUP($A160,'Data shares'!$C:$FB,67)</f>
        <v>48294200</v>
      </c>
      <c r="K160" s="50">
        <f t="shared" si="8"/>
        <v>-53.750302443745468</v>
      </c>
      <c r="L160" s="50">
        <f>VLOOKUP($A160,'Data shares'!$C:$FB,118)</f>
        <v>1.4</v>
      </c>
      <c r="M160" s="50">
        <f>VLOOKUP($A160,'Data shares'!$C:$FB,119)</f>
        <v>1.4</v>
      </c>
      <c r="N160" s="50">
        <f>VLOOKUP($A160,'Data shares'!$C:$FB,121)*100</f>
        <v>0</v>
      </c>
      <c r="O160" s="50">
        <f>VLOOKUP($A160,'Data shares'!$C:$FB,124)</f>
        <v>0.32</v>
      </c>
      <c r="P160" s="50">
        <f>VLOOKUP($A160,'Data shares'!$C:$FB,125)</f>
        <v>0.27</v>
      </c>
      <c r="Q160" s="50">
        <f>VLOOKUP($A160,'Data shares'!$C:$FB,127)*100</f>
        <v>18.52</v>
      </c>
    </row>
    <row r="161" spans="1:17" x14ac:dyDescent="0.25">
      <c r="A161" s="97" t="str">
        <f>'Data Vlaue (Cr)'!C156</f>
        <v>PFC</v>
      </c>
      <c r="B161" s="140">
        <f>VLOOKUP($A161,'Data shares'!$C:$FB,7)</f>
        <v>376.95</v>
      </c>
      <c r="C161" s="140">
        <f>VLOOKUP($A161,'Data shares'!$C:$FB,3)</f>
        <v>378.7</v>
      </c>
      <c r="D161" s="140">
        <f>VLOOKUP($A161,'Data shares'!$C:$FB,4)</f>
        <v>377.65</v>
      </c>
      <c r="E161" s="50">
        <f t="shared" si="6"/>
        <v>0.27803521779425699</v>
      </c>
      <c r="F161" s="49">
        <f>VLOOKUP($A161,'Data shares'!$C:$FB,98)</f>
        <v>146642600</v>
      </c>
      <c r="G161" s="49">
        <f>VLOOKUP($A161,'Data shares'!$C:$FB,99)</f>
        <v>144765400</v>
      </c>
      <c r="H161" s="50">
        <f t="shared" si="7"/>
        <v>1.2967186910684458</v>
      </c>
      <c r="I161" s="49">
        <f>VLOOKUP($A161,'Data shares'!$C:$FB,66)</f>
        <v>46658300</v>
      </c>
      <c r="J161" s="49">
        <f>VLOOKUP($A161,'Data shares'!$C:$FB,67)</f>
        <v>76131900</v>
      </c>
      <c r="K161" s="50">
        <f t="shared" si="8"/>
        <v>-63.169039592098301</v>
      </c>
      <c r="L161" s="50">
        <f>VLOOKUP($A161,'Data shares'!$C:$FB,118)</f>
        <v>0.75</v>
      </c>
      <c r="M161" s="50">
        <f>VLOOKUP($A161,'Data shares'!$C:$FB,119)</f>
        <v>0.75</v>
      </c>
      <c r="N161" s="50">
        <f>VLOOKUP($A161,'Data shares'!$C:$FB,121)*100</f>
        <v>0</v>
      </c>
      <c r="O161" s="50">
        <f>VLOOKUP($A161,'Data shares'!$C:$FB,124)</f>
        <v>0.42</v>
      </c>
      <c r="P161" s="50">
        <f>VLOOKUP($A161,'Data shares'!$C:$FB,125)</f>
        <v>0.32</v>
      </c>
      <c r="Q161" s="50">
        <f>VLOOKUP($A161,'Data shares'!$C:$FB,127)*100</f>
        <v>31.25</v>
      </c>
    </row>
    <row r="162" spans="1:17" x14ac:dyDescent="0.25">
      <c r="A162" s="97" t="str">
        <f>'Data Vlaue (Cr)'!C157</f>
        <v>PGEL</v>
      </c>
      <c r="B162" s="140">
        <f>VLOOKUP($A162,'Data shares'!$C:$FB,7)</f>
        <v>622.4</v>
      </c>
      <c r="C162" s="140">
        <f>VLOOKUP($A162,'Data shares'!$C:$FB,3)</f>
        <v>623.9</v>
      </c>
      <c r="D162" s="140">
        <f>VLOOKUP($A162,'Data shares'!$C:$FB,4)</f>
        <v>629.25</v>
      </c>
      <c r="E162" s="50">
        <f t="shared" si="6"/>
        <v>-0.85021851410409577</v>
      </c>
      <c r="F162" s="49">
        <f>VLOOKUP($A162,'Data shares'!$C:$FB,98)</f>
        <v>22952950</v>
      </c>
      <c r="G162" s="49">
        <f>VLOOKUP($A162,'Data shares'!$C:$FB,99)</f>
        <v>23239850</v>
      </c>
      <c r="H162" s="50">
        <f t="shared" si="7"/>
        <v>-1.2345174344929077</v>
      </c>
      <c r="I162" s="49">
        <f>VLOOKUP($A162,'Data shares'!$C:$FB,66)</f>
        <v>12446900</v>
      </c>
      <c r="J162" s="49">
        <f>VLOOKUP($A162,'Data shares'!$C:$FB,67)</f>
        <v>19424650</v>
      </c>
      <c r="K162" s="50">
        <f t="shared" si="8"/>
        <v>-56.060143489543577</v>
      </c>
      <c r="L162" s="50">
        <f>VLOOKUP($A162,'Data shares'!$C:$FB,118)</f>
        <v>0.67</v>
      </c>
      <c r="M162" s="50">
        <f>VLOOKUP($A162,'Data shares'!$C:$FB,119)</f>
        <v>0.72</v>
      </c>
      <c r="N162" s="50">
        <f>VLOOKUP($A162,'Data shares'!$C:$FB,121)*100</f>
        <v>-6.94</v>
      </c>
      <c r="O162" s="50">
        <f>VLOOKUP($A162,'Data shares'!$C:$FB,124)</f>
        <v>0.33</v>
      </c>
      <c r="P162" s="50">
        <f>VLOOKUP($A162,'Data shares'!$C:$FB,125)</f>
        <v>0.47</v>
      </c>
      <c r="Q162" s="50">
        <f>VLOOKUP($A162,'Data shares'!$C:$FB,127)*100</f>
        <v>-29.79</v>
      </c>
    </row>
    <row r="163" spans="1:17" x14ac:dyDescent="0.25">
      <c r="A163" s="97" t="str">
        <f>'Data Vlaue (Cr)'!C158</f>
        <v>PHOENIXLTD</v>
      </c>
      <c r="B163" s="140">
        <f>VLOOKUP($A163,'Data shares'!$C:$FB,7)</f>
        <v>1942.6</v>
      </c>
      <c r="C163" s="140">
        <f>VLOOKUP($A163,'Data shares'!$C:$FB,3)</f>
        <v>1946.3</v>
      </c>
      <c r="D163" s="140">
        <f>VLOOKUP($A163,'Data shares'!$C:$FB,4)</f>
        <v>1958.2</v>
      </c>
      <c r="E163" s="50">
        <f t="shared" si="6"/>
        <v>-0.60770094985190948</v>
      </c>
      <c r="F163" s="49">
        <f>VLOOKUP($A163,'Data shares'!$C:$FB,98)</f>
        <v>4944450</v>
      </c>
      <c r="G163" s="49">
        <f>VLOOKUP($A163,'Data shares'!$C:$FB,99)</f>
        <v>4634350</v>
      </c>
      <c r="H163" s="50">
        <f t="shared" si="7"/>
        <v>6.6913375122724865</v>
      </c>
      <c r="I163" s="49">
        <f>VLOOKUP($A163,'Data shares'!$C:$FB,66)</f>
        <v>1450400</v>
      </c>
      <c r="J163" s="49">
        <f>VLOOKUP($A163,'Data shares'!$C:$FB,67)</f>
        <v>2983400</v>
      </c>
      <c r="K163" s="50">
        <f t="shared" si="8"/>
        <v>-105.69498069498069</v>
      </c>
      <c r="L163" s="50">
        <f>VLOOKUP($A163,'Data shares'!$C:$FB,118)</f>
        <v>0.77</v>
      </c>
      <c r="M163" s="50">
        <f>VLOOKUP($A163,'Data shares'!$C:$FB,119)</f>
        <v>0.8</v>
      </c>
      <c r="N163" s="50">
        <f>VLOOKUP($A163,'Data shares'!$C:$FB,121)*100</f>
        <v>-3.75</v>
      </c>
      <c r="O163" s="50">
        <f>VLOOKUP($A163,'Data shares'!$C:$FB,124)</f>
        <v>0.64</v>
      </c>
      <c r="P163" s="50">
        <f>VLOOKUP($A163,'Data shares'!$C:$FB,125)</f>
        <v>0.81</v>
      </c>
      <c r="Q163" s="50">
        <f>VLOOKUP($A163,'Data shares'!$C:$FB,127)*100</f>
        <v>-20.990000000000002</v>
      </c>
    </row>
    <row r="164" spans="1:17" x14ac:dyDescent="0.25">
      <c r="A164" s="97" t="str">
        <f>'Data Vlaue (Cr)'!C159</f>
        <v>PIDILITIND</v>
      </c>
      <c r="B164" s="140">
        <f>VLOOKUP($A164,'Data shares'!$C:$FB,7)</f>
        <v>1514.8</v>
      </c>
      <c r="C164" s="140">
        <f>VLOOKUP($A164,'Data shares'!$C:$FB,3)</f>
        <v>1518.1</v>
      </c>
      <c r="D164" s="140">
        <f>VLOOKUP($A164,'Data shares'!$C:$FB,4)</f>
        <v>1508.9</v>
      </c>
      <c r="E164" s="50">
        <f t="shared" si="6"/>
        <v>0.60971568692423739</v>
      </c>
      <c r="F164" s="49">
        <f>VLOOKUP($A164,'Data shares'!$C:$FB,98)</f>
        <v>9749000</v>
      </c>
      <c r="G164" s="49">
        <f>VLOOKUP($A164,'Data shares'!$C:$FB,99)</f>
        <v>9710000</v>
      </c>
      <c r="H164" s="50">
        <f t="shared" si="7"/>
        <v>0.4016477857878476</v>
      </c>
      <c r="I164" s="49">
        <f>VLOOKUP($A164,'Data shares'!$C:$FB,66)</f>
        <v>3274500</v>
      </c>
      <c r="J164" s="49">
        <f>VLOOKUP($A164,'Data shares'!$C:$FB,67)</f>
        <v>2510000</v>
      </c>
      <c r="K164" s="50">
        <f t="shared" si="8"/>
        <v>23.347075889448771</v>
      </c>
      <c r="L164" s="50">
        <f>VLOOKUP($A164,'Data shares'!$C:$FB,118)</f>
        <v>0.98</v>
      </c>
      <c r="M164" s="50">
        <f>VLOOKUP($A164,'Data shares'!$C:$FB,119)</f>
        <v>0.97</v>
      </c>
      <c r="N164" s="50">
        <f>VLOOKUP($A164,'Data shares'!$C:$FB,121)*100</f>
        <v>1.03</v>
      </c>
      <c r="O164" s="50">
        <f>VLOOKUP($A164,'Data shares'!$C:$FB,124)</f>
        <v>0.23</v>
      </c>
      <c r="P164" s="50">
        <f>VLOOKUP($A164,'Data shares'!$C:$FB,125)</f>
        <v>0.41</v>
      </c>
      <c r="Q164" s="50">
        <f>VLOOKUP($A164,'Data shares'!$C:$FB,127)*100</f>
        <v>-43.9</v>
      </c>
    </row>
    <row r="165" spans="1:17" x14ac:dyDescent="0.25">
      <c r="A165" s="97" t="str">
        <f>'Data Vlaue (Cr)'!C160</f>
        <v>PIIND</v>
      </c>
      <c r="B165" s="140">
        <f>VLOOKUP($A165,'Data shares'!$C:$FB,7)</f>
        <v>3283.8</v>
      </c>
      <c r="C165" s="140">
        <f>VLOOKUP($A165,'Data shares'!$C:$FB,3)</f>
        <v>3301.7</v>
      </c>
      <c r="D165" s="140">
        <f>VLOOKUP($A165,'Data shares'!$C:$FB,4)</f>
        <v>3274.9</v>
      </c>
      <c r="E165" s="50">
        <f t="shared" si="6"/>
        <v>0.81834559833887222</v>
      </c>
      <c r="F165" s="49">
        <f>VLOOKUP($A165,'Data shares'!$C:$FB,98)</f>
        <v>3380825</v>
      </c>
      <c r="G165" s="49">
        <f>VLOOKUP($A165,'Data shares'!$C:$FB,99)</f>
        <v>3387125</v>
      </c>
      <c r="H165" s="50">
        <f t="shared" si="7"/>
        <v>-0.18599845001291657</v>
      </c>
      <c r="I165" s="49">
        <f>VLOOKUP($A165,'Data shares'!$C:$FB,66)</f>
        <v>1685425</v>
      </c>
      <c r="J165" s="49">
        <f>VLOOKUP($A165,'Data shares'!$C:$FB,67)</f>
        <v>1752975</v>
      </c>
      <c r="K165" s="50">
        <f t="shared" si="8"/>
        <v>-4.007891184716021</v>
      </c>
      <c r="L165" s="50">
        <f>VLOOKUP($A165,'Data shares'!$C:$FB,118)</f>
        <v>0.74</v>
      </c>
      <c r="M165" s="50">
        <f>VLOOKUP($A165,'Data shares'!$C:$FB,119)</f>
        <v>0.71</v>
      </c>
      <c r="N165" s="50">
        <f>VLOOKUP($A165,'Data shares'!$C:$FB,121)*100</f>
        <v>4.2299999999999995</v>
      </c>
      <c r="O165" s="50">
        <f>VLOOKUP($A165,'Data shares'!$C:$FB,124)</f>
        <v>0.18</v>
      </c>
      <c r="P165" s="50">
        <f>VLOOKUP($A165,'Data shares'!$C:$FB,125)</f>
        <v>0.21</v>
      </c>
      <c r="Q165" s="50">
        <f>VLOOKUP($A165,'Data shares'!$C:$FB,127)*100</f>
        <v>-14.29</v>
      </c>
    </row>
    <row r="166" spans="1:17" x14ac:dyDescent="0.25">
      <c r="A166" s="97" t="str">
        <f>'Data Vlaue (Cr)'!C161</f>
        <v>PNB</v>
      </c>
      <c r="B166" s="140">
        <f>VLOOKUP($A166,'Data shares'!$C:$FB,7)</f>
        <v>125.68</v>
      </c>
      <c r="C166" s="140">
        <f>VLOOKUP($A166,'Data shares'!$C:$FB,3)</f>
        <v>126.03</v>
      </c>
      <c r="D166" s="140">
        <f>VLOOKUP($A166,'Data shares'!$C:$FB,4)</f>
        <v>125.79</v>
      </c>
      <c r="E166" s="50">
        <f t="shared" si="6"/>
        <v>0.1907941807774822</v>
      </c>
      <c r="F166" s="49">
        <f>VLOOKUP($A166,'Data shares'!$C:$FB,98)</f>
        <v>387600000</v>
      </c>
      <c r="G166" s="49">
        <f>VLOOKUP($A166,'Data shares'!$C:$FB,99)</f>
        <v>379720000</v>
      </c>
      <c r="H166" s="50">
        <f t="shared" si="7"/>
        <v>2.0752133150742655</v>
      </c>
      <c r="I166" s="49">
        <f>VLOOKUP($A166,'Data shares'!$C:$FB,66)</f>
        <v>150896000</v>
      </c>
      <c r="J166" s="49">
        <f>VLOOKUP($A166,'Data shares'!$C:$FB,67)</f>
        <v>118640000</v>
      </c>
      <c r="K166" s="50">
        <f t="shared" si="8"/>
        <v>21.376312162018873</v>
      </c>
      <c r="L166" s="50">
        <f>VLOOKUP($A166,'Data shares'!$C:$FB,118)</f>
        <v>0.96</v>
      </c>
      <c r="M166" s="50">
        <f>VLOOKUP($A166,'Data shares'!$C:$FB,119)</f>
        <v>0.95</v>
      </c>
      <c r="N166" s="50">
        <f>VLOOKUP($A166,'Data shares'!$C:$FB,121)*100</f>
        <v>1.05</v>
      </c>
      <c r="O166" s="50">
        <f>VLOOKUP($A166,'Data shares'!$C:$FB,124)</f>
        <v>0.81</v>
      </c>
      <c r="P166" s="50">
        <f>VLOOKUP($A166,'Data shares'!$C:$FB,125)</f>
        <v>0.61</v>
      </c>
      <c r="Q166" s="50">
        <f>VLOOKUP($A166,'Data shares'!$C:$FB,127)*100</f>
        <v>32.79</v>
      </c>
    </row>
    <row r="167" spans="1:17" x14ac:dyDescent="0.25">
      <c r="A167" s="97" t="str">
        <f>'Data Vlaue (Cr)'!C162</f>
        <v>PNBHOUSING</v>
      </c>
      <c r="B167" s="140">
        <f>VLOOKUP($A167,'Data shares'!$C:$FB,7)</f>
        <v>1004.4</v>
      </c>
      <c r="C167" s="140">
        <f>VLOOKUP($A167,'Data shares'!$C:$FB,3)</f>
        <v>1006.5</v>
      </c>
      <c r="D167" s="140">
        <f>VLOOKUP($A167,'Data shares'!$C:$FB,4)</f>
        <v>1011</v>
      </c>
      <c r="E167" s="50">
        <f t="shared" si="6"/>
        <v>-0.44510385756676557</v>
      </c>
      <c r="F167" s="49">
        <f>VLOOKUP($A167,'Data shares'!$C:$FB,98)</f>
        <v>19674850</v>
      </c>
      <c r="G167" s="49">
        <f>VLOOKUP($A167,'Data shares'!$C:$FB,99)</f>
        <v>19641700</v>
      </c>
      <c r="H167" s="50">
        <f t="shared" si="7"/>
        <v>0.16877357866172479</v>
      </c>
      <c r="I167" s="49">
        <f>VLOOKUP($A167,'Data shares'!$C:$FB,66)</f>
        <v>6093750</v>
      </c>
      <c r="J167" s="49">
        <f>VLOOKUP($A167,'Data shares'!$C:$FB,67)</f>
        <v>3611400</v>
      </c>
      <c r="K167" s="50">
        <f t="shared" si="8"/>
        <v>40.735999999999997</v>
      </c>
      <c r="L167" s="50">
        <f>VLOOKUP($A167,'Data shares'!$C:$FB,118)</f>
        <v>0.69</v>
      </c>
      <c r="M167" s="50">
        <f>VLOOKUP($A167,'Data shares'!$C:$FB,119)</f>
        <v>0.78</v>
      </c>
      <c r="N167" s="50">
        <f>VLOOKUP($A167,'Data shares'!$C:$FB,121)*100</f>
        <v>-11.540000000000001</v>
      </c>
      <c r="O167" s="50">
        <f>VLOOKUP($A167,'Data shares'!$C:$FB,124)</f>
        <v>0.64</v>
      </c>
      <c r="P167" s="50">
        <f>VLOOKUP($A167,'Data shares'!$C:$FB,125)</f>
        <v>0.4</v>
      </c>
      <c r="Q167" s="50">
        <f>VLOOKUP($A167,'Data shares'!$C:$FB,127)*100</f>
        <v>60</v>
      </c>
    </row>
    <row r="168" spans="1:17" x14ac:dyDescent="0.25">
      <c r="A168" s="97" t="str">
        <f>'Data Vlaue (Cr)'!C163</f>
        <v>POLICYBZR</v>
      </c>
      <c r="B168" s="140">
        <f>VLOOKUP($A168,'Data shares'!$C:$FB,7)</f>
        <v>1719.5</v>
      </c>
      <c r="C168" s="140">
        <f>VLOOKUP($A168,'Data shares'!$C:$FB,3)</f>
        <v>1726.4</v>
      </c>
      <c r="D168" s="140">
        <f>VLOOKUP($A168,'Data shares'!$C:$FB,4)</f>
        <v>1748.8</v>
      </c>
      <c r="E168" s="50">
        <f t="shared" si="6"/>
        <v>-1.2808783165599189</v>
      </c>
      <c r="F168" s="49">
        <f>VLOOKUP($A168,'Data shares'!$C:$FB,98)</f>
        <v>10159100</v>
      </c>
      <c r="G168" s="49">
        <f>VLOOKUP($A168,'Data shares'!$C:$FB,99)</f>
        <v>9614500</v>
      </c>
      <c r="H168" s="50">
        <f t="shared" si="7"/>
        <v>5.6643611212231528</v>
      </c>
      <c r="I168" s="49">
        <f>VLOOKUP($A168,'Data shares'!$C:$FB,66)</f>
        <v>5225850</v>
      </c>
      <c r="J168" s="49">
        <f>VLOOKUP($A168,'Data shares'!$C:$FB,67)</f>
        <v>5036150</v>
      </c>
      <c r="K168" s="50">
        <f t="shared" si="8"/>
        <v>3.6300314781327438</v>
      </c>
      <c r="L168" s="50">
        <f>VLOOKUP($A168,'Data shares'!$C:$FB,118)</f>
        <v>0.56999999999999995</v>
      </c>
      <c r="M168" s="50">
        <f>VLOOKUP($A168,'Data shares'!$C:$FB,119)</f>
        <v>0.62</v>
      </c>
      <c r="N168" s="50">
        <f>VLOOKUP($A168,'Data shares'!$C:$FB,121)*100</f>
        <v>-8.06</v>
      </c>
      <c r="O168" s="50">
        <f>VLOOKUP($A168,'Data shares'!$C:$FB,124)</f>
        <v>0.64</v>
      </c>
      <c r="P168" s="50">
        <f>VLOOKUP($A168,'Data shares'!$C:$FB,125)</f>
        <v>0.42</v>
      </c>
      <c r="Q168" s="50">
        <f>VLOOKUP($A168,'Data shares'!$C:$FB,127)*100</f>
        <v>52.38</v>
      </c>
    </row>
    <row r="169" spans="1:17" x14ac:dyDescent="0.25">
      <c r="A169" s="97" t="str">
        <f>'Data Vlaue (Cr)'!C164</f>
        <v>POLYCAB</v>
      </c>
      <c r="B169" s="140">
        <f>VLOOKUP($A169,'Data shares'!$C:$FB,7)</f>
        <v>7897</v>
      </c>
      <c r="C169" s="140">
        <f>VLOOKUP($A169,'Data shares'!$C:$FB,3)</f>
        <v>7936.5</v>
      </c>
      <c r="D169" s="140">
        <f>VLOOKUP($A169,'Data shares'!$C:$FB,4)</f>
        <v>7836</v>
      </c>
      <c r="E169" s="50">
        <f t="shared" si="6"/>
        <v>1.2825421133231241</v>
      </c>
      <c r="F169" s="49">
        <f>VLOOKUP($A169,'Data shares'!$C:$FB,98)</f>
        <v>4489750</v>
      </c>
      <c r="G169" s="49">
        <f>VLOOKUP($A169,'Data shares'!$C:$FB,99)</f>
        <v>4105875</v>
      </c>
      <c r="H169" s="50">
        <f t="shared" si="7"/>
        <v>9.34940786068743</v>
      </c>
      <c r="I169" s="49">
        <f>VLOOKUP($A169,'Data shares'!$C:$FB,66)</f>
        <v>4536750</v>
      </c>
      <c r="J169" s="49">
        <f>VLOOKUP($A169,'Data shares'!$C:$FB,67)</f>
        <v>2532250</v>
      </c>
      <c r="K169" s="50">
        <f t="shared" si="8"/>
        <v>44.183611616245109</v>
      </c>
      <c r="L169" s="50">
        <f>VLOOKUP($A169,'Data shares'!$C:$FB,118)</f>
        <v>0.68</v>
      </c>
      <c r="M169" s="50">
        <f>VLOOKUP($A169,'Data shares'!$C:$FB,119)</f>
        <v>0.87</v>
      </c>
      <c r="N169" s="50">
        <f>VLOOKUP($A169,'Data shares'!$C:$FB,121)*100</f>
        <v>-21.84</v>
      </c>
      <c r="O169" s="50">
        <f>VLOOKUP($A169,'Data shares'!$C:$FB,124)</f>
        <v>0.34</v>
      </c>
      <c r="P169" s="50">
        <f>VLOOKUP($A169,'Data shares'!$C:$FB,125)</f>
        <v>0.46</v>
      </c>
      <c r="Q169" s="50">
        <f>VLOOKUP($A169,'Data shares'!$C:$FB,127)*100</f>
        <v>-26.090000000000003</v>
      </c>
    </row>
    <row r="170" spans="1:17" x14ac:dyDescent="0.25">
      <c r="A170" s="97" t="str">
        <f>'Data Vlaue (Cr)'!C165</f>
        <v>POWERGRID</v>
      </c>
      <c r="B170" s="140">
        <f>VLOOKUP($A170,'Data shares'!$C:$FB,7)</f>
        <v>264.10000000000002</v>
      </c>
      <c r="C170" s="140">
        <f>VLOOKUP($A170,'Data shares'!$C:$FB,3)</f>
        <v>265.39999999999998</v>
      </c>
      <c r="D170" s="140">
        <f>VLOOKUP($A170,'Data shares'!$C:$FB,4)</f>
        <v>269.85000000000002</v>
      </c>
      <c r="E170" s="50">
        <f t="shared" si="6"/>
        <v>-1.6490642949787087</v>
      </c>
      <c r="F170" s="49">
        <f>VLOOKUP($A170,'Data shares'!$C:$FB,98)</f>
        <v>157162300</v>
      </c>
      <c r="G170" s="49">
        <f>VLOOKUP($A170,'Data shares'!$C:$FB,99)</f>
        <v>146537500</v>
      </c>
      <c r="H170" s="50">
        <f t="shared" si="7"/>
        <v>7.2505672609400325</v>
      </c>
      <c r="I170" s="49">
        <f>VLOOKUP($A170,'Data shares'!$C:$FB,66)</f>
        <v>50294900</v>
      </c>
      <c r="J170" s="49">
        <f>VLOOKUP($A170,'Data shares'!$C:$FB,67)</f>
        <v>51683800</v>
      </c>
      <c r="K170" s="50">
        <f t="shared" si="8"/>
        <v>-2.7615125986929092</v>
      </c>
      <c r="L170" s="50">
        <f>VLOOKUP($A170,'Data shares'!$C:$FB,118)</f>
        <v>0.63</v>
      </c>
      <c r="M170" s="50">
        <f>VLOOKUP($A170,'Data shares'!$C:$FB,119)</f>
        <v>0.66</v>
      </c>
      <c r="N170" s="50">
        <f>VLOOKUP($A170,'Data shares'!$C:$FB,121)*100</f>
        <v>-4.55</v>
      </c>
      <c r="O170" s="50">
        <f>VLOOKUP($A170,'Data shares'!$C:$FB,124)</f>
        <v>0.4</v>
      </c>
      <c r="P170" s="50">
        <f>VLOOKUP($A170,'Data shares'!$C:$FB,125)</f>
        <v>0.32</v>
      </c>
      <c r="Q170" s="50">
        <f>VLOOKUP($A170,'Data shares'!$C:$FB,127)*100</f>
        <v>25</v>
      </c>
    </row>
    <row r="171" spans="1:17" x14ac:dyDescent="0.25">
      <c r="A171" s="97" t="str">
        <f>'Data Vlaue (Cr)'!C166</f>
        <v>POWERINDIA</v>
      </c>
      <c r="B171" s="140">
        <f>VLOOKUP($A171,'Data shares'!$C:$FB,7)</f>
        <v>19582</v>
      </c>
      <c r="C171" s="140">
        <f>VLOOKUP($A171,'Data shares'!$C:$FB,3)</f>
        <v>19628</v>
      </c>
      <c r="D171" s="140">
        <f>VLOOKUP($A171,'Data shares'!$C:$FB,4)</f>
        <v>18867</v>
      </c>
      <c r="E171" s="50">
        <f t="shared" si="6"/>
        <v>4.0334976413844279</v>
      </c>
      <c r="F171" s="49">
        <f>VLOOKUP($A171,'Data shares'!$C:$FB,98)</f>
        <v>457650</v>
      </c>
      <c r="G171" s="49">
        <f>VLOOKUP($A171,'Data shares'!$C:$FB,99)</f>
        <v>384700</v>
      </c>
      <c r="H171" s="50">
        <f t="shared" si="7"/>
        <v>18.962828177800883</v>
      </c>
      <c r="I171" s="49">
        <f>VLOOKUP($A171,'Data shares'!$C:$FB,66)</f>
        <v>1691750</v>
      </c>
      <c r="J171" s="49">
        <f>VLOOKUP($A171,'Data shares'!$C:$FB,67)</f>
        <v>216450</v>
      </c>
      <c r="K171" s="50">
        <f t="shared" si="8"/>
        <v>87.205556376533181</v>
      </c>
      <c r="L171" s="50">
        <f>VLOOKUP($A171,'Data shares'!$C:$FB,118)</f>
        <v>0.49</v>
      </c>
      <c r="M171" s="50">
        <f>VLOOKUP($A171,'Data shares'!$C:$FB,119)</f>
        <v>0.49</v>
      </c>
      <c r="N171" s="50">
        <f>VLOOKUP($A171,'Data shares'!$C:$FB,121)*100</f>
        <v>0</v>
      </c>
      <c r="O171" s="50">
        <f>VLOOKUP($A171,'Data shares'!$C:$FB,124)</f>
        <v>0.18</v>
      </c>
      <c r="P171" s="50">
        <f>VLOOKUP($A171,'Data shares'!$C:$FB,125)</f>
        <v>0.42</v>
      </c>
      <c r="Q171" s="50">
        <f>VLOOKUP($A171,'Data shares'!$C:$FB,127)*100</f>
        <v>-57.14</v>
      </c>
    </row>
    <row r="172" spans="1:17" x14ac:dyDescent="0.25">
      <c r="A172" s="97" t="str">
        <f>'Data Vlaue (Cr)'!C167</f>
        <v>PPLPHARMA</v>
      </c>
      <c r="B172" s="140">
        <f>VLOOKUP($A172,'Data shares'!$C:$FB,7)</f>
        <v>180.81</v>
      </c>
      <c r="C172" s="140">
        <f>VLOOKUP($A172,'Data shares'!$C:$FB,3)</f>
        <v>181.82</v>
      </c>
      <c r="D172" s="140">
        <f>VLOOKUP($A172,'Data shares'!$C:$FB,4)</f>
        <v>180.88</v>
      </c>
      <c r="E172" s="50">
        <f t="shared" si="6"/>
        <v>0.51968155683325834</v>
      </c>
      <c r="F172" s="49">
        <f>VLOOKUP($A172,'Data shares'!$C:$FB,98)</f>
        <v>43884750</v>
      </c>
      <c r="G172" s="49">
        <f>VLOOKUP($A172,'Data shares'!$C:$FB,99)</f>
        <v>41005125</v>
      </c>
      <c r="H172" s="50">
        <f t="shared" si="7"/>
        <v>7.0225977850329695</v>
      </c>
      <c r="I172" s="49">
        <f>VLOOKUP($A172,'Data shares'!$C:$FB,66)</f>
        <v>48972000</v>
      </c>
      <c r="J172" s="49">
        <f>VLOOKUP($A172,'Data shares'!$C:$FB,67)</f>
        <v>16952250</v>
      </c>
      <c r="K172" s="50">
        <f t="shared" si="8"/>
        <v>65.383790737564311</v>
      </c>
      <c r="L172" s="50">
        <f>VLOOKUP($A172,'Data shares'!$C:$FB,118)</f>
        <v>0.57999999999999996</v>
      </c>
      <c r="M172" s="50">
        <f>VLOOKUP($A172,'Data shares'!$C:$FB,119)</f>
        <v>0.63</v>
      </c>
      <c r="N172" s="50">
        <f>VLOOKUP($A172,'Data shares'!$C:$FB,121)*100</f>
        <v>-7.9399999999999995</v>
      </c>
      <c r="O172" s="50">
        <f>VLOOKUP($A172,'Data shares'!$C:$FB,124)</f>
        <v>0.17</v>
      </c>
      <c r="P172" s="50">
        <f>VLOOKUP($A172,'Data shares'!$C:$FB,125)</f>
        <v>0.4</v>
      </c>
      <c r="Q172" s="50">
        <f>VLOOKUP($A172,'Data shares'!$C:$FB,127)*100</f>
        <v>-57.499999999999993</v>
      </c>
    </row>
    <row r="173" spans="1:17" x14ac:dyDescent="0.25">
      <c r="A173" s="97" t="str">
        <f>'Data Vlaue (Cr)'!C168</f>
        <v>PREMIERENE</v>
      </c>
      <c r="B173" s="140">
        <f>VLOOKUP($A173,'Data shares'!$C:$FB,7)</f>
        <v>752.05</v>
      </c>
      <c r="C173" s="140">
        <f>VLOOKUP($A173,'Data shares'!$C:$FB,3)</f>
        <v>755.55</v>
      </c>
      <c r="D173" s="140">
        <f>VLOOKUP($A173,'Data shares'!$C:$FB,4)</f>
        <v>763.75</v>
      </c>
      <c r="E173" s="50">
        <f t="shared" ref="E173:E182" si="9">(C173-D173)/D173*100</f>
        <v>-1.0736497545008243</v>
      </c>
      <c r="F173" s="49">
        <f>VLOOKUP($A173,'Data shares'!$C:$FB,98)</f>
        <v>9974525</v>
      </c>
      <c r="G173" s="49">
        <f>VLOOKUP($A173,'Data shares'!$C:$FB,99)</f>
        <v>8407075</v>
      </c>
      <c r="H173" s="50">
        <f t="shared" ref="H173:H182" si="10">(F173-G173)/G173*100</f>
        <v>18.644415566650707</v>
      </c>
      <c r="I173" s="49">
        <f>VLOOKUP($A173,'Data shares'!$C:$FB,66)</f>
        <v>7294450</v>
      </c>
      <c r="J173" s="49">
        <f>VLOOKUP($A173,'Data shares'!$C:$FB,67)</f>
        <v>15024750</v>
      </c>
      <c r="K173" s="50">
        <f t="shared" ref="K173:K182" si="11">(I173-J173)/I173*100</f>
        <v>-105.97509065111146</v>
      </c>
      <c r="L173" s="50">
        <f>VLOOKUP($A173,'Data shares'!$C:$FB,118)</f>
        <v>0.69</v>
      </c>
      <c r="M173" s="50">
        <f>VLOOKUP($A173,'Data shares'!$C:$FB,119)</f>
        <v>0.78</v>
      </c>
      <c r="N173" s="50">
        <f>VLOOKUP($A173,'Data shares'!$C:$FB,121)*100</f>
        <v>-11.540000000000001</v>
      </c>
      <c r="O173" s="50">
        <f>VLOOKUP($A173,'Data shares'!$C:$FB,124)</f>
        <v>0.56999999999999995</v>
      </c>
      <c r="P173" s="50">
        <f>VLOOKUP($A173,'Data shares'!$C:$FB,125)</f>
        <v>1.39</v>
      </c>
      <c r="Q173" s="50">
        <f>VLOOKUP($A173,'Data shares'!$C:$FB,127)*100</f>
        <v>-58.989999999999995</v>
      </c>
    </row>
    <row r="174" spans="1:17" x14ac:dyDescent="0.25">
      <c r="A174" s="97" t="str">
        <f>'Data Vlaue (Cr)'!C169</f>
        <v>PRESTIGE</v>
      </c>
      <c r="B174" s="140">
        <f>VLOOKUP($A174,'Data shares'!$C:$FB,7)</f>
        <v>1619.5</v>
      </c>
      <c r="C174" s="140">
        <f>VLOOKUP($A174,'Data shares'!$C:$FB,3)</f>
        <v>1623.8</v>
      </c>
      <c r="D174" s="140">
        <f>VLOOKUP($A174,'Data shares'!$C:$FB,4)</f>
        <v>1662.2</v>
      </c>
      <c r="E174" s="50">
        <f t="shared" si="9"/>
        <v>-2.3101913127180898</v>
      </c>
      <c r="F174" s="49">
        <f>VLOOKUP($A174,'Data shares'!$C:$FB,98)</f>
        <v>6419250</v>
      </c>
      <c r="G174" s="49">
        <f>VLOOKUP($A174,'Data shares'!$C:$FB,99)</f>
        <v>5773500</v>
      </c>
      <c r="H174" s="50">
        <f t="shared" si="10"/>
        <v>11.184723304754481</v>
      </c>
      <c r="I174" s="49">
        <f>VLOOKUP($A174,'Data shares'!$C:$FB,66)</f>
        <v>4343850</v>
      </c>
      <c r="J174" s="49">
        <f>VLOOKUP($A174,'Data shares'!$C:$FB,67)</f>
        <v>2810700</v>
      </c>
      <c r="K174" s="50">
        <f t="shared" si="11"/>
        <v>35.294727027866983</v>
      </c>
      <c r="L174" s="50">
        <f>VLOOKUP($A174,'Data shares'!$C:$FB,118)</f>
        <v>0.63</v>
      </c>
      <c r="M174" s="50">
        <f>VLOOKUP($A174,'Data shares'!$C:$FB,119)</f>
        <v>0.84</v>
      </c>
      <c r="N174" s="50">
        <f>VLOOKUP($A174,'Data shares'!$C:$FB,121)*100</f>
        <v>-25</v>
      </c>
      <c r="O174" s="50">
        <f>VLOOKUP($A174,'Data shares'!$C:$FB,124)</f>
        <v>0.49</v>
      </c>
      <c r="P174" s="50">
        <f>VLOOKUP($A174,'Data shares'!$C:$FB,125)</f>
        <v>0.34</v>
      </c>
      <c r="Q174" s="50">
        <f>VLOOKUP($A174,'Data shares'!$C:$FB,127)*100</f>
        <v>44.12</v>
      </c>
    </row>
    <row r="175" spans="1:17" x14ac:dyDescent="0.25">
      <c r="A175" s="97" t="str">
        <f>'Data Vlaue (Cr)'!C170</f>
        <v>RBLBANK</v>
      </c>
      <c r="B175" s="140">
        <f>VLOOKUP($A175,'Data shares'!$C:$FB,7)</f>
        <v>318.64999999999998</v>
      </c>
      <c r="C175" s="140">
        <f>VLOOKUP($A175,'Data shares'!$C:$FB,3)</f>
        <v>319.3</v>
      </c>
      <c r="D175" s="140">
        <f>VLOOKUP($A175,'Data shares'!$C:$FB,4)</f>
        <v>320.89999999999998</v>
      </c>
      <c r="E175" s="50">
        <f t="shared" si="9"/>
        <v>-0.49859769398565473</v>
      </c>
      <c r="F175" s="49">
        <f>VLOOKUP($A175,'Data shares'!$C:$FB,98)</f>
        <v>99507675</v>
      </c>
      <c r="G175" s="49">
        <f>VLOOKUP($A175,'Data shares'!$C:$FB,99)</f>
        <v>100787200</v>
      </c>
      <c r="H175" s="50">
        <f t="shared" si="10"/>
        <v>-1.26953125</v>
      </c>
      <c r="I175" s="49">
        <f>VLOOKUP($A175,'Data shares'!$C:$FB,66)</f>
        <v>36449000</v>
      </c>
      <c r="J175" s="49">
        <f>VLOOKUP($A175,'Data shares'!$C:$FB,67)</f>
        <v>42926000</v>
      </c>
      <c r="K175" s="50">
        <f t="shared" si="11"/>
        <v>-17.770034843205575</v>
      </c>
      <c r="L175" s="50">
        <f>VLOOKUP($A175,'Data shares'!$C:$FB,118)</f>
        <v>0.66</v>
      </c>
      <c r="M175" s="50">
        <f>VLOOKUP($A175,'Data shares'!$C:$FB,119)</f>
        <v>0.62</v>
      </c>
      <c r="N175" s="50">
        <f>VLOOKUP($A175,'Data shares'!$C:$FB,121)*100</f>
        <v>6.45</v>
      </c>
      <c r="O175" s="50">
        <f>VLOOKUP($A175,'Data shares'!$C:$FB,124)</f>
        <v>0.59</v>
      </c>
      <c r="P175" s="50">
        <f>VLOOKUP($A175,'Data shares'!$C:$FB,125)</f>
        <v>0.34</v>
      </c>
      <c r="Q175" s="50">
        <f>VLOOKUP($A175,'Data shares'!$C:$FB,127)*100</f>
        <v>73.53</v>
      </c>
    </row>
    <row r="176" spans="1:17" x14ac:dyDescent="0.25">
      <c r="A176" s="97" t="str">
        <f>'Data Vlaue (Cr)'!C171</f>
        <v>RECLTD</v>
      </c>
      <c r="B176" s="140">
        <f>VLOOKUP($A176,'Data shares'!$C:$FB,7)</f>
        <v>385.25</v>
      </c>
      <c r="C176" s="140">
        <f>VLOOKUP($A176,'Data shares'!$C:$FB,3)</f>
        <v>385.45</v>
      </c>
      <c r="D176" s="140">
        <f>VLOOKUP($A176,'Data shares'!$C:$FB,4)</f>
        <v>383.2</v>
      </c>
      <c r="E176" s="50">
        <f t="shared" si="9"/>
        <v>0.58716075156576197</v>
      </c>
      <c r="F176" s="49">
        <f>VLOOKUP($A176,'Data shares'!$C:$FB,98)</f>
        <v>155425200</v>
      </c>
      <c r="G176" s="49">
        <f>VLOOKUP($A176,'Data shares'!$C:$FB,99)</f>
        <v>151334400</v>
      </c>
      <c r="H176" s="50">
        <f t="shared" si="10"/>
        <v>2.7031527531083483</v>
      </c>
      <c r="I176" s="49">
        <f>VLOOKUP($A176,'Data shares'!$C:$FB,66)</f>
        <v>78745800</v>
      </c>
      <c r="J176" s="49">
        <f>VLOOKUP($A176,'Data shares'!$C:$FB,67)</f>
        <v>102956000</v>
      </c>
      <c r="K176" s="50">
        <f t="shared" si="11"/>
        <v>-30.744750831155436</v>
      </c>
      <c r="L176" s="50">
        <f>VLOOKUP($A176,'Data shares'!$C:$FB,118)</f>
        <v>0.8</v>
      </c>
      <c r="M176" s="50">
        <f>VLOOKUP($A176,'Data shares'!$C:$FB,119)</f>
        <v>0.75</v>
      </c>
      <c r="N176" s="50">
        <f>VLOOKUP($A176,'Data shares'!$C:$FB,121)*100</f>
        <v>6.67</v>
      </c>
      <c r="O176" s="50">
        <f>VLOOKUP($A176,'Data shares'!$C:$FB,124)</f>
        <v>0.49</v>
      </c>
      <c r="P176" s="50">
        <f>VLOOKUP($A176,'Data shares'!$C:$FB,125)</f>
        <v>0.35</v>
      </c>
      <c r="Q176" s="50">
        <f>VLOOKUP($A176,'Data shares'!$C:$FB,127)*100</f>
        <v>40</v>
      </c>
    </row>
    <row r="177" spans="1:17" x14ac:dyDescent="0.25">
      <c r="A177" s="97" t="str">
        <f>'Data Vlaue (Cr)'!C172</f>
        <v>RELIANCE</v>
      </c>
      <c r="B177" s="140">
        <f>VLOOKUP($A177,'Data shares'!$C:$FB,7)</f>
        <v>1504.2</v>
      </c>
      <c r="C177" s="140">
        <f>VLOOKUP($A177,'Data shares'!$C:$FB,3)</f>
        <v>1511.5</v>
      </c>
      <c r="D177" s="140">
        <f>VLOOKUP($A177,'Data shares'!$C:$FB,4)</f>
        <v>1514.1</v>
      </c>
      <c r="E177" s="50">
        <f t="shared" si="9"/>
        <v>-0.17171917310612966</v>
      </c>
      <c r="F177" s="49">
        <f>VLOOKUP($A177,'Data shares'!$C:$FB,98)</f>
        <v>222600000</v>
      </c>
      <c r="G177" s="49">
        <f>VLOOKUP($A177,'Data shares'!$C:$FB,99)</f>
        <v>212673500</v>
      </c>
      <c r="H177" s="50">
        <f t="shared" si="10"/>
        <v>4.6674832548483947</v>
      </c>
      <c r="I177" s="49">
        <f>VLOOKUP($A177,'Data shares'!$C:$FB,66)</f>
        <v>141066000</v>
      </c>
      <c r="J177" s="49">
        <f>VLOOKUP($A177,'Data shares'!$C:$FB,67)</f>
        <v>423958000</v>
      </c>
      <c r="K177" s="50">
        <f t="shared" si="11"/>
        <v>-200.53875490904966</v>
      </c>
      <c r="L177" s="50">
        <f>VLOOKUP($A177,'Data shares'!$C:$FB,118)</f>
        <v>0.42</v>
      </c>
      <c r="M177" s="50">
        <f>VLOOKUP($A177,'Data shares'!$C:$FB,119)</f>
        <v>0.42</v>
      </c>
      <c r="N177" s="50">
        <f>VLOOKUP($A177,'Data shares'!$C:$FB,121)*100</f>
        <v>0</v>
      </c>
      <c r="O177" s="50">
        <f>VLOOKUP($A177,'Data shares'!$C:$FB,124)</f>
        <v>0.56999999999999995</v>
      </c>
      <c r="P177" s="50">
        <f>VLOOKUP($A177,'Data shares'!$C:$FB,125)</f>
        <v>0.67</v>
      </c>
      <c r="Q177" s="50">
        <f>VLOOKUP($A177,'Data shares'!$C:$FB,127)*100</f>
        <v>-14.93</v>
      </c>
    </row>
    <row r="178" spans="1:17" x14ac:dyDescent="0.25">
      <c r="A178" s="97" t="str">
        <f>'Data Vlaue (Cr)'!C173</f>
        <v>RVNL</v>
      </c>
      <c r="B178" s="140">
        <f>VLOOKUP($A178,'Data shares'!$C:$FB,7)</f>
        <v>357.4</v>
      </c>
      <c r="C178" s="140">
        <f>VLOOKUP($A178,'Data shares'!$C:$FB,3)</f>
        <v>357.65</v>
      </c>
      <c r="D178" s="140">
        <f>VLOOKUP($A178,'Data shares'!$C:$FB,4)</f>
        <v>356.25</v>
      </c>
      <c r="E178" s="50">
        <f t="shared" si="9"/>
        <v>0.39298245614034449</v>
      </c>
      <c r="F178" s="49">
        <f>VLOOKUP($A178,'Data shares'!$C:$FB,98)</f>
        <v>107748875</v>
      </c>
      <c r="G178" s="49">
        <f>VLOOKUP($A178,'Data shares'!$C:$FB,99)</f>
        <v>104773600</v>
      </c>
      <c r="H178" s="50">
        <f t="shared" si="10"/>
        <v>2.8397182114578481</v>
      </c>
      <c r="I178" s="49">
        <f>VLOOKUP($A178,'Data shares'!$C:$FB,66)</f>
        <v>38892075</v>
      </c>
      <c r="J178" s="49">
        <f>VLOOKUP($A178,'Data shares'!$C:$FB,67)</f>
        <v>44438500</v>
      </c>
      <c r="K178" s="50">
        <f t="shared" si="11"/>
        <v>-14.261067325412697</v>
      </c>
      <c r="L178" s="50">
        <f>VLOOKUP($A178,'Data shares'!$C:$FB,118)</f>
        <v>0.36</v>
      </c>
      <c r="M178" s="50">
        <f>VLOOKUP($A178,'Data shares'!$C:$FB,119)</f>
        <v>0.35</v>
      </c>
      <c r="N178" s="50">
        <f>VLOOKUP($A178,'Data shares'!$C:$FB,121)*100</f>
        <v>2.86</v>
      </c>
      <c r="O178" s="50">
        <f>VLOOKUP($A178,'Data shares'!$C:$FB,124)</f>
        <v>0.3</v>
      </c>
      <c r="P178" s="50">
        <f>VLOOKUP($A178,'Data shares'!$C:$FB,125)</f>
        <v>0.28999999999999998</v>
      </c>
      <c r="Q178" s="50">
        <f>VLOOKUP($A178,'Data shares'!$C:$FB,127)*100</f>
        <v>3.45</v>
      </c>
    </row>
    <row r="179" spans="1:17" x14ac:dyDescent="0.25">
      <c r="A179" s="97" t="str">
        <f>'Data Vlaue (Cr)'!C174</f>
        <v>SAIL</v>
      </c>
      <c r="B179" s="140">
        <f>VLOOKUP($A179,'Data shares'!$C:$FB,7)</f>
        <v>150.37</v>
      </c>
      <c r="C179" s="140">
        <f>VLOOKUP($A179,'Data shares'!$C:$FB,3)</f>
        <v>150.61000000000001</v>
      </c>
      <c r="D179" s="140">
        <f>VLOOKUP($A179,'Data shares'!$C:$FB,4)</f>
        <v>147.87</v>
      </c>
      <c r="E179" s="50">
        <f t="shared" si="9"/>
        <v>1.8529789680124495</v>
      </c>
      <c r="F179" s="49">
        <f>VLOOKUP($A179,'Data shares'!$C:$FB,98)</f>
        <v>279419700</v>
      </c>
      <c r="G179" s="49">
        <f>VLOOKUP($A179,'Data shares'!$C:$FB,99)</f>
        <v>281760300</v>
      </c>
      <c r="H179" s="50">
        <f t="shared" si="10"/>
        <v>-0.83070610018515734</v>
      </c>
      <c r="I179" s="49">
        <f>VLOOKUP($A179,'Data shares'!$C:$FB,66)</f>
        <v>3905700</v>
      </c>
      <c r="J179" s="49">
        <f>VLOOKUP($A179,'Data shares'!$C:$FB,67)</f>
        <v>7444800</v>
      </c>
      <c r="K179" s="50">
        <f t="shared" si="11"/>
        <v>-90.613718411552341</v>
      </c>
      <c r="L179" s="50">
        <f>VLOOKUP($A179,'Data shares'!$C:$FB,118)</f>
        <v>0.77</v>
      </c>
      <c r="M179" s="50">
        <f>VLOOKUP($A179,'Data shares'!$C:$FB,119)</f>
        <v>0.77</v>
      </c>
      <c r="N179" s="50">
        <f>VLOOKUP($A179,'Data shares'!$C:$FB,121)*100</f>
        <v>0</v>
      </c>
      <c r="O179" s="50">
        <f>VLOOKUP($A179,'Data shares'!$C:$FB,124)</f>
        <v>0.95</v>
      </c>
      <c r="P179" s="50">
        <f>VLOOKUP($A179,'Data shares'!$C:$FB,125)</f>
        <v>1.03</v>
      </c>
      <c r="Q179" s="50">
        <f>VLOOKUP($A179,'Data shares'!$C:$FB,127)*100</f>
        <v>-7.7700000000000005</v>
      </c>
    </row>
    <row r="180" spans="1:17" x14ac:dyDescent="0.25">
      <c r="A180" s="97" t="str">
        <f>'Data Vlaue (Cr)'!C175</f>
        <v>SAMMAANCAP</v>
      </c>
      <c r="B180" s="140">
        <f>VLOOKUP($A180,'Data shares'!$C:$FB,7)</f>
        <v>149.94999999999999</v>
      </c>
      <c r="C180" s="140">
        <f>VLOOKUP($A180,'Data shares'!$C:$FB,3)</f>
        <v>150.74</v>
      </c>
      <c r="D180" s="140">
        <f>VLOOKUP($A180,'Data shares'!$C:$FB,4)</f>
        <v>150.51</v>
      </c>
      <c r="E180" s="50">
        <f t="shared" si="9"/>
        <v>0.15281376652715314</v>
      </c>
      <c r="F180" s="49">
        <f>VLOOKUP($A180,'Data shares'!$C:$FB,98)</f>
        <v>180092600</v>
      </c>
      <c r="G180" s="49">
        <f>VLOOKUP($A180,'Data shares'!$C:$FB,99)</f>
        <v>180931100</v>
      </c>
      <c r="H180" s="50">
        <f t="shared" si="10"/>
        <v>-0.46343608146968651</v>
      </c>
      <c r="I180" s="49">
        <f>VLOOKUP($A180,'Data shares'!$C:$FB,66)</f>
        <v>1216900</v>
      </c>
      <c r="J180" s="49">
        <f>VLOOKUP($A180,'Data shares'!$C:$FB,67)</f>
        <v>5344900</v>
      </c>
      <c r="K180" s="50">
        <f t="shared" si="11"/>
        <v>-339.22261484098942</v>
      </c>
      <c r="L180" s="50">
        <f>VLOOKUP($A180,'Data shares'!$C:$FB,118)</f>
        <v>0.73</v>
      </c>
      <c r="M180" s="50">
        <f>VLOOKUP($A180,'Data shares'!$C:$FB,119)</f>
        <v>0.72</v>
      </c>
      <c r="N180" s="50">
        <f>VLOOKUP($A180,'Data shares'!$C:$FB,121)*100</f>
        <v>1.39</v>
      </c>
      <c r="O180" s="50">
        <f>VLOOKUP($A180,'Data shares'!$C:$FB,124)</f>
        <v>0.53</v>
      </c>
      <c r="P180" s="50">
        <f>VLOOKUP($A180,'Data shares'!$C:$FB,125)</f>
        <v>0.41</v>
      </c>
      <c r="Q180" s="50">
        <f>VLOOKUP($A180,'Data shares'!$C:$FB,127)*100</f>
        <v>29.270000000000003</v>
      </c>
    </row>
    <row r="181" spans="1:17" x14ac:dyDescent="0.25">
      <c r="A181" s="97" t="str">
        <f>'Data Vlaue (Cr)'!C176</f>
        <v>SBICARD</v>
      </c>
      <c r="B181" s="140">
        <f>VLOOKUP($A181,'Data shares'!$C:$FB,7)</f>
        <v>885.6</v>
      </c>
      <c r="C181" s="140">
        <f>VLOOKUP($A181,'Data shares'!$C:$FB,3)</f>
        <v>886.9</v>
      </c>
      <c r="D181" s="140">
        <f>VLOOKUP($A181,'Data shares'!$C:$FB,4)</f>
        <v>902.55</v>
      </c>
      <c r="E181" s="50">
        <f t="shared" si="9"/>
        <v>-1.7339759570106896</v>
      </c>
      <c r="F181" s="49">
        <f>VLOOKUP($A181,'Data shares'!$C:$FB,98)</f>
        <v>26325600</v>
      </c>
      <c r="G181" s="49">
        <f>VLOOKUP($A181,'Data shares'!$C:$FB,99)</f>
        <v>24890400</v>
      </c>
      <c r="H181" s="50">
        <f t="shared" si="10"/>
        <v>5.7660784880917939</v>
      </c>
      <c r="I181" s="49">
        <f>VLOOKUP($A181,'Data shares'!$C:$FB,66)</f>
        <v>13336000</v>
      </c>
      <c r="J181" s="49">
        <f>VLOOKUP($A181,'Data shares'!$C:$FB,67)</f>
        <v>27371200</v>
      </c>
      <c r="K181" s="50">
        <f t="shared" si="11"/>
        <v>-105.24295140971806</v>
      </c>
      <c r="L181" s="50">
        <f>VLOOKUP($A181,'Data shares'!$C:$FB,118)</f>
        <v>0.73</v>
      </c>
      <c r="M181" s="50">
        <f>VLOOKUP($A181,'Data shares'!$C:$FB,119)</f>
        <v>0.79</v>
      </c>
      <c r="N181" s="50">
        <f>VLOOKUP($A181,'Data shares'!$C:$FB,121)*100</f>
        <v>-7.59</v>
      </c>
      <c r="O181" s="50">
        <f>VLOOKUP($A181,'Data shares'!$C:$FB,124)</f>
        <v>0.48</v>
      </c>
      <c r="P181" s="50">
        <f>VLOOKUP($A181,'Data shares'!$C:$FB,125)</f>
        <v>0.4</v>
      </c>
      <c r="Q181" s="50">
        <f>VLOOKUP($A181,'Data shares'!$C:$FB,127)*100</f>
        <v>20</v>
      </c>
    </row>
    <row r="182" spans="1:17" x14ac:dyDescent="0.25">
      <c r="A182" s="97" t="str">
        <f>'Data Vlaue (Cr)'!C177</f>
        <v>SBILIFE</v>
      </c>
      <c r="B182" s="140">
        <f>VLOOKUP($A182,'Data shares'!$C:$FB,7)</f>
        <v>2070.8000000000002</v>
      </c>
      <c r="C182" s="140">
        <f>VLOOKUP($A182,'Data shares'!$C:$FB,3)</f>
        <v>2079.1999999999998</v>
      </c>
      <c r="D182" s="140">
        <f>VLOOKUP($A182,'Data shares'!$C:$FB,4)</f>
        <v>2101.1</v>
      </c>
      <c r="E182" s="50">
        <f t="shared" si="9"/>
        <v>-1.0423111703393504</v>
      </c>
      <c r="F182" s="49">
        <f>VLOOKUP($A182,'Data shares'!$C:$FB,98)</f>
        <v>17443500</v>
      </c>
      <c r="G182" s="49">
        <f>VLOOKUP($A182,'Data shares'!$C:$FB,99)</f>
        <v>15452250</v>
      </c>
      <c r="H182" s="50">
        <f t="shared" si="10"/>
        <v>12.886472843760618</v>
      </c>
      <c r="I182" s="49">
        <f>VLOOKUP($A182,'Data shares'!$C:$FB,66)</f>
        <v>9691125</v>
      </c>
      <c r="J182" s="49">
        <f>VLOOKUP($A182,'Data shares'!$C:$FB,67)</f>
        <v>7821000</v>
      </c>
      <c r="K182" s="50">
        <f t="shared" si="11"/>
        <v>19.297295205664977</v>
      </c>
      <c r="L182" s="50">
        <f>VLOOKUP($A182,'Data shares'!$C:$FB,118)</f>
        <v>0.37</v>
      </c>
      <c r="M182" s="50">
        <f>VLOOKUP($A182,'Data shares'!$C:$FB,119)</f>
        <v>0.46</v>
      </c>
      <c r="N182" s="50">
        <f>VLOOKUP($A182,'Data shares'!$C:$FB,121)*100</f>
        <v>-19.57</v>
      </c>
      <c r="O182" s="50">
        <f>VLOOKUP($A182,'Data shares'!$C:$FB,124)</f>
        <v>0.37</v>
      </c>
      <c r="P182" s="50">
        <f>VLOOKUP($A182,'Data shares'!$C:$FB,125)</f>
        <v>0.36</v>
      </c>
      <c r="Q182" s="50">
        <f>VLOOKUP($A182,'Data shares'!$C:$FB,127)*100</f>
        <v>2.78</v>
      </c>
    </row>
    <row r="183" spans="1:17" x14ac:dyDescent="0.25">
      <c r="A183" s="97" t="str">
        <f>'Data Vlaue (Cr)'!C178</f>
        <v>SBIN</v>
      </c>
      <c r="B183" s="140">
        <f>VLOOKUP($A183,'Data shares'!$C:$FB,7)</f>
        <v>1007.15</v>
      </c>
      <c r="C183" s="140">
        <f>VLOOKUP($A183,'Data shares'!$C:$FB,3)</f>
        <v>1009.25</v>
      </c>
      <c r="D183" s="140">
        <f>VLOOKUP($A183,'Data shares'!$C:$FB,4)</f>
        <v>1021.2</v>
      </c>
      <c r="E183" s="50">
        <f>(C183-D183)/D183*100</f>
        <v>-1.1701919310615008</v>
      </c>
      <c r="F183" s="49">
        <f>VLOOKUP($A183,'Data shares'!$C:$FB,98)</f>
        <v>139924500</v>
      </c>
      <c r="G183" s="49">
        <f>VLOOKUP($A183,'Data shares'!$C:$FB,99)</f>
        <v>144605250</v>
      </c>
      <c r="H183" s="50">
        <f>(F183-G183)/G183*100</f>
        <v>-3.2369156721488332</v>
      </c>
      <c r="I183" s="49">
        <f>VLOOKUP($A183,'Data shares'!$C:$FB,66)</f>
        <v>129539250</v>
      </c>
      <c r="J183" s="49">
        <f>VLOOKUP($A183,'Data shares'!$C:$FB,67)</f>
        <v>169794750</v>
      </c>
      <c r="K183" s="50">
        <f>(I183-J183)/I183*100</f>
        <v>-31.075909425135624</v>
      </c>
      <c r="L183" s="50">
        <f>VLOOKUP($A183,'Data shares'!$C:$FB,118)</f>
        <v>0.69</v>
      </c>
      <c r="M183" s="50">
        <f>VLOOKUP($A183,'Data shares'!$C:$FB,119)</f>
        <v>0.86</v>
      </c>
      <c r="N183" s="50">
        <f>VLOOKUP($A183,'Data shares'!$C:$FB,121)*100</f>
        <v>-19.77</v>
      </c>
      <c r="O183" s="50">
        <f>VLOOKUP($A183,'Data shares'!$C:$FB,124)</f>
        <v>0.77</v>
      </c>
      <c r="P183" s="50">
        <f>VLOOKUP($A183,'Data shares'!$C:$FB,125)</f>
        <v>0.59</v>
      </c>
      <c r="Q183" s="50">
        <f>VLOOKUP($A183,'Data shares'!$C:$FB,127)*100</f>
        <v>30.509999999999998</v>
      </c>
    </row>
    <row r="184" spans="1:17" x14ac:dyDescent="0.25">
      <c r="A184" s="97" t="str">
        <f>'Data Vlaue (Cr)'!C179</f>
        <v>SHREECEM</v>
      </c>
      <c r="B184" s="140">
        <f>VLOOKUP($A184,'Data shares'!$C:$FB,7)</f>
        <v>27320</v>
      </c>
      <c r="C184" s="140">
        <f>VLOOKUP($A184,'Data shares'!$C:$FB,3)</f>
        <v>27455</v>
      </c>
      <c r="D184" s="140">
        <f>VLOOKUP($A184,'Data shares'!$C:$FB,4)</f>
        <v>27695</v>
      </c>
      <c r="E184" s="50">
        <f t="shared" ref="E184:E189" si="12">(C184-D184)/D184*100</f>
        <v>-0.86658241559848348</v>
      </c>
      <c r="F184" s="49">
        <f>VLOOKUP($A184,'Data shares'!$C:$FB,98)</f>
        <v>394925</v>
      </c>
      <c r="G184" s="49">
        <f>VLOOKUP($A184,'Data shares'!$C:$FB,99)</f>
        <v>392300</v>
      </c>
      <c r="H184" s="50">
        <f t="shared" ref="H184:H189" si="13">(F184-G184)/G184*100</f>
        <v>0.66913076726994647</v>
      </c>
      <c r="I184" s="49">
        <f>VLOOKUP($A184,'Data shares'!$C:$FB,66)</f>
        <v>119175</v>
      </c>
      <c r="J184" s="49">
        <f>VLOOKUP($A184,'Data shares'!$C:$FB,67)</f>
        <v>409050</v>
      </c>
      <c r="K184" s="50">
        <f t="shared" ref="K184:K189" si="14">(I184-J184)/I184*100</f>
        <v>-243.23473882945251</v>
      </c>
      <c r="L184" s="50">
        <f>VLOOKUP($A184,'Data shares'!$C:$FB,118)</f>
        <v>0.69</v>
      </c>
      <c r="M184" s="50">
        <f>VLOOKUP($A184,'Data shares'!$C:$FB,119)</f>
        <v>0.71</v>
      </c>
      <c r="N184" s="50">
        <f>VLOOKUP($A184,'Data shares'!$C:$FB,121)*100</f>
        <v>-2.82</v>
      </c>
      <c r="O184" s="50">
        <f>VLOOKUP($A184,'Data shares'!$C:$FB,124)</f>
        <v>0.77</v>
      </c>
      <c r="P184" s="50">
        <f>VLOOKUP($A184,'Data shares'!$C:$FB,125)</f>
        <v>0.43</v>
      </c>
      <c r="Q184" s="50">
        <f>VLOOKUP($A184,'Data shares'!$C:$FB,127)*100</f>
        <v>79.069999999999993</v>
      </c>
    </row>
    <row r="185" spans="1:17" x14ac:dyDescent="0.25">
      <c r="A185" s="97" t="str">
        <f>'Data Vlaue (Cr)'!C180</f>
        <v>SHRIRAMFIN</v>
      </c>
      <c r="B185" s="140">
        <f>VLOOKUP($A185,'Data shares'!$C:$FB,7)</f>
        <v>995.85</v>
      </c>
      <c r="C185" s="140">
        <f>VLOOKUP($A185,'Data shares'!$C:$FB,3)</f>
        <v>1000.8</v>
      </c>
      <c r="D185" s="140">
        <f>VLOOKUP($A185,'Data shares'!$C:$FB,4)</f>
        <v>1007</v>
      </c>
      <c r="E185" s="50">
        <f t="shared" si="12"/>
        <v>-0.61569016881827665</v>
      </c>
      <c r="F185" s="49">
        <f>VLOOKUP($A185,'Data shares'!$C:$FB,98)</f>
        <v>74051175</v>
      </c>
      <c r="G185" s="49">
        <f>VLOOKUP($A185,'Data shares'!$C:$FB,99)</f>
        <v>74065200</v>
      </c>
      <c r="H185" s="50">
        <f t="shared" si="13"/>
        <v>-1.8936018535020496E-2</v>
      </c>
      <c r="I185" s="49">
        <f>VLOOKUP($A185,'Data shares'!$C:$FB,66)</f>
        <v>20224050</v>
      </c>
      <c r="J185" s="49">
        <f>VLOOKUP($A185,'Data shares'!$C:$FB,67)</f>
        <v>25203750</v>
      </c>
      <c r="K185" s="50">
        <f t="shared" si="14"/>
        <v>-24.62266459982051</v>
      </c>
      <c r="L185" s="50">
        <f>VLOOKUP($A185,'Data shares'!$C:$FB,118)</f>
        <v>0.88</v>
      </c>
      <c r="M185" s="50">
        <f>VLOOKUP($A185,'Data shares'!$C:$FB,119)</f>
        <v>0.89</v>
      </c>
      <c r="N185" s="50">
        <f>VLOOKUP($A185,'Data shares'!$C:$FB,121)*100</f>
        <v>-1.1199999999999999</v>
      </c>
      <c r="O185" s="50">
        <f>VLOOKUP($A185,'Data shares'!$C:$FB,124)</f>
        <v>0.61</v>
      </c>
      <c r="P185" s="50">
        <f>VLOOKUP($A185,'Data shares'!$C:$FB,125)</f>
        <v>0.61</v>
      </c>
      <c r="Q185" s="50">
        <f>VLOOKUP($A185,'Data shares'!$C:$FB,127)*100</f>
        <v>0</v>
      </c>
    </row>
    <row r="186" spans="1:17" x14ac:dyDescent="0.25">
      <c r="A186" s="97" t="str">
        <f>'Data Vlaue (Cr)'!C181</f>
        <v>SIEMENS</v>
      </c>
      <c r="B186" s="140">
        <f>VLOOKUP($A186,'Data shares'!$C:$FB,7)</f>
        <v>3133.6</v>
      </c>
      <c r="C186" s="140">
        <f>VLOOKUP($A186,'Data shares'!$C:$FB,3)</f>
        <v>3137.9</v>
      </c>
      <c r="D186" s="140">
        <f>VLOOKUP($A186,'Data shares'!$C:$FB,4)</f>
        <v>3134.5</v>
      </c>
      <c r="E186" s="50">
        <f t="shared" si="12"/>
        <v>0.10847025043866936</v>
      </c>
      <c r="F186" s="49">
        <f>VLOOKUP($A186,'Data shares'!$C:$FB,98)</f>
        <v>4247075</v>
      </c>
      <c r="G186" s="49">
        <f>VLOOKUP($A186,'Data shares'!$C:$FB,99)</f>
        <v>4191250</v>
      </c>
      <c r="H186" s="50">
        <f t="shared" si="13"/>
        <v>1.3319415448851775</v>
      </c>
      <c r="I186" s="49">
        <f>VLOOKUP($A186,'Data shares'!$C:$FB,66)</f>
        <v>2667875</v>
      </c>
      <c r="J186" s="49">
        <f>VLOOKUP($A186,'Data shares'!$C:$FB,67)</f>
        <v>3094700</v>
      </c>
      <c r="K186" s="50">
        <f t="shared" si="14"/>
        <v>-15.998688094457201</v>
      </c>
      <c r="L186" s="50">
        <f>VLOOKUP($A186,'Data shares'!$C:$FB,118)</f>
        <v>0.56000000000000005</v>
      </c>
      <c r="M186" s="50">
        <f>VLOOKUP($A186,'Data shares'!$C:$FB,119)</f>
        <v>0.6</v>
      </c>
      <c r="N186" s="50">
        <f>VLOOKUP($A186,'Data shares'!$C:$FB,121)*100</f>
        <v>-6.67</v>
      </c>
      <c r="O186" s="50">
        <f>VLOOKUP($A186,'Data shares'!$C:$FB,124)</f>
        <v>0.4</v>
      </c>
      <c r="P186" s="50">
        <f>VLOOKUP($A186,'Data shares'!$C:$FB,125)</f>
        <v>0.41</v>
      </c>
      <c r="Q186" s="50">
        <f>VLOOKUP($A186,'Data shares'!$C:$FB,127)*100</f>
        <v>-2.44</v>
      </c>
    </row>
    <row r="187" spans="1:17" x14ac:dyDescent="0.25">
      <c r="A187" s="97" t="str">
        <f>'Data Vlaue (Cr)'!C182</f>
        <v>SOLARINDS</v>
      </c>
      <c r="B187" s="140">
        <f>VLOOKUP($A187,'Data shares'!$C:$FB,7)</f>
        <v>13328</v>
      </c>
      <c r="C187" s="140">
        <f>VLOOKUP($A187,'Data shares'!$C:$FB,3)</f>
        <v>13391</v>
      </c>
      <c r="D187" s="140">
        <f>VLOOKUP($A187,'Data shares'!$C:$FB,4)</f>
        <v>12885</v>
      </c>
      <c r="E187" s="50">
        <f t="shared" si="12"/>
        <v>3.9270469538222739</v>
      </c>
      <c r="F187" s="49">
        <f>VLOOKUP($A187,'Data shares'!$C:$FB,98)</f>
        <v>1816050</v>
      </c>
      <c r="G187" s="49">
        <f>VLOOKUP($A187,'Data shares'!$C:$FB,99)</f>
        <v>1795600</v>
      </c>
      <c r="H187" s="50">
        <f t="shared" si="13"/>
        <v>1.1388950768545334</v>
      </c>
      <c r="I187" s="49">
        <f>VLOOKUP($A187,'Data shares'!$C:$FB,66)</f>
        <v>3124050</v>
      </c>
      <c r="J187" s="49">
        <f>VLOOKUP($A187,'Data shares'!$C:$FB,67)</f>
        <v>738350</v>
      </c>
      <c r="K187" s="50">
        <f t="shared" si="14"/>
        <v>76.365615147004689</v>
      </c>
      <c r="L187" s="50">
        <f>VLOOKUP($A187,'Data shares'!$C:$FB,118)</f>
        <v>0.81</v>
      </c>
      <c r="M187" s="50">
        <f>VLOOKUP($A187,'Data shares'!$C:$FB,119)</f>
        <v>0.65</v>
      </c>
      <c r="N187" s="50">
        <f>VLOOKUP($A187,'Data shares'!$C:$FB,121)*100</f>
        <v>24.62</v>
      </c>
      <c r="O187" s="50">
        <f>VLOOKUP($A187,'Data shares'!$C:$FB,124)</f>
        <v>0.24</v>
      </c>
      <c r="P187" s="50">
        <f>VLOOKUP($A187,'Data shares'!$C:$FB,125)</f>
        <v>0.37</v>
      </c>
      <c r="Q187" s="50">
        <f>VLOOKUP($A187,'Data shares'!$C:$FB,127)*100</f>
        <v>-35.14</v>
      </c>
    </row>
    <row r="188" spans="1:17" x14ac:dyDescent="0.25">
      <c r="A188" s="97" t="str">
        <f>'Data Vlaue (Cr)'!C183</f>
        <v>SONACOMS</v>
      </c>
      <c r="B188" s="140">
        <f>VLOOKUP($A188,'Data shares'!$C:$FB,7)</f>
        <v>473.8</v>
      </c>
      <c r="C188" s="140">
        <f>VLOOKUP($A188,'Data shares'!$C:$FB,3)</f>
        <v>475.05</v>
      </c>
      <c r="D188" s="140">
        <f>VLOOKUP($A188,'Data shares'!$C:$FB,4)</f>
        <v>478.7</v>
      </c>
      <c r="E188" s="50">
        <f t="shared" si="12"/>
        <v>-0.7624817213285936</v>
      </c>
      <c r="F188" s="49">
        <f>VLOOKUP($A188,'Data shares'!$C:$FB,98)</f>
        <v>19826625</v>
      </c>
      <c r="G188" s="49">
        <f>VLOOKUP($A188,'Data shares'!$C:$FB,99)</f>
        <v>19080600</v>
      </c>
      <c r="H188" s="50">
        <f t="shared" si="13"/>
        <v>3.9098613251155623</v>
      </c>
      <c r="I188" s="49">
        <f>VLOOKUP($A188,'Data shares'!$C:$FB,66)</f>
        <v>4826500</v>
      </c>
      <c r="J188" s="49">
        <f>VLOOKUP($A188,'Data shares'!$C:$FB,67)</f>
        <v>8129100</v>
      </c>
      <c r="K188" s="50">
        <f t="shared" si="14"/>
        <v>-68.426395939086291</v>
      </c>
      <c r="L188" s="50">
        <f>VLOOKUP($A188,'Data shares'!$C:$FB,118)</f>
        <v>0.62</v>
      </c>
      <c r="M188" s="50">
        <f>VLOOKUP($A188,'Data shares'!$C:$FB,119)</f>
        <v>0.67</v>
      </c>
      <c r="N188" s="50">
        <f>VLOOKUP($A188,'Data shares'!$C:$FB,121)*100</f>
        <v>-7.46</v>
      </c>
      <c r="O188" s="50">
        <f>VLOOKUP($A188,'Data shares'!$C:$FB,124)</f>
        <v>0.56000000000000005</v>
      </c>
      <c r="P188" s="50">
        <f>VLOOKUP($A188,'Data shares'!$C:$FB,125)</f>
        <v>0.55000000000000004</v>
      </c>
      <c r="Q188" s="50">
        <f>VLOOKUP($A188,'Data shares'!$C:$FB,127)*100</f>
        <v>1.82</v>
      </c>
    </row>
    <row r="189" spans="1:17" x14ac:dyDescent="0.25">
      <c r="A189" s="97" t="str">
        <f>'Data Vlaue (Cr)'!C215</f>
        <v>ZYDUSLIFE</v>
      </c>
      <c r="B189" s="140">
        <f>VLOOKUP($A189,'Data shares'!$C:$FB,7)</f>
        <v>927.55</v>
      </c>
      <c r="C189" s="140">
        <f>VLOOKUP($A189,'Data shares'!$C:$FB,3)</f>
        <v>929.55</v>
      </c>
      <c r="D189" s="140">
        <f>VLOOKUP($A189,'Data shares'!$C:$FB,4)</f>
        <v>935.85</v>
      </c>
      <c r="E189" s="50">
        <f t="shared" si="12"/>
        <v>-0.67318480525725999</v>
      </c>
      <c r="F189" s="49">
        <f>VLOOKUP($A189,'Data shares'!$C:$FB,98)</f>
        <v>17306100</v>
      </c>
      <c r="G189" s="49">
        <f>VLOOKUP($A189,'Data shares'!$C:$FB,99)</f>
        <v>16335900</v>
      </c>
      <c r="H189" s="50">
        <f t="shared" si="13"/>
        <v>5.9390667180871572</v>
      </c>
      <c r="I189" s="49">
        <f>VLOOKUP($A189,'Data shares'!$C:$FB,66)</f>
        <v>12229200</v>
      </c>
      <c r="J189" s="49">
        <f>VLOOKUP($A189,'Data shares'!$C:$FB,67)</f>
        <v>9478800</v>
      </c>
      <c r="K189" s="50">
        <f t="shared" si="14"/>
        <v>22.490432734765971</v>
      </c>
      <c r="L189" s="50">
        <f>VLOOKUP($A189,'Data shares'!$C:$FB,118)</f>
        <v>0.9</v>
      </c>
      <c r="M189" s="50">
        <f>VLOOKUP($A189,'Data shares'!$C:$FB,119)</f>
        <v>0.77</v>
      </c>
      <c r="N189" s="50">
        <f>VLOOKUP($A189,'Data shares'!$C:$FB,121)*100</f>
        <v>16.88</v>
      </c>
      <c r="O189" s="50">
        <f>VLOOKUP($A189,'Data shares'!$C:$FB,124)</f>
        <v>0.46</v>
      </c>
      <c r="P189" s="50">
        <f>VLOOKUP($A189,'Data shares'!$C:$FB,125)</f>
        <v>0.21</v>
      </c>
      <c r="Q189" s="50">
        <f>VLOOKUP($A189,'Data shares'!$C:$FB,127)*100</f>
        <v>119.04999999999998</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SUM(F7:F172)</f>
        <v>23159495556</v>
      </c>
      <c r="G231" s="113">
        <f>SUM(G7:G172)</f>
        <v>23058791446</v>
      </c>
      <c r="H231" s="114">
        <f>(F231-G231)/G231*100</f>
        <v>0.43672761530383286</v>
      </c>
      <c r="I231" s="113">
        <f>SUM(I7:I172)</f>
        <v>12872520744</v>
      </c>
      <c r="J231" s="113">
        <f>SUM(J7:J172)</f>
        <v>31700725944</v>
      </c>
      <c r="K231" s="114">
        <f>(I231-J231)/J231*100</f>
        <v>-59.393608945298041</v>
      </c>
      <c r="L231" s="113"/>
      <c r="M231" s="113"/>
      <c r="N231" s="113"/>
      <c r="O231" s="113"/>
      <c r="P231" s="263"/>
      <c r="Q231" s="263"/>
    </row>
    <row r="232" spans="1:17" s="64" customFormat="1" x14ac:dyDescent="0.25">
      <c r="A232" s="263" t="s">
        <v>398</v>
      </c>
      <c r="B232" s="263"/>
      <c r="C232" s="263"/>
      <c r="D232" s="263"/>
      <c r="E232" s="263"/>
      <c r="F232" s="113">
        <f>F231/10000000</f>
        <v>2315.9495556000002</v>
      </c>
      <c r="G232" s="113">
        <f>G231/10000000</f>
        <v>2305.8791446</v>
      </c>
      <c r="H232" s="114">
        <f>(F232-G232)/G232*100</f>
        <v>0.43672761530383936</v>
      </c>
      <c r="I232" s="113">
        <f>I231/10000000</f>
        <v>1287.2520744000001</v>
      </c>
      <c r="J232" s="113">
        <f>J231/10000000</f>
        <v>3170.0725944000001</v>
      </c>
      <c r="K232" s="114">
        <f>(I232-J232)/J232*100</f>
        <v>-59.393608945298041</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tabSelected="1" workbookViewId="0">
      <selection activeCell="L11" sqref="L11"/>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(Value)'!H150</f>
        <v>1093325</v>
      </c>
      <c r="C3" s="159">
        <f>'OI(Volume)'!G146</f>
        <v>4.8999999999999998E-3</v>
      </c>
      <c r="D3" s="153">
        <f>'Snapshot (Value)'!P146</f>
        <v>0.55000000000000004</v>
      </c>
      <c r="E3" s="153">
        <f>'Snapshot (Value)'!R146</f>
        <v>0.23</v>
      </c>
      <c r="F3" s="153">
        <f>IV!E146</f>
        <v>13.81</v>
      </c>
      <c r="G3" s="153">
        <f>IV!B146</f>
        <v>8.0399999999999991</v>
      </c>
      <c r="H3" s="153">
        <f>'Snapshot (Value)'!C150</f>
        <v>26140.75</v>
      </c>
      <c r="I3" s="153">
        <f>'Snapshot (Value)'!D150</f>
        <v>26235.3</v>
      </c>
      <c r="J3" s="153">
        <f>'Snapshot (Value)'!E150</f>
        <v>26285.1</v>
      </c>
      <c r="K3" s="153">
        <f>(I3-H3)</f>
        <v>94.549999999999272</v>
      </c>
      <c r="L3" s="232">
        <f>'Data Vlaue (Cr)'!V141</f>
        <v>26567.7</v>
      </c>
    </row>
    <row r="4" spans="1:12" x14ac:dyDescent="0.25">
      <c r="A4" t="s">
        <v>464</v>
      </c>
      <c r="B4" s="154">
        <f>'Snapshot (Value)'!H37</f>
        <v>171899</v>
      </c>
      <c r="C4" s="159">
        <f>'OI(Volume)'!G33</f>
        <v>-0.1028</v>
      </c>
      <c r="D4" s="153">
        <f>'Snapshot (Value)'!P37</f>
        <v>1.0900000000000001</v>
      </c>
      <c r="E4" s="153">
        <f>'Snapshot (Value)'!R37</f>
        <v>1.02</v>
      </c>
      <c r="F4" s="153">
        <f>IV!E33</f>
        <v>15.56</v>
      </c>
      <c r="G4" s="153">
        <f>IV!B33</f>
        <v>10.18</v>
      </c>
      <c r="H4" s="153">
        <f>'Snapshot (Value)'!C37</f>
        <v>59990.85</v>
      </c>
      <c r="I4" s="153">
        <f>'Snapshot (Value)'!D37</f>
        <v>60171.199999999997</v>
      </c>
      <c r="J4" s="153">
        <f>'Snapshot (Value)'!E37</f>
        <v>60312.800000000003</v>
      </c>
      <c r="K4" s="153">
        <f>(I4-H4)</f>
        <v>180.34999999999854</v>
      </c>
      <c r="L4" s="232">
        <f>'Data Vlaue (Cr)'!V28</f>
        <v>60901</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632</v>
      </c>
      <c r="C1" s="330"/>
      <c r="D1" s="331"/>
      <c r="E1" s="332" t="s">
        <v>633</v>
      </c>
      <c r="F1" s="333"/>
      <c r="G1" s="334"/>
      <c r="H1" s="335" t="s">
        <v>634</v>
      </c>
      <c r="I1" s="336"/>
      <c r="J1" s="337"/>
      <c r="K1" s="338" t="s">
        <v>635</v>
      </c>
      <c r="L1" s="339"/>
      <c r="M1" s="340"/>
    </row>
    <row r="2" spans="1:13" ht="26.25" thickBot="1" x14ac:dyDescent="0.25">
      <c r="A2" s="328"/>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7" t="s">
        <v>641</v>
      </c>
      <c r="B6" s="329" t="s">
        <v>632</v>
      </c>
      <c r="C6" s="330"/>
      <c r="D6" s="331"/>
      <c r="E6" s="332" t="s">
        <v>633</v>
      </c>
      <c r="F6" s="333"/>
      <c r="G6" s="334"/>
      <c r="H6" s="335" t="s">
        <v>634</v>
      </c>
      <c r="I6" s="336"/>
      <c r="J6" s="337"/>
      <c r="K6" s="338" t="s">
        <v>635</v>
      </c>
      <c r="L6" s="339"/>
      <c r="M6" s="340"/>
    </row>
    <row r="7" spans="1:13" ht="26.25" thickBot="1" x14ac:dyDescent="0.25">
      <c r="A7" s="328"/>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7" t="s">
        <v>642</v>
      </c>
      <c r="B11" s="329" t="s">
        <v>632</v>
      </c>
      <c r="C11" s="330"/>
      <c r="D11" s="331"/>
      <c r="E11" s="332" t="s">
        <v>633</v>
      </c>
      <c r="F11" s="333"/>
      <c r="G11" s="334"/>
      <c r="H11" s="335" t="s">
        <v>634</v>
      </c>
      <c r="I11" s="336"/>
      <c r="J11" s="337"/>
      <c r="K11" s="338" t="s">
        <v>635</v>
      </c>
      <c r="L11" s="339"/>
      <c r="M11" s="340"/>
    </row>
    <row r="12" spans="1:13" ht="26.25" thickBot="1" x14ac:dyDescent="0.25">
      <c r="A12" s="328"/>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7" t="s">
        <v>395</v>
      </c>
      <c r="B16" s="329" t="s">
        <v>632</v>
      </c>
      <c r="C16" s="330"/>
      <c r="D16" s="331"/>
      <c r="E16" s="332" t="s">
        <v>633</v>
      </c>
      <c r="F16" s="333"/>
      <c r="G16" s="334"/>
      <c r="H16" s="335" t="s">
        <v>634</v>
      </c>
      <c r="I16" s="336"/>
      <c r="J16" s="337"/>
      <c r="K16" s="338" t="s">
        <v>635</v>
      </c>
      <c r="L16" s="339"/>
      <c r="M16" s="340"/>
    </row>
    <row r="17" spans="1:13" ht="26.25" thickBot="1" x14ac:dyDescent="0.25">
      <c r="A17" s="328"/>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7" t="s">
        <v>643</v>
      </c>
      <c r="B21" s="329" t="s">
        <v>632</v>
      </c>
      <c r="C21" s="330"/>
      <c r="D21" s="331"/>
      <c r="E21" s="332" t="s">
        <v>633</v>
      </c>
      <c r="F21" s="333"/>
      <c r="G21" s="334"/>
      <c r="H21" s="335" t="s">
        <v>634</v>
      </c>
      <c r="I21" s="336"/>
      <c r="J21" s="337"/>
      <c r="K21" s="338" t="s">
        <v>635</v>
      </c>
      <c r="L21" s="339"/>
      <c r="M21" s="340"/>
    </row>
    <row r="22" spans="1:13" ht="26.25" thickBot="1" x14ac:dyDescent="0.25">
      <c r="A22" s="328"/>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7" t="s">
        <v>644</v>
      </c>
      <c r="B26" s="329" t="s">
        <v>632</v>
      </c>
      <c r="C26" s="330"/>
      <c r="D26" s="331"/>
      <c r="E26" s="332" t="s">
        <v>633</v>
      </c>
      <c r="F26" s="333"/>
      <c r="G26" s="334"/>
      <c r="H26" s="335" t="s">
        <v>634</v>
      </c>
      <c r="I26" s="336"/>
      <c r="J26" s="337"/>
      <c r="K26" s="338" t="s">
        <v>635</v>
      </c>
      <c r="L26" s="339"/>
      <c r="M26" s="340"/>
    </row>
    <row r="27" spans="1:13" ht="26.25" thickBot="1" x14ac:dyDescent="0.25">
      <c r="A27" s="328"/>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4157</v>
      </c>
      <c r="C3" s="200"/>
      <c r="D3" s="200"/>
    </row>
    <row r="4" spans="1:4" x14ac:dyDescent="0.25">
      <c r="A4" s="217" t="s">
        <v>320</v>
      </c>
      <c r="B4" s="220">
        <f>VLOOKUP($B$1,'Snapshot (Value)'!$A:$S,6,0)</f>
        <v>7.3000000000001819</v>
      </c>
      <c r="C4" s="200"/>
      <c r="D4" s="200"/>
    </row>
    <row r="5" spans="1:4" x14ac:dyDescent="0.25">
      <c r="A5" s="221"/>
      <c r="B5" s="222" t="s">
        <v>649</v>
      </c>
      <c r="C5" s="222" t="s">
        <v>650</v>
      </c>
      <c r="D5" s="222" t="s">
        <v>651</v>
      </c>
    </row>
    <row r="6" spans="1:4" x14ac:dyDescent="0.25">
      <c r="A6" s="217" t="s">
        <v>652</v>
      </c>
      <c r="B6" s="219">
        <f>VLOOKUP($B$1,'Snapshot (Value)'!$A:$S,4,0)</f>
        <v>4164.3</v>
      </c>
      <c r="C6" s="219">
        <f>VLOOKUP($B$1,'Snapshot (Value)'!$A:$S,5,0)</f>
        <v>4160.1000000000004</v>
      </c>
      <c r="D6" s="219">
        <f>+(B6/C6-1)*100</f>
        <v>0.1009591115598063</v>
      </c>
    </row>
    <row r="7" spans="1:4" x14ac:dyDescent="0.25">
      <c r="A7" s="217" t="s">
        <v>316</v>
      </c>
      <c r="B7" s="219">
        <f>VLOOKUP($B$1,'Snapshot (Volume)'!$A:$S,12,0)</f>
        <v>0.67</v>
      </c>
      <c r="C7" s="219">
        <f>VLOOKUP($B$1,'Snapshot (Volume)'!$A:$S,13,0)</f>
        <v>0.73</v>
      </c>
      <c r="D7" s="219">
        <f>+(B7/C7-1)*100</f>
        <v>-8.2191780821917693</v>
      </c>
    </row>
    <row r="8" spans="1:4" x14ac:dyDescent="0.25">
      <c r="A8" s="217" t="s">
        <v>653</v>
      </c>
      <c r="B8" s="219">
        <f>VLOOKUP($B$1,'Snapshot (Volume)'!$A:$S,15,0)</f>
        <v>0.64</v>
      </c>
      <c r="C8" s="219">
        <f>VLOOKUP($B$1,'Snapshot (Volume)'!$A:$S,16,0)</f>
        <v>0.49</v>
      </c>
      <c r="D8" s="219">
        <f>+(B8/C8-1)*100</f>
        <v>30.612244897959194</v>
      </c>
    </row>
    <row r="9" spans="1:4" x14ac:dyDescent="0.25">
      <c r="A9" s="215" t="s">
        <v>654</v>
      </c>
      <c r="B9" s="222" t="s">
        <v>655</v>
      </c>
      <c r="C9" s="222" t="s">
        <v>369</v>
      </c>
      <c r="D9" s="222" t="s">
        <v>651</v>
      </c>
    </row>
    <row r="10" spans="1:4" x14ac:dyDescent="0.25">
      <c r="A10" s="217" t="s">
        <v>656</v>
      </c>
      <c r="B10" s="219">
        <f>VLOOKUP($B$1,'OI(Value)'!$A:$O,5,0)</f>
        <v>5651</v>
      </c>
      <c r="C10" s="219">
        <f>VLOOKUP($B$1,'OI(Value)'!$A:$O,6,0)</f>
        <v>-43</v>
      </c>
      <c r="D10" s="219">
        <f>VLOOKUP($B$1,'OI(Value)'!$A:$O,7,0)*100</f>
        <v>-0.76</v>
      </c>
    </row>
    <row r="11" spans="1:4" x14ac:dyDescent="0.25">
      <c r="A11" s="217" t="s">
        <v>657</v>
      </c>
      <c r="B11" s="219">
        <f>VLOOKUP($B$1,'OI(Value)'!$A:$O,8,0)</f>
        <v>1436</v>
      </c>
      <c r="C11" s="219">
        <f>VLOOKUP($B$1,'OI(Value)'!$A:$O,9,0)</f>
        <v>180</v>
      </c>
      <c r="D11" s="219">
        <f>VLOOKUP($B$1,'OI(Value)'!$A:$O,10,0)*100</f>
        <v>14.35</v>
      </c>
    </row>
    <row r="12" spans="1:4" x14ac:dyDescent="0.25">
      <c r="A12" s="217" t="s">
        <v>658</v>
      </c>
      <c r="B12" s="219">
        <f>VLOOKUP($B$1,'OI(Value)'!$A:$O,11,0)</f>
        <v>956</v>
      </c>
      <c r="C12" s="219">
        <f>VLOOKUP($B$1,'OI(Value)'!$A:$O,12,0)</f>
        <v>34</v>
      </c>
      <c r="D12" s="219">
        <f>VLOOKUP($B$1,'OI(Value)'!$A:$O,13,0)*100</f>
        <v>3.6999999999999997</v>
      </c>
    </row>
    <row r="13" spans="1:4" x14ac:dyDescent="0.25">
      <c r="A13" s="215" t="s">
        <v>659</v>
      </c>
      <c r="B13" s="223">
        <f>VLOOKUP($B$1,'OI(Value)'!$A:$O,2,0)</f>
        <v>8043</v>
      </c>
      <c r="C13" s="223">
        <f>VLOOKUP($B$1,'OI(Value)'!$A:$O,3,0)</f>
        <v>171</v>
      </c>
      <c r="D13" s="223">
        <f>VLOOKUP($B$1,'OI(Value)'!$A:$O,4,0)*100</f>
        <v>2.17</v>
      </c>
    </row>
    <row r="14" spans="1:4" x14ac:dyDescent="0.25">
      <c r="A14" s="215" t="s">
        <v>660</v>
      </c>
      <c r="B14" s="222" t="s">
        <v>661</v>
      </c>
      <c r="C14" s="222" t="s">
        <v>369</v>
      </c>
      <c r="D14" s="222" t="s">
        <v>651</v>
      </c>
    </row>
    <row r="15" spans="1:4" x14ac:dyDescent="0.25">
      <c r="A15" s="217" t="s">
        <v>656</v>
      </c>
      <c r="B15" s="219">
        <f>VLOOKUP($B$1,'OI(Volume)'!$A:$O,5,0)/10^5</f>
        <v>135.69499999999999</v>
      </c>
      <c r="C15" s="219">
        <f>VLOOKUP($B$1,'OI(Volume)'!$A:$O,6,0)/10^5</f>
        <v>-1.04125</v>
      </c>
      <c r="D15" s="219">
        <f>(VLOOKUP($B$1,'OI(Volume)'!$A:$O,7,0))*100</f>
        <v>-0.76</v>
      </c>
    </row>
    <row r="16" spans="1:4" x14ac:dyDescent="0.25">
      <c r="A16" s="217" t="s">
        <v>657</v>
      </c>
      <c r="B16" s="219">
        <f>VLOOKUP($B$1,'OI(Volume)'!$A:$O,8,0)/10^5</f>
        <v>34.481999999999999</v>
      </c>
      <c r="C16" s="219">
        <f>VLOOKUP($B$1,'OI(Volume)'!$A:$O,9,0)/10^5</f>
        <v>4.32775</v>
      </c>
      <c r="D16" s="219">
        <f>(VLOOKUP($B$1,'OI(Volume)'!$A:$O,10,0))*100</f>
        <v>14.35</v>
      </c>
    </row>
    <row r="17" spans="1:4" x14ac:dyDescent="0.25">
      <c r="A17" s="217" t="s">
        <v>658</v>
      </c>
      <c r="B17" s="219">
        <f>VLOOKUP($B$1,'OI(Volume)'!$A:$O,11,0)/10^5</f>
        <v>22.956499999999998</v>
      </c>
      <c r="C17" s="219">
        <f>VLOOKUP($B$1,'OI(Volume)'!$A:$O,12,0)/10^5</f>
        <v>0.81899999999999995</v>
      </c>
      <c r="D17" s="219">
        <f>(VLOOKUP($B$1,'OI(Volume)'!$A:$O,13,0))*100</f>
        <v>3.6999999999999997</v>
      </c>
    </row>
    <row r="18" spans="1:4" x14ac:dyDescent="0.25">
      <c r="A18" s="215" t="s">
        <v>662</v>
      </c>
      <c r="B18" s="223">
        <f>VLOOKUP($B$1,'OI(Volume)'!$A:$O,2,0)/10^5</f>
        <v>193.1335</v>
      </c>
      <c r="C18" s="223">
        <f>VLOOKUP($B$1,'OI(Volume)'!$A:$O,3,0)/10^5</f>
        <v>4.1055000000000001</v>
      </c>
      <c r="D18" s="223">
        <f>(VLOOKUP($B$1,'OI(Volume)'!$A:$O,4,0))*100</f>
        <v>2.17</v>
      </c>
    </row>
    <row r="20" spans="1:4" x14ac:dyDescent="0.25">
      <c r="A20" s="17" t="s">
        <v>417</v>
      </c>
      <c r="B20" s="224">
        <f>VLOOKUP($B$1,'Open Interest Position'!$A:$F,2,0)/10^5</f>
        <v>1361.09374</v>
      </c>
    </row>
    <row r="21" spans="1:4" x14ac:dyDescent="0.25">
      <c r="A21" s="17" t="s">
        <v>412</v>
      </c>
      <c r="B21" s="224">
        <f>VLOOKUP($B$1,'Open Interest Position'!$A:$F,3,0)/10^5</f>
        <v>188.34549999999999</v>
      </c>
    </row>
    <row r="22" spans="1:4" x14ac:dyDescent="0.25">
      <c r="A22" s="17" t="s">
        <v>418</v>
      </c>
      <c r="B22" s="224">
        <f>VLOOKUP($B$1,'Open Interest Position'!$A:$F,4,0)/10^5</f>
        <v>141.09728323531701</v>
      </c>
    </row>
    <row r="23" spans="1:4" x14ac:dyDescent="0.25">
      <c r="A23" s="17" t="s">
        <v>419</v>
      </c>
      <c r="B23" s="225">
        <f>VLOOKUP($B$1,'Open Interest Position'!$A:$F,6,0)</f>
        <v>0.13837805175711115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46029</v>
      </c>
      <c r="E6" s="66" t="s">
        <v>368</v>
      </c>
      <c r="F6" s="71" t="s">
        <v>333</v>
      </c>
      <c r="G6" s="71" t="s">
        <v>328</v>
      </c>
      <c r="H6" s="66">
        <f>D6</f>
        <v>46029</v>
      </c>
      <c r="I6" s="71" t="s">
        <v>322</v>
      </c>
      <c r="J6" s="71" t="s">
        <v>328</v>
      </c>
      <c r="K6" s="66">
        <f>D6</f>
        <v>46029</v>
      </c>
      <c r="L6" s="78" t="s">
        <v>333</v>
      </c>
      <c r="M6" s="78" t="s">
        <v>328</v>
      </c>
      <c r="N6" s="66">
        <f>D6</f>
        <v>46029</v>
      </c>
      <c r="O6" s="78" t="s">
        <v>322</v>
      </c>
      <c r="P6" s="78" t="s">
        <v>328</v>
      </c>
    </row>
    <row r="7" spans="1:36" x14ac:dyDescent="0.25">
      <c r="A7" s="79" t="str">
        <f>'Data shares'!B2</f>
        <v>Finance</v>
      </c>
      <c r="B7" s="79" t="str">
        <f>'Data shares'!C2</f>
        <v>360ONE</v>
      </c>
      <c r="C7" s="79">
        <f>VLOOKUP($B7,'Data shares'!$C:$FB,7)</f>
        <v>1191.8</v>
      </c>
      <c r="D7" s="165">
        <f>VLOOKUP($B7,'Data shares'!$C:$FB,98)</f>
        <v>4148000</v>
      </c>
      <c r="E7" s="165">
        <f>VLOOKUP(B7,'Snapshot (Volume)'!$A$7:$G$168,7,0)</f>
        <v>4261500</v>
      </c>
      <c r="F7" s="165">
        <f>D7-E7</f>
        <v>-113500</v>
      </c>
      <c r="G7" s="166">
        <f>F7/E7</f>
        <v>-2.6633814384606359E-2</v>
      </c>
      <c r="H7" s="165">
        <f>VLOOKUP($B7,'Data shares'!$C:$FB,66)</f>
        <v>7300000</v>
      </c>
      <c r="I7" s="165">
        <f>VLOOKUP($B7,'Data shares'!$C:$FB,67)</f>
        <v>3264500</v>
      </c>
      <c r="J7" s="81">
        <f>(H7-I7)/I7*100</f>
        <v>123.61770562107522</v>
      </c>
      <c r="K7" s="81">
        <f>VLOOKUP($B7,'Data Vlaue (Cr)'!$C:$FB,99)</f>
        <v>497</v>
      </c>
      <c r="L7" s="81">
        <f>VLOOKUP(B7,'OI(Value)'!$A$7:$C$209,3,0)</f>
        <v>-14</v>
      </c>
      <c r="M7" s="81">
        <f t="shared" ref="M7:M36" si="0">L7/K7*100</f>
        <v>-2.8169014084507045</v>
      </c>
      <c r="N7" s="81">
        <f>VLOOKUP($B7,'Data Vlaue (Cr)'!$C:$FB,67)</f>
        <v>875</v>
      </c>
      <c r="O7" s="81">
        <f>VLOOKUP($B7,'Data Vlaue (Cr)'!$C:$FB,68)</f>
        <v>391</v>
      </c>
      <c r="P7" s="81">
        <f t="shared" ref="P7:P23" si="1">(N7-O7)/N7*100</f>
        <v>55.314285714285717</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5299</v>
      </c>
      <c r="D8" s="165">
        <f>VLOOKUP($B8,'Data shares'!$C:$FB,98)</f>
        <v>3512125</v>
      </c>
      <c r="E8" s="165">
        <f>VLOOKUP(B8,'Snapshot (Volume)'!$A$7:$G$168,7,0)</f>
        <v>3225000</v>
      </c>
      <c r="F8" s="165">
        <f t="shared" ref="F8:F23" si="2">D8-E8</f>
        <v>287125</v>
      </c>
      <c r="G8" s="166">
        <f t="shared" ref="G8:G23" si="3">F8/E8</f>
        <v>8.9031007751937979E-2</v>
      </c>
      <c r="H8" s="165">
        <f>VLOOKUP($B8,'Data shares'!$C:$FB,66)</f>
        <v>2805000</v>
      </c>
      <c r="I8" s="165">
        <f>VLOOKUP($B8,'Data shares'!$C:$FB,67)</f>
        <v>1624125</v>
      </c>
      <c r="J8" s="81">
        <f t="shared" ref="J8:J22" si="4">(H8-I8)/I8*100</f>
        <v>72.708381436157936</v>
      </c>
      <c r="K8" s="81">
        <f>VLOOKUP($B8,'Data Vlaue (Cr)'!$C:$FB,99)</f>
        <v>1869</v>
      </c>
      <c r="L8" s="81">
        <f>VLOOKUP(B8,'OI(Value)'!$A$7:$C$209,3,0)</f>
        <v>153</v>
      </c>
      <c r="M8" s="81">
        <f t="shared" si="0"/>
        <v>8.1861958266452657</v>
      </c>
      <c r="N8" s="81">
        <f>VLOOKUP($B8,'Data Vlaue (Cr)'!$C:$FB,67)</f>
        <v>1493</v>
      </c>
      <c r="O8" s="81">
        <f>VLOOKUP($B8,'Data Vlaue (Cr)'!$C:$FB,68)</f>
        <v>864</v>
      </c>
      <c r="P8" s="81">
        <f t="shared" si="1"/>
        <v>42.129939718687211</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361.1</v>
      </c>
      <c r="D9" s="165">
        <f>VLOOKUP($B9,'Data shares'!$C:$FB,98)</f>
        <v>115382000</v>
      </c>
      <c r="E9" s="165">
        <f>VLOOKUP(B9,'Snapshot (Volume)'!$A$7:$G$168,7,0)</f>
        <v>114371400</v>
      </c>
      <c r="F9" s="165">
        <f t="shared" si="2"/>
        <v>1010600</v>
      </c>
      <c r="G9" s="166">
        <f t="shared" si="3"/>
        <v>8.8361251151948834E-3</v>
      </c>
      <c r="H9" s="165">
        <f>VLOOKUP($B9,'Data shares'!$C:$FB,66)</f>
        <v>51394900</v>
      </c>
      <c r="I9" s="165">
        <f>VLOOKUP($B9,'Data shares'!$C:$FB,67)</f>
        <v>62359600</v>
      </c>
      <c r="J9" s="81">
        <f t="shared" si="4"/>
        <v>-17.583018492742095</v>
      </c>
      <c r="K9" s="81">
        <f>VLOOKUP($B9,'Data Vlaue (Cr)'!$C:$FB,99)</f>
        <v>4183</v>
      </c>
      <c r="L9" s="81">
        <f>VLOOKUP(B9,'OI(Value)'!$A$7:$C$209,3,0)</f>
        <v>37</v>
      </c>
      <c r="M9" s="81">
        <f t="shared" si="0"/>
        <v>0.88453263208223765</v>
      </c>
      <c r="N9" s="81">
        <f>VLOOKUP($B9,'Data Vlaue (Cr)'!$C:$FB,67)</f>
        <v>1863</v>
      </c>
      <c r="O9" s="81">
        <f>VLOOKUP($B9,'Data Vlaue (Cr)'!$C:$FB,68)</f>
        <v>2261</v>
      </c>
      <c r="P9" s="81">
        <f t="shared" si="1"/>
        <v>-21.36339237788513</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1033.5</v>
      </c>
      <c r="D10" s="82">
        <f>VLOOKUP($B10,'Data shares'!$C:$FB,98)</f>
        <v>22863600</v>
      </c>
      <c r="E10" s="165">
        <f>VLOOKUP(B10,'Snapshot (Volume)'!$A$7:$G$168,7,0)</f>
        <v>22812300</v>
      </c>
      <c r="F10" s="165">
        <f t="shared" si="2"/>
        <v>51300</v>
      </c>
      <c r="G10" s="166">
        <f t="shared" si="3"/>
        <v>2.2487868386791335E-3</v>
      </c>
      <c r="H10" s="165">
        <f>VLOOKUP($B10,'Data shares'!$C:$FB,66)</f>
        <v>3808350</v>
      </c>
      <c r="I10" s="165">
        <f>VLOOKUP($B10,'Data shares'!$C:$FB,67)</f>
        <v>5075325</v>
      </c>
      <c r="J10" s="81">
        <f t="shared" si="4"/>
        <v>-24.96342598749834</v>
      </c>
      <c r="K10" s="5">
        <f>VLOOKUP($B10,'Data Vlaue (Cr)'!$C:$FB,99)</f>
        <v>2367</v>
      </c>
      <c r="L10" s="81">
        <f>VLOOKUP(B10,'OI(Value)'!$A$7:$C$209,3,0)</f>
        <v>5</v>
      </c>
      <c r="M10" s="33">
        <f t="shared" si="0"/>
        <v>0.21123785382340513</v>
      </c>
      <c r="N10" s="5">
        <f>VLOOKUP($B10,'Data Vlaue (Cr)'!$C:$FB,67)</f>
        <v>394</v>
      </c>
      <c r="O10" s="5">
        <f>VLOOKUP($B10,'Data Vlaue (Cr)'!$C:$FB,68)</f>
        <v>525</v>
      </c>
      <c r="P10" s="5">
        <f t="shared" si="1"/>
        <v>-33.248730964467008</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2274.1</v>
      </c>
      <c r="D11" s="82">
        <f>VLOOKUP($B11,'Data shares'!$C:$FB,98)</f>
        <v>34239981</v>
      </c>
      <c r="E11" s="165">
        <f>VLOOKUP(B11,'Snapshot (Volume)'!$A$7:$G$168,7,0)</f>
        <v>33867636</v>
      </c>
      <c r="F11" s="165">
        <f t="shared" si="2"/>
        <v>372345</v>
      </c>
      <c r="G11" s="166">
        <f t="shared" si="3"/>
        <v>1.0994124302032773E-2</v>
      </c>
      <c r="H11" s="165">
        <f>VLOOKUP($B11,'Data shares'!$C:$FB,66)</f>
        <v>9896034</v>
      </c>
      <c r="I11" s="165">
        <f>VLOOKUP($B11,'Data shares'!$C:$FB,67)</f>
        <v>10064439</v>
      </c>
      <c r="J11" s="81">
        <f t="shared" si="4"/>
        <v>-1.6732676307144392</v>
      </c>
      <c r="K11" s="5">
        <f>VLOOKUP($B11,'Data Vlaue (Cr)'!$C:$FB,99)</f>
        <v>7821</v>
      </c>
      <c r="L11" s="81">
        <f>VLOOKUP(B11,'OI(Value)'!$A$7:$C$209,3,0)</f>
        <v>85</v>
      </c>
      <c r="M11" s="33">
        <f t="shared" si="0"/>
        <v>1.086817542513745</v>
      </c>
      <c r="N11" s="5">
        <f>VLOOKUP($B11,'Data Vlaue (Cr)'!$C:$FB,67)</f>
        <v>2260</v>
      </c>
      <c r="O11" s="5">
        <f>VLOOKUP($B11,'Data Vlaue (Cr)'!$C:$FB,68)</f>
        <v>2299</v>
      </c>
      <c r="P11" s="5">
        <f t="shared" si="1"/>
        <v>-1.7256637168141593</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1019.2</v>
      </c>
      <c r="D12" s="82">
        <f>VLOOKUP($B12,'Data shares'!$C:$FB,98)</f>
        <v>34364400</v>
      </c>
      <c r="E12" s="165">
        <f>VLOOKUP(B12,'Snapshot (Volume)'!$A$7:$G$168,7,0)</f>
        <v>34099800</v>
      </c>
      <c r="F12" s="165">
        <f t="shared" si="2"/>
        <v>264600</v>
      </c>
      <c r="G12" s="166">
        <f t="shared" si="3"/>
        <v>7.7595763025003076E-3</v>
      </c>
      <c r="H12" s="165">
        <f>VLOOKUP($B12,'Data shares'!$C:$FB,66)</f>
        <v>5158800</v>
      </c>
      <c r="I12" s="165">
        <f>VLOOKUP($B12,'Data shares'!$C:$FB,67)</f>
        <v>7038600</v>
      </c>
      <c r="J12" s="81">
        <f t="shared" si="4"/>
        <v>-26.707015599693122</v>
      </c>
      <c r="K12" s="5">
        <f>VLOOKUP($B12,'Data Vlaue (Cr)'!$C:$FB,99)</f>
        <v>3512</v>
      </c>
      <c r="L12" s="81">
        <f>VLOOKUP(B12,'OI(Value)'!$A$7:$C$209,3,0)</f>
        <v>27</v>
      </c>
      <c r="M12" s="33">
        <f t="shared" si="0"/>
        <v>0.76879271070615041</v>
      </c>
      <c r="N12" s="5">
        <f>VLOOKUP($B12,'Data Vlaue (Cr)'!$C:$FB,67)</f>
        <v>527</v>
      </c>
      <c r="O12" s="5">
        <f>VLOOKUP($B12,'Data Vlaue (Cr)'!$C:$FB,68)</f>
        <v>719</v>
      </c>
      <c r="P12" s="5">
        <f t="shared" si="1"/>
        <v>-36.432637571157493</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1465.3</v>
      </c>
      <c r="D13" s="82">
        <f>VLOOKUP($B13,'Data shares'!$C:$FB,98)</f>
        <v>36952150</v>
      </c>
      <c r="E13" s="165">
        <f>VLOOKUP(B13,'Snapshot (Volume)'!$A$7:$G$168,7,0)</f>
        <v>36048225</v>
      </c>
      <c r="F13" s="165">
        <f t="shared" si="2"/>
        <v>903925</v>
      </c>
      <c r="G13" s="166">
        <f t="shared" si="3"/>
        <v>2.507543714010884E-2</v>
      </c>
      <c r="H13" s="165">
        <f>VLOOKUP($B13,'Data shares'!$C:$FB,66)</f>
        <v>13581675</v>
      </c>
      <c r="I13" s="165">
        <f>VLOOKUP($B13,'Data shares'!$C:$FB,67)</f>
        <v>16491050</v>
      </c>
      <c r="J13" s="81">
        <f t="shared" si="4"/>
        <v>-17.64214528486664</v>
      </c>
      <c r="K13" s="5">
        <f>VLOOKUP($B13,'Data Vlaue (Cr)'!$C:$FB,99)</f>
        <v>5440</v>
      </c>
      <c r="L13" s="81">
        <f>VLOOKUP(B13,'OI(Value)'!$A$7:$C$209,3,0)</f>
        <v>133</v>
      </c>
      <c r="M13" s="33">
        <f t="shared" si="0"/>
        <v>2.4448529411764706</v>
      </c>
      <c r="N13" s="5">
        <f>VLOOKUP($B13,'Data Vlaue (Cr)'!$C:$FB,67)</f>
        <v>1999</v>
      </c>
      <c r="O13" s="5">
        <f>VLOOKUP($B13,'Data Vlaue (Cr)'!$C:$FB,68)</f>
        <v>2428</v>
      </c>
      <c r="P13" s="5">
        <f t="shared" si="1"/>
        <v>-21.460730365182592</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5806.5</v>
      </c>
      <c r="D14" s="82">
        <f>VLOOKUP($B14,'Data shares'!$C:$FB,98)</f>
        <v>1866750</v>
      </c>
      <c r="E14" s="165">
        <f>VLOOKUP(B14,'Snapshot (Volume)'!$A$7:$G$168,7,0)</f>
        <v>1784750</v>
      </c>
      <c r="F14" s="165">
        <f t="shared" si="2"/>
        <v>82000</v>
      </c>
      <c r="G14" s="166">
        <f t="shared" si="3"/>
        <v>4.5944810197506653E-2</v>
      </c>
      <c r="H14" s="165">
        <f>VLOOKUP($B14,'Data shares'!$C:$FB,66)</f>
        <v>2065125</v>
      </c>
      <c r="I14" s="165">
        <f>VLOOKUP($B14,'Data shares'!$C:$FB,67)</f>
        <v>652000</v>
      </c>
      <c r="J14" s="81">
        <f t="shared" si="4"/>
        <v>216.73696319018404</v>
      </c>
      <c r="K14" s="5">
        <f>VLOOKUP($B14,'Data Vlaue (Cr)'!$C:$FB,99)</f>
        <v>1087</v>
      </c>
      <c r="L14" s="81">
        <f>VLOOKUP(B14,'OI(Value)'!$A$7:$C$209,3,0)</f>
        <v>48</v>
      </c>
      <c r="M14" s="33">
        <f t="shared" si="0"/>
        <v>4.4158233670653173</v>
      </c>
      <c r="N14" s="5">
        <f>VLOOKUP($B14,'Data Vlaue (Cr)'!$C:$FB,67)</f>
        <v>1203</v>
      </c>
      <c r="O14" s="5">
        <f>VLOOKUP($B14,'Data Vlaue (Cr)'!$C:$FB,68)</f>
        <v>380</v>
      </c>
      <c r="P14" s="5">
        <f t="shared" si="1"/>
        <v>68.412302576891108</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6653</v>
      </c>
      <c r="D15" s="82">
        <f>VLOOKUP($B15,'Data shares'!$C:$FB,98)</f>
        <v>1729300</v>
      </c>
      <c r="E15" s="165">
        <f>VLOOKUP(B15,'Snapshot (Volume)'!$A$7:$G$168,7,0)</f>
        <v>1678900</v>
      </c>
      <c r="F15" s="165">
        <f t="shared" si="2"/>
        <v>50400</v>
      </c>
      <c r="G15" s="166">
        <f t="shared" si="3"/>
        <v>3.0019655726964082E-2</v>
      </c>
      <c r="H15" s="165">
        <f>VLOOKUP($B15,'Data shares'!$C:$FB,66)</f>
        <v>642100</v>
      </c>
      <c r="I15" s="165">
        <f>VLOOKUP($B15,'Data shares'!$C:$FB,67)</f>
        <v>1380000</v>
      </c>
      <c r="J15" s="81">
        <f t="shared" si="4"/>
        <v>-53.471014492753625</v>
      </c>
      <c r="K15" s="5">
        <f>VLOOKUP($B15,'Data Vlaue (Cr)'!$C:$FB,99)</f>
        <v>1154</v>
      </c>
      <c r="L15" s="81">
        <f>VLOOKUP(B15,'OI(Value)'!$A$7:$C$209,3,0)</f>
        <v>34</v>
      </c>
      <c r="M15" s="33">
        <f t="shared" si="0"/>
        <v>2.9462738301559792</v>
      </c>
      <c r="N15" s="5">
        <f>VLOOKUP($B15,'Data Vlaue (Cr)'!$C:$FB,67)</f>
        <v>429</v>
      </c>
      <c r="O15" s="5">
        <f>VLOOKUP($B15,'Data Vlaue (Cr)'!$C:$FB,68)</f>
        <v>921</v>
      </c>
      <c r="P15" s="5">
        <f t="shared" si="1"/>
        <v>-114.68531468531469</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562</v>
      </c>
      <c r="D16" s="82">
        <f>VLOOKUP($B16,'Data shares'!$C:$FB,98)</f>
        <v>74105850</v>
      </c>
      <c r="E16" s="165">
        <f>VLOOKUP(B16,'Snapshot (Volume)'!$A$7:$G$168,7,0)</f>
        <v>73926300</v>
      </c>
      <c r="F16" s="165">
        <f t="shared" si="2"/>
        <v>179550</v>
      </c>
      <c r="G16" s="166">
        <f t="shared" si="3"/>
        <v>2.4287702752606314E-3</v>
      </c>
      <c r="H16" s="165">
        <f>VLOOKUP($B16,'Data shares'!$C:$FB,66)</f>
        <v>12508650</v>
      </c>
      <c r="I16" s="165">
        <f>VLOOKUP($B16,'Data shares'!$C:$FB,67)</f>
        <v>16533300</v>
      </c>
      <c r="J16" s="81">
        <f t="shared" si="4"/>
        <v>-24.342690207036707</v>
      </c>
      <c r="K16" s="5">
        <f>VLOOKUP($B16,'Data Vlaue (Cr)'!$C:$FB,99)</f>
        <v>4184</v>
      </c>
      <c r="L16" s="81">
        <f>VLOOKUP(B16,'OI(Value)'!$A$7:$C$209,3,0)</f>
        <v>10</v>
      </c>
      <c r="M16" s="33">
        <f t="shared" si="0"/>
        <v>0.23900573613766732</v>
      </c>
      <c r="N16" s="5">
        <f>VLOOKUP($B16,'Data Vlaue (Cr)'!$C:$FB,67)</f>
        <v>706</v>
      </c>
      <c r="O16" s="5">
        <f>VLOOKUP($B16,'Data Vlaue (Cr)'!$C:$FB,68)</f>
        <v>933</v>
      </c>
      <c r="P16" s="5">
        <f t="shared" si="1"/>
        <v>-32.152974504249293</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2470.6</v>
      </c>
      <c r="D17" s="82">
        <f>VLOOKUP($B17,'Data shares'!$C:$FB,98)</f>
        <v>7920750</v>
      </c>
      <c r="E17" s="165">
        <f>VLOOKUP(B17,'Snapshot (Volume)'!$A$7:$G$168,7,0)</f>
        <v>8048000</v>
      </c>
      <c r="F17" s="165">
        <f t="shared" si="2"/>
        <v>-127250</v>
      </c>
      <c r="G17" s="166">
        <f t="shared" si="3"/>
        <v>-1.581138170974155E-2</v>
      </c>
      <c r="H17" s="165">
        <f>VLOOKUP($B17,'Data shares'!$C:$FB,66)</f>
        <v>7481750</v>
      </c>
      <c r="I17" s="165">
        <f>VLOOKUP($B17,'Data shares'!$C:$FB,67)</f>
        <v>6307250</v>
      </c>
      <c r="J17" s="81">
        <f t="shared" si="4"/>
        <v>18.621427722065874</v>
      </c>
      <c r="K17" s="5">
        <f>VLOOKUP($B17,'Data Vlaue (Cr)'!$C:$FB,99)</f>
        <v>1956</v>
      </c>
      <c r="L17" s="81">
        <f>VLOOKUP(B17,'OI(Value)'!$A$7:$C$209,3,0)</f>
        <v>-31</v>
      </c>
      <c r="M17" s="33">
        <f t="shared" si="0"/>
        <v>-1.5848670756646217</v>
      </c>
      <c r="N17" s="5">
        <f>VLOOKUP($B17,'Data Vlaue (Cr)'!$C:$FB,67)</f>
        <v>1847</v>
      </c>
      <c r="O17" s="5">
        <f>VLOOKUP($B17,'Data Vlaue (Cr)'!$C:$FB,68)</f>
        <v>1557</v>
      </c>
      <c r="P17" s="5">
        <f t="shared" si="1"/>
        <v>15.701136978884678</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1949.8</v>
      </c>
      <c r="D18" s="82">
        <f>VLOOKUP($B18,'Data shares'!$C:$FB,98)</f>
        <v>11677750</v>
      </c>
      <c r="E18" s="165">
        <f>VLOOKUP(B18,'Snapshot (Volume)'!$A$7:$G$168,7,0)</f>
        <v>11703300</v>
      </c>
      <c r="F18" s="165">
        <f t="shared" si="2"/>
        <v>-25550</v>
      </c>
      <c r="G18" s="166">
        <f t="shared" si="3"/>
        <v>-2.183144924935702E-3</v>
      </c>
      <c r="H18" s="165">
        <f>VLOOKUP($B18,'Data shares'!$C:$FB,66)</f>
        <v>925050</v>
      </c>
      <c r="I18" s="165">
        <f>VLOOKUP($B18,'Data shares'!$C:$FB,67)</f>
        <v>1783250</v>
      </c>
      <c r="J18" s="81">
        <f t="shared" si="4"/>
        <v>-48.125613346418056</v>
      </c>
      <c r="K18" s="5">
        <f>VLOOKUP($B18,'Data Vlaue (Cr)'!$C:$FB,99)</f>
        <v>2286</v>
      </c>
      <c r="L18" s="81">
        <f>VLOOKUP(B18,'OI(Value)'!$A$7:$C$209,3,0)</f>
        <v>-5</v>
      </c>
      <c r="M18" s="33">
        <f t="shared" si="0"/>
        <v>-0.21872265966754156</v>
      </c>
      <c r="N18" s="5">
        <f>VLOOKUP($B18,'Data Vlaue (Cr)'!$C:$FB,67)</f>
        <v>181</v>
      </c>
      <c r="O18" s="5">
        <f>VLOOKUP($B18,'Data Vlaue (Cr)'!$C:$FB,68)</f>
        <v>349</v>
      </c>
      <c r="P18" s="5">
        <f t="shared" si="1"/>
        <v>-92.817679558011051</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7447.5</v>
      </c>
      <c r="D19" s="82">
        <f>VLOOKUP($B19,'Data shares'!$C:$FB,98)</f>
        <v>5443000</v>
      </c>
      <c r="E19" s="165">
        <f>VLOOKUP(B19,'Snapshot (Volume)'!$A$7:$G$168,7,0)</f>
        <v>5068125</v>
      </c>
      <c r="F19" s="165">
        <f t="shared" si="2"/>
        <v>374875</v>
      </c>
      <c r="G19" s="166">
        <f t="shared" si="3"/>
        <v>7.3967196941669755E-2</v>
      </c>
      <c r="H19" s="165">
        <f>VLOOKUP($B19,'Data shares'!$C:$FB,66)</f>
        <v>11901625</v>
      </c>
      <c r="I19" s="165">
        <f>VLOOKUP($B19,'Data shares'!$C:$FB,67)</f>
        <v>12715250</v>
      </c>
      <c r="J19" s="81">
        <f t="shared" si="4"/>
        <v>-6.3988124496175853</v>
      </c>
      <c r="K19" s="5">
        <f>VLOOKUP($B19,'Data Vlaue (Cr)'!$C:$FB,99)</f>
        <v>4068</v>
      </c>
      <c r="L19" s="81">
        <f>VLOOKUP(B19,'OI(Value)'!$A$7:$C$209,3,0)</f>
        <v>280</v>
      </c>
      <c r="M19" s="33">
        <f t="shared" si="0"/>
        <v>6.8829891838741402</v>
      </c>
      <c r="N19" s="5">
        <f>VLOOKUP($B19,'Data Vlaue (Cr)'!$C:$FB,67)</f>
        <v>8895</v>
      </c>
      <c r="O19" s="5">
        <f>VLOOKUP($B19,'Data Vlaue (Cr)'!$C:$FB,68)</f>
        <v>9503</v>
      </c>
      <c r="P19" s="5">
        <f t="shared" si="1"/>
        <v>-6.835300730747611</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186.12</v>
      </c>
      <c r="D20" s="82">
        <f>VLOOKUP($B20,'Data shares'!$C:$FB,98)</f>
        <v>277595000</v>
      </c>
      <c r="E20" s="165">
        <f>VLOOKUP(B20,'Snapshot (Volume)'!$A$7:$G$168,7,0)</f>
        <v>277255000</v>
      </c>
      <c r="F20" s="165">
        <f t="shared" si="2"/>
        <v>340000</v>
      </c>
      <c r="G20" s="166">
        <f t="shared" si="3"/>
        <v>1.226307911489423E-3</v>
      </c>
      <c r="H20" s="165">
        <f>VLOOKUP($B20,'Data shares'!$C:$FB,66)</f>
        <v>77240000</v>
      </c>
      <c r="I20" s="165">
        <f>VLOOKUP($B20,'Data shares'!$C:$FB,67)</f>
        <v>94085000</v>
      </c>
      <c r="J20" s="81">
        <f t="shared" si="4"/>
        <v>-17.904022957963544</v>
      </c>
      <c r="K20" s="5">
        <f>VLOOKUP($B20,'Data Vlaue (Cr)'!$C:$FB,99)</f>
        <v>5157</v>
      </c>
      <c r="L20" s="81">
        <f>VLOOKUP(B20,'OI(Value)'!$A$7:$C$209,3,0)</f>
        <v>6</v>
      </c>
      <c r="M20" s="33">
        <f t="shared" si="0"/>
        <v>0.11634671320535195</v>
      </c>
      <c r="N20" s="5">
        <f>VLOOKUP($B20,'Data Vlaue (Cr)'!$C:$FB,67)</f>
        <v>1435</v>
      </c>
      <c r="O20" s="5">
        <f>VLOOKUP($B20,'Data Vlaue (Cr)'!$C:$FB,68)</f>
        <v>1748</v>
      </c>
      <c r="P20" s="5">
        <f t="shared" si="1"/>
        <v>-21.811846689895471</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2809.4</v>
      </c>
      <c r="D21" s="82">
        <f>VLOOKUP($B21,'Data shares'!$C:$FB,98)</f>
        <v>20824500</v>
      </c>
      <c r="E21" s="165">
        <f>VLOOKUP(B21,'Snapshot (Volume)'!$A$7:$G$168,7,0)</f>
        <v>20495000</v>
      </c>
      <c r="F21" s="165">
        <f t="shared" si="2"/>
        <v>329500</v>
      </c>
      <c r="G21" s="166">
        <f t="shared" si="3"/>
        <v>1.6077091973652109E-2</v>
      </c>
      <c r="H21" s="165">
        <f>VLOOKUP($B21,'Data shares'!$C:$FB,66)</f>
        <v>9168750</v>
      </c>
      <c r="I21" s="165">
        <f>VLOOKUP($B21,'Data shares'!$C:$FB,67)</f>
        <v>12582000</v>
      </c>
      <c r="J21" s="81">
        <f t="shared" si="4"/>
        <v>-27.128040057224606</v>
      </c>
      <c r="K21" s="5">
        <f>VLOOKUP($B21,'Data Vlaue (Cr)'!$C:$FB,99)</f>
        <v>5855</v>
      </c>
      <c r="L21" s="81">
        <f>VLOOKUP(B21,'OI(Value)'!$A$7:$C$209,3,0)</f>
        <v>93</v>
      </c>
      <c r="M21" s="33">
        <f t="shared" si="0"/>
        <v>1.5883859948761743</v>
      </c>
      <c r="N21" s="5">
        <f>VLOOKUP($B21,'Data Vlaue (Cr)'!$C:$FB,67)</f>
        <v>2578</v>
      </c>
      <c r="O21" s="5">
        <f>VLOOKUP($B21,'Data Vlaue (Cr)'!$C:$FB,68)</f>
        <v>3538</v>
      </c>
      <c r="P21" s="5">
        <f t="shared" si="1"/>
        <v>-37.238169123351433</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1502.6</v>
      </c>
      <c r="D22" s="82">
        <f>VLOOKUP($B22,'Data shares'!$C:$FB,98)</f>
        <v>11444400</v>
      </c>
      <c r="E22" s="165">
        <f>VLOOKUP(B22,'Snapshot (Volume)'!$A$7:$G$168,7,0)</f>
        <v>11280350</v>
      </c>
      <c r="F22" s="165">
        <f t="shared" si="2"/>
        <v>164050</v>
      </c>
      <c r="G22" s="166">
        <f t="shared" si="3"/>
        <v>1.4542988471102403E-2</v>
      </c>
      <c r="H22" s="165">
        <f>VLOOKUP($B22,'Data shares'!$C:$FB,66)</f>
        <v>9841300</v>
      </c>
      <c r="I22" s="165">
        <f>VLOOKUP($B22,'Data shares'!$C:$FB,67)</f>
        <v>3336250</v>
      </c>
      <c r="J22" s="81">
        <f t="shared" si="4"/>
        <v>194.98089171974522</v>
      </c>
      <c r="K22" s="5">
        <f>VLOOKUP($B22,'Data Vlaue (Cr)'!$C:$FB,99)</f>
        <v>1721</v>
      </c>
      <c r="L22" s="81">
        <f>VLOOKUP(B22,'OI(Value)'!$A$7:$C$209,3,0)</f>
        <v>25</v>
      </c>
      <c r="M22" s="33">
        <f t="shared" si="0"/>
        <v>1.4526438117373621</v>
      </c>
      <c r="N22" s="5">
        <f>VLOOKUP($B22,'Data Vlaue (Cr)'!$C:$FB,67)</f>
        <v>1480</v>
      </c>
      <c r="O22" s="5">
        <f>VLOOKUP($B22,'Data Vlaue (Cr)'!$C:$FB,68)</f>
        <v>502</v>
      </c>
      <c r="P22" s="5">
        <f t="shared" si="1"/>
        <v>66.081081081081081</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1004.55</v>
      </c>
      <c r="D23" s="82">
        <f>VLOOKUP($B23,'Data shares'!$C:$FB,98)</f>
        <v>29066000</v>
      </c>
      <c r="E23" s="165">
        <f>VLOOKUP(B23,'Snapshot (Volume)'!$A$7:$G$168,7,0)</f>
        <v>28844000</v>
      </c>
      <c r="F23" s="165">
        <f t="shared" si="2"/>
        <v>222000</v>
      </c>
      <c r="G23" s="166">
        <f t="shared" si="3"/>
        <v>7.6965746775759254E-3</v>
      </c>
      <c r="H23" s="165">
        <f>VLOOKUP($B23,'Data shares'!$C:$FB,66)</f>
        <v>7506000</v>
      </c>
      <c r="I23" s="165">
        <f>VLOOKUP($B23,'Data shares'!$C:$FB,67)</f>
        <v>7750000</v>
      </c>
      <c r="J23" s="81">
        <f>(H23-I23)/I23*100</f>
        <v>-3.1483870967741932</v>
      </c>
      <c r="K23" s="5">
        <f>VLOOKUP($B23,'Data Vlaue (Cr)'!$C:$FB,99)</f>
        <v>2930</v>
      </c>
      <c r="L23" s="81">
        <f>VLOOKUP(B23,'OI(Value)'!$A$7:$C$209,3,0)</f>
        <v>22</v>
      </c>
      <c r="M23" s="33">
        <f t="shared" si="0"/>
        <v>0.75085324232081907</v>
      </c>
      <c r="N23" s="5">
        <f>VLOOKUP($B23,'Data Vlaue (Cr)'!$C:$FB,67)</f>
        <v>757</v>
      </c>
      <c r="O23" s="5">
        <f>VLOOKUP($B23,'Data Vlaue (Cr)'!$C:$FB,68)</f>
        <v>781</v>
      </c>
      <c r="P23" s="5">
        <f t="shared" si="1"/>
        <v>-3.1704095112285335</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1235.4000000000001</v>
      </c>
      <c r="D24" s="80">
        <f>VLOOKUP($B24,'Data shares'!$C:$FB,98)</f>
        <v>30742800</v>
      </c>
      <c r="E24" s="165">
        <f>VLOOKUP(B24,'Snapshot (Volume)'!$A$7:$G$168,7,0)</f>
        <v>28785350</v>
      </c>
      <c r="F24" s="165">
        <f t="shared" ref="F24:F36" si="5">D24-E24</f>
        <v>1957450</v>
      </c>
      <c r="G24" s="166">
        <f t="shared" ref="G24:G36" si="6">F24/E24</f>
        <v>6.8001604983090352E-2</v>
      </c>
      <c r="H24" s="165">
        <f>VLOOKUP($B24,'Data shares'!$C:$FB,66)</f>
        <v>28097300</v>
      </c>
      <c r="I24" s="165">
        <f>VLOOKUP($B24,'Data shares'!$C:$FB,67)</f>
        <v>13752750</v>
      </c>
      <c r="J24" s="81">
        <f t="shared" ref="J24:J36" si="7">(H24-I24)/I24*100</f>
        <v>104.30313937212557</v>
      </c>
      <c r="K24" s="81">
        <f>VLOOKUP($B24,'Data Vlaue (Cr)'!$C:$FB,99)</f>
        <v>3817</v>
      </c>
      <c r="L24" s="81">
        <f>VLOOKUP(B24,'OI(Value)'!$A$7:$C$209,3,0)</f>
        <v>243</v>
      </c>
      <c r="M24" s="81">
        <f t="shared" si="0"/>
        <v>6.3662562221640036</v>
      </c>
      <c r="N24" s="81">
        <f>VLOOKUP($B24,'Data Vlaue (Cr)'!$C:$FB,67)</f>
        <v>3489</v>
      </c>
      <c r="O24" s="81">
        <f>VLOOKUP($B24,'Data Vlaue (Cr)'!$C:$FB,68)</f>
        <v>1708</v>
      </c>
      <c r="P24" s="81">
        <f t="shared" ref="P24:P36" si="8">(N24-O24)/N24*100</f>
        <v>51.046145027228427</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1295.5</v>
      </c>
      <c r="D25" s="82">
        <f>VLOOKUP($B25,'Data shares'!$C:$FB,98)</f>
        <v>116316250</v>
      </c>
      <c r="E25" s="165">
        <f>VLOOKUP(B25,'Snapshot (Volume)'!$A$7:$G$168,7,0)</f>
        <v>113126250</v>
      </c>
      <c r="F25" s="165">
        <f t="shared" si="5"/>
        <v>3190000</v>
      </c>
      <c r="G25" s="166">
        <f t="shared" si="6"/>
        <v>2.819858344106695E-2</v>
      </c>
      <c r="H25" s="165">
        <f>VLOOKUP($B25,'Data shares'!$C:$FB,66)</f>
        <v>41406875</v>
      </c>
      <c r="I25" s="165">
        <f>VLOOKUP($B25,'Data shares'!$C:$FB,67)</f>
        <v>76201875</v>
      </c>
      <c r="J25" s="81">
        <f t="shared" si="7"/>
        <v>-45.661606095650534</v>
      </c>
      <c r="K25" s="5">
        <f>VLOOKUP($B25,'Data Vlaue (Cr)'!$C:$FB,99)</f>
        <v>15096</v>
      </c>
      <c r="L25" s="81">
        <f>VLOOKUP(B25,'OI(Value)'!$A$7:$C$209,3,0)</f>
        <v>414</v>
      </c>
      <c r="M25" s="33">
        <f t="shared" si="0"/>
        <v>2.7424483306836245</v>
      </c>
      <c r="N25" s="5">
        <f>VLOOKUP($B25,'Data Vlaue (Cr)'!$C:$FB,67)</f>
        <v>5374</v>
      </c>
      <c r="O25" s="5">
        <f>VLOOKUP($B25,'Data Vlaue (Cr)'!$C:$FB,68)</f>
        <v>9889</v>
      </c>
      <c r="P25" s="5">
        <f t="shared" si="8"/>
        <v>-84.015630815035365</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9789.5</v>
      </c>
      <c r="D26" s="82">
        <f>VLOOKUP($B26,'Data shares'!$C:$FB,98)</f>
        <v>6354000</v>
      </c>
      <c r="E26" s="165">
        <f>VLOOKUP(B26,'Snapshot (Volume)'!$A$7:$G$168,7,0)</f>
        <v>5973525</v>
      </c>
      <c r="F26" s="165">
        <f t="shared" si="5"/>
        <v>380475</v>
      </c>
      <c r="G26" s="166">
        <f t="shared" si="6"/>
        <v>6.3693547779577392E-2</v>
      </c>
      <c r="H26" s="165">
        <f>VLOOKUP($B26,'Data shares'!$C:$FB,66)</f>
        <v>5938800</v>
      </c>
      <c r="I26" s="165">
        <f>VLOOKUP($B26,'Data shares'!$C:$FB,67)</f>
        <v>9964200</v>
      </c>
      <c r="J26" s="81">
        <f t="shared" si="7"/>
        <v>-40.398627084964176</v>
      </c>
      <c r="K26" s="5">
        <f>VLOOKUP($B26,'Data Vlaue (Cr)'!$C:$FB,99)</f>
        <v>6229</v>
      </c>
      <c r="L26" s="81">
        <f>VLOOKUP(B26,'OI(Value)'!$A$7:$C$209,3,0)</f>
        <v>373</v>
      </c>
      <c r="M26" s="33">
        <f t="shared" si="0"/>
        <v>5.988120083480494</v>
      </c>
      <c r="N26" s="5">
        <f>VLOOKUP($B26,'Data Vlaue (Cr)'!$C:$FB,67)</f>
        <v>5822</v>
      </c>
      <c r="O26" s="5">
        <f>VLOOKUP($B26,'Data Vlaue (Cr)'!$C:$FB,68)</f>
        <v>9767</v>
      </c>
      <c r="P26" s="5">
        <f t="shared" si="8"/>
        <v>-67.760219855719683</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2031.9</v>
      </c>
      <c r="D27" s="82">
        <f>VLOOKUP($B27,'Data shares'!$C:$FB,98)</f>
        <v>25300750</v>
      </c>
      <c r="E27" s="165">
        <f>VLOOKUP(B27,'Snapshot (Volume)'!$A$7:$G$168,7,0)</f>
        <v>24910500</v>
      </c>
      <c r="F27" s="165">
        <f t="shared" si="5"/>
        <v>390250</v>
      </c>
      <c r="G27" s="166">
        <f t="shared" si="6"/>
        <v>1.5666084582806446E-2</v>
      </c>
      <c r="H27" s="165">
        <f>VLOOKUP($B27,'Data shares'!$C:$FB,66)</f>
        <v>6950750</v>
      </c>
      <c r="I27" s="165">
        <f>VLOOKUP($B27,'Data shares'!$C:$FB,67)</f>
        <v>16759250</v>
      </c>
      <c r="J27" s="81">
        <f t="shared" si="7"/>
        <v>-58.525888688336295</v>
      </c>
      <c r="K27" s="5">
        <f>VLOOKUP($B27,'Data Vlaue (Cr)'!$C:$FB,99)</f>
        <v>5152</v>
      </c>
      <c r="L27" s="81">
        <f>VLOOKUP(B27,'OI(Value)'!$A$7:$C$209,3,0)</f>
        <v>79</v>
      </c>
      <c r="M27" s="33">
        <f t="shared" si="0"/>
        <v>1.5333850931677018</v>
      </c>
      <c r="N27" s="5">
        <f>VLOOKUP($B27,'Data Vlaue (Cr)'!$C:$FB,67)</f>
        <v>1415</v>
      </c>
      <c r="O27" s="5">
        <f>VLOOKUP($B27,'Data Vlaue (Cr)'!$C:$FB,68)</f>
        <v>3413</v>
      </c>
      <c r="P27" s="5">
        <f t="shared" si="8"/>
        <v>-141.20141342756182</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BAJAJHLDNG</v>
      </c>
      <c r="C28" s="4">
        <f>VLOOKUP($B28,'Data shares'!$C:$FB,7)</f>
        <v>11198</v>
      </c>
      <c r="D28" s="82">
        <f>VLOOKUP($B28,'Data shares'!$C:$FB,98)</f>
        <v>189800</v>
      </c>
      <c r="E28" s="165">
        <f>VLOOKUP(B28,'Snapshot (Volume)'!$A$7:$G$168,7,0)</f>
        <v>189600</v>
      </c>
      <c r="F28" s="165">
        <f t="shared" si="5"/>
        <v>200</v>
      </c>
      <c r="G28" s="166">
        <f t="shared" si="6"/>
        <v>1.0548523206751054E-3</v>
      </c>
      <c r="H28" s="165">
        <f>VLOOKUP($B28,'Data shares'!$C:$FB,66)</f>
        <v>131200</v>
      </c>
      <c r="I28" s="165">
        <f>VLOOKUP($B28,'Data shares'!$C:$FB,67)</f>
        <v>159050</v>
      </c>
      <c r="J28" s="81">
        <f t="shared" si="7"/>
        <v>-17.510216912920466</v>
      </c>
      <c r="K28" s="5">
        <f>VLOOKUP($B28,'Data Vlaue (Cr)'!$C:$FB,99)</f>
        <v>214</v>
      </c>
      <c r="L28" s="81">
        <f>VLOOKUP(B28,'OI(Value)'!$A$7:$C$209,3,0)</f>
        <v>0</v>
      </c>
      <c r="M28" s="33">
        <f t="shared" si="0"/>
        <v>0</v>
      </c>
      <c r="N28" s="5">
        <f>VLOOKUP($B28,'Data Vlaue (Cr)'!$C:$FB,67)</f>
        <v>148</v>
      </c>
      <c r="O28" s="5">
        <f>VLOOKUP($B28,'Data Vlaue (Cr)'!$C:$FB,68)</f>
        <v>179</v>
      </c>
      <c r="P28" s="5">
        <f t="shared" si="8"/>
        <v>-20.945945945945947</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BAJFINANCE</v>
      </c>
      <c r="C29" s="4">
        <f>VLOOKUP($B29,'Data shares'!$C:$FB,7)</f>
        <v>968.8</v>
      </c>
      <c r="D29" s="82">
        <f>VLOOKUP($B29,'Data shares'!$C:$FB,98)</f>
        <v>147978000</v>
      </c>
      <c r="E29" s="165">
        <f>VLOOKUP(B29,'Snapshot (Volume)'!$A$7:$G$168,7,0)</f>
        <v>144168000</v>
      </c>
      <c r="F29" s="165">
        <f t="shared" si="5"/>
        <v>3810000</v>
      </c>
      <c r="G29" s="166">
        <f t="shared" si="6"/>
        <v>2.6427501248543366E-2</v>
      </c>
      <c r="H29" s="165">
        <f>VLOOKUP($B29,'Data shares'!$C:$FB,66)</f>
        <v>34084500</v>
      </c>
      <c r="I29" s="165">
        <f>VLOOKUP($B29,'Data shares'!$C:$FB,67)</f>
        <v>33774000</v>
      </c>
      <c r="J29" s="81">
        <f t="shared" si="7"/>
        <v>0.91934624267187781</v>
      </c>
      <c r="K29" s="5">
        <f>VLOOKUP($B29,'Data Vlaue (Cr)'!$C:$FB,99)</f>
        <v>14404</v>
      </c>
      <c r="L29" s="81">
        <f>VLOOKUP(B29,'OI(Value)'!$A$7:$C$209,3,0)</f>
        <v>371</v>
      </c>
      <c r="M29" s="33">
        <f t="shared" si="0"/>
        <v>2.5756734240488752</v>
      </c>
      <c r="N29" s="5">
        <f>VLOOKUP($B29,'Data Vlaue (Cr)'!$C:$FB,67)</f>
        <v>3318</v>
      </c>
      <c r="O29" s="5">
        <f>VLOOKUP($B29,'Data Vlaue (Cr)'!$C:$FB,68)</f>
        <v>3288</v>
      </c>
      <c r="P29" s="5">
        <f t="shared" si="8"/>
        <v>0.9041591320072333</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BANDHANBNK</v>
      </c>
      <c r="C30" s="4">
        <f>VLOOKUP($B30,'Data shares'!$C:$FB,7)</f>
        <v>147.63999999999999</v>
      </c>
      <c r="D30" s="82">
        <f>VLOOKUP($B30,'Data shares'!$C:$FB,98)</f>
        <v>196675200</v>
      </c>
      <c r="E30" s="165">
        <f>VLOOKUP(B30,'Snapshot (Volume)'!$A$7:$G$168,7,0)</f>
        <v>193330800</v>
      </c>
      <c r="F30" s="165">
        <f t="shared" si="5"/>
        <v>3344400</v>
      </c>
      <c r="G30" s="166">
        <f t="shared" si="6"/>
        <v>1.7298847364206841E-2</v>
      </c>
      <c r="H30" s="165">
        <f>VLOOKUP($B30,'Data shares'!$C:$FB,66)</f>
        <v>32608800</v>
      </c>
      <c r="I30" s="165">
        <f>VLOOKUP($B30,'Data shares'!$C:$FB,67)</f>
        <v>47574000</v>
      </c>
      <c r="J30" s="81">
        <f t="shared" si="7"/>
        <v>-31.456678017404467</v>
      </c>
      <c r="K30" s="5">
        <f>VLOOKUP($B30,'Data Vlaue (Cr)'!$C:$FB,99)</f>
        <v>2918</v>
      </c>
      <c r="L30" s="81">
        <f>VLOOKUP(B30,'OI(Value)'!$A$7:$C$209,3,0)</f>
        <v>50</v>
      </c>
      <c r="M30" s="33">
        <f t="shared" si="0"/>
        <v>1.7135023989033584</v>
      </c>
      <c r="N30" s="5">
        <f>VLOOKUP($B30,'Data Vlaue (Cr)'!$C:$FB,67)</f>
        <v>484</v>
      </c>
      <c r="O30" s="5">
        <f>VLOOKUP($B30,'Data Vlaue (Cr)'!$C:$FB,68)</f>
        <v>706</v>
      </c>
      <c r="P30" s="5">
        <f t="shared" si="8"/>
        <v>-45.867768595041326</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BANKBARODA</v>
      </c>
      <c r="C31" s="4">
        <f>VLOOKUP($B31,'Data shares'!$C:$FB,7)</f>
        <v>308.25</v>
      </c>
      <c r="D31" s="82">
        <f>VLOOKUP($B31,'Data shares'!$C:$FB,98)</f>
        <v>164118825</v>
      </c>
      <c r="E31" s="165">
        <f>VLOOKUP(B31,'Snapshot (Volume)'!$A$7:$G$168,7,0)</f>
        <v>150897825</v>
      </c>
      <c r="F31" s="165">
        <f t="shared" si="5"/>
        <v>13221000</v>
      </c>
      <c r="G31" s="166">
        <f t="shared" si="6"/>
        <v>8.7615576964081496E-2</v>
      </c>
      <c r="H31" s="165">
        <f>VLOOKUP($B31,'Data shares'!$C:$FB,66)</f>
        <v>145281825</v>
      </c>
      <c r="I31" s="165">
        <f>VLOOKUP($B31,'Data shares'!$C:$FB,67)</f>
        <v>119179125</v>
      </c>
      <c r="J31" s="81">
        <f t="shared" si="7"/>
        <v>21.902073874094981</v>
      </c>
      <c r="K31" s="5">
        <f>VLOOKUP($B31,'Data Vlaue (Cr)'!$C:$FB,99)</f>
        <v>5069</v>
      </c>
      <c r="L31" s="81">
        <f>VLOOKUP(B31,'OI(Value)'!$A$7:$C$209,3,0)</f>
        <v>408</v>
      </c>
      <c r="M31" s="33">
        <f t="shared" si="0"/>
        <v>8.0489248372460054</v>
      </c>
      <c r="N31" s="5">
        <f>VLOOKUP($B31,'Data Vlaue (Cr)'!$C:$FB,67)</f>
        <v>4487</v>
      </c>
      <c r="O31" s="5">
        <f>VLOOKUP($B31,'Data Vlaue (Cr)'!$C:$FB,68)</f>
        <v>3681</v>
      </c>
      <c r="P31" s="5">
        <f t="shared" si="8"/>
        <v>17.963004234455092</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BANKINDIA</v>
      </c>
      <c r="C32" s="4">
        <f>VLOOKUP($B32,'Data shares'!$C:$FB,7)</f>
        <v>151.49</v>
      </c>
      <c r="D32" s="82">
        <f>VLOOKUP($B32,'Data shares'!$C:$FB,98)</f>
        <v>86273200</v>
      </c>
      <c r="E32" s="165">
        <f>VLOOKUP(B32,'Snapshot (Volume)'!$A$7:$G$168,7,0)</f>
        <v>84021600</v>
      </c>
      <c r="F32" s="165">
        <f t="shared" si="5"/>
        <v>2251600</v>
      </c>
      <c r="G32" s="166">
        <f t="shared" si="6"/>
        <v>2.6797871023641541E-2</v>
      </c>
      <c r="H32" s="165">
        <f>VLOOKUP($B32,'Data shares'!$C:$FB,66)</f>
        <v>26717600</v>
      </c>
      <c r="I32" s="165">
        <f>VLOOKUP($B32,'Data shares'!$C:$FB,67)</f>
        <v>54527200</v>
      </c>
      <c r="J32" s="81">
        <f t="shared" si="7"/>
        <v>-51.00133511348465</v>
      </c>
      <c r="K32" s="5">
        <f>VLOOKUP($B32,'Data Vlaue (Cr)'!$C:$FB,99)</f>
        <v>1312</v>
      </c>
      <c r="L32" s="81">
        <f>VLOOKUP(B32,'OI(Value)'!$A$7:$C$209,3,0)</f>
        <v>34</v>
      </c>
      <c r="M32" s="33">
        <f t="shared" si="0"/>
        <v>2.5914634146341462</v>
      </c>
      <c r="N32" s="5">
        <f>VLOOKUP($B32,'Data Vlaue (Cr)'!$C:$FB,67)</f>
        <v>406</v>
      </c>
      <c r="O32" s="5">
        <f>VLOOKUP($B32,'Data Vlaue (Cr)'!$C:$FB,68)</f>
        <v>829</v>
      </c>
      <c r="P32" s="5">
        <f t="shared" si="8"/>
        <v>-104.1871921182266</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Index</v>
      </c>
      <c r="B33" s="79" t="str">
        <f>'Data shares'!C28</f>
        <v>BANKNIFTY</v>
      </c>
      <c r="C33" s="4">
        <f>VLOOKUP($B33,'Data shares'!$C:$FB,7)</f>
        <v>59990.85</v>
      </c>
      <c r="D33" s="82">
        <f>VLOOKUP($B33,'Data shares'!$C:$FB,98)</f>
        <v>28568300</v>
      </c>
      <c r="E33" s="165">
        <f>VLOOKUP(B33,'Snapshot (Volume)'!$A$7:$G$168,7,0)</f>
        <v>28293380</v>
      </c>
      <c r="F33" s="165">
        <f t="shared" si="5"/>
        <v>274920</v>
      </c>
      <c r="G33" s="166">
        <f t="shared" si="6"/>
        <v>9.7167605991224804E-3</v>
      </c>
      <c r="H33" s="165">
        <f>VLOOKUP($B33,'Data shares'!$C:$FB,66)</f>
        <v>60008790</v>
      </c>
      <c r="I33" s="165">
        <f>VLOOKUP($B33,'Data shares'!$C:$FB,67)</f>
        <v>57337590</v>
      </c>
      <c r="J33" s="81">
        <f t="shared" si="7"/>
        <v>4.6587238842790573</v>
      </c>
      <c r="K33" s="5">
        <f>VLOOKUP($B33,'Data Vlaue (Cr)'!$C:$FB,99)</f>
        <v>171899</v>
      </c>
      <c r="L33" s="81">
        <f>VLOOKUP(B33,'OI(Value)'!$A$7:$C$209,3,0)</f>
        <v>1654</v>
      </c>
      <c r="M33" s="33">
        <f t="shared" si="0"/>
        <v>0.96219291560742071</v>
      </c>
      <c r="N33" s="5">
        <f>VLOOKUP($B33,'Data Vlaue (Cr)'!$C:$FB,67)</f>
        <v>361080</v>
      </c>
      <c r="O33" s="5">
        <f>VLOOKUP($B33,'Data Vlaue (Cr)'!$C:$FB,68)</f>
        <v>345007</v>
      </c>
      <c r="P33" s="5">
        <f t="shared" si="8"/>
        <v>4.4513681178686166</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BDL</v>
      </c>
      <c r="C34" s="4">
        <f>VLOOKUP($B34,'Data shares'!$C:$FB,7)</f>
        <v>1539.5</v>
      </c>
      <c r="D34" s="82">
        <f>VLOOKUP($B34,'Data shares'!$C:$FB,98)</f>
        <v>11521300</v>
      </c>
      <c r="E34" s="165">
        <f>VLOOKUP(B34,'Snapshot (Volume)'!$A$7:$G$168,7,0)</f>
        <v>11512200</v>
      </c>
      <c r="F34" s="165">
        <f t="shared" si="5"/>
        <v>9100</v>
      </c>
      <c r="G34" s="166">
        <f t="shared" si="6"/>
        <v>7.9046576675179375E-4</v>
      </c>
      <c r="H34" s="165">
        <f>VLOOKUP($B34,'Data shares'!$C:$FB,66)</f>
        <v>17587150</v>
      </c>
      <c r="I34" s="165">
        <f>VLOOKUP($B34,'Data shares'!$C:$FB,67)</f>
        <v>55735750</v>
      </c>
      <c r="J34" s="81">
        <f t="shared" si="7"/>
        <v>-68.445477095042236</v>
      </c>
      <c r="K34" s="5">
        <f>VLOOKUP($B34,'Data Vlaue (Cr)'!$C:$FB,99)</f>
        <v>1777</v>
      </c>
      <c r="L34" s="81">
        <f>VLOOKUP(B34,'OI(Value)'!$A$7:$C$209,3,0)</f>
        <v>1</v>
      </c>
      <c r="M34" s="33">
        <f t="shared" si="0"/>
        <v>5.6274620146314014E-2</v>
      </c>
      <c r="N34" s="5">
        <f>VLOOKUP($B34,'Data Vlaue (Cr)'!$C:$FB,67)</f>
        <v>2713</v>
      </c>
      <c r="O34" s="5">
        <f>VLOOKUP($B34,'Data Vlaue (Cr)'!$C:$FB,68)</f>
        <v>8598</v>
      </c>
      <c r="P34" s="5">
        <f t="shared" si="8"/>
        <v>-216.91854036122376</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BEL</v>
      </c>
      <c r="C35" s="4">
        <f>VLOOKUP($B35,'Data shares'!$C:$FB,7)</f>
        <v>415.65</v>
      </c>
      <c r="D35" s="82">
        <f>VLOOKUP($B35,'Data shares'!$C:$FB,98)</f>
        <v>202141950</v>
      </c>
      <c r="E35" s="165">
        <f>VLOOKUP(B35,'Snapshot (Volume)'!$A$7:$G$168,7,0)</f>
        <v>200545950</v>
      </c>
      <c r="F35" s="165">
        <f t="shared" si="5"/>
        <v>1596000</v>
      </c>
      <c r="G35" s="166">
        <f t="shared" si="6"/>
        <v>7.9582758963718785E-3</v>
      </c>
      <c r="H35" s="165">
        <f>VLOOKUP($B35,'Data shares'!$C:$FB,66)</f>
        <v>92949900</v>
      </c>
      <c r="I35" s="165">
        <f>VLOOKUP($B35,'Data shares'!$C:$FB,67)</f>
        <v>90833775</v>
      </c>
      <c r="J35" s="81">
        <f t="shared" si="7"/>
        <v>2.329667571341167</v>
      </c>
      <c r="K35" s="5">
        <f>VLOOKUP($B35,'Data Vlaue (Cr)'!$C:$FB,99)</f>
        <v>8443</v>
      </c>
      <c r="L35" s="81">
        <f>VLOOKUP(B35,'OI(Value)'!$A$7:$C$209,3,0)</f>
        <v>67</v>
      </c>
      <c r="M35" s="33">
        <f t="shared" si="0"/>
        <v>0.79355679260926204</v>
      </c>
      <c r="N35" s="5">
        <f>VLOOKUP($B35,'Data Vlaue (Cr)'!$C:$FB,67)</f>
        <v>3883</v>
      </c>
      <c r="O35" s="5">
        <f>VLOOKUP($B35,'Data Vlaue (Cr)'!$C:$FB,68)</f>
        <v>3794</v>
      </c>
      <c r="P35" s="5">
        <f t="shared" si="8"/>
        <v>2.2920422353850114</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Automobile</v>
      </c>
      <c r="B36" s="79" t="str">
        <f>'Data shares'!C31</f>
        <v>BHARATFORG</v>
      </c>
      <c r="C36" s="4">
        <f>VLOOKUP($B36,'Data shares'!$C:$FB,7)</f>
        <v>1483.4</v>
      </c>
      <c r="D36" s="82">
        <f>VLOOKUP($B36,'Data shares'!$C:$FB,98)</f>
        <v>12495500</v>
      </c>
      <c r="E36" s="165">
        <f>VLOOKUP(B36,'Snapshot (Volume)'!$A$7:$G$168,7,0)</f>
        <v>12934500</v>
      </c>
      <c r="F36" s="165">
        <f t="shared" si="5"/>
        <v>-439000</v>
      </c>
      <c r="G36" s="166">
        <f t="shared" si="6"/>
        <v>-3.3940237349723609E-2</v>
      </c>
      <c r="H36" s="165">
        <f>VLOOKUP($B36,'Data shares'!$C:$FB,66)</f>
        <v>6926000</v>
      </c>
      <c r="I36" s="165">
        <f>VLOOKUP($B36,'Data shares'!$C:$FB,67)</f>
        <v>13124500</v>
      </c>
      <c r="J36" s="81">
        <f t="shared" si="7"/>
        <v>-47.22846584631796</v>
      </c>
      <c r="K36" s="5">
        <f>VLOOKUP($B36,'Data Vlaue (Cr)'!$C:$FB,99)</f>
        <v>1860</v>
      </c>
      <c r="L36" s="81">
        <f>VLOOKUP(B36,'OI(Value)'!$A$7:$C$209,3,0)</f>
        <v>-65</v>
      </c>
      <c r="M36" s="33">
        <f t="shared" si="0"/>
        <v>-3.4946236559139781</v>
      </c>
      <c r="N36" s="5">
        <f>VLOOKUP($B36,'Data Vlaue (Cr)'!$C:$FB,67)</f>
        <v>1031</v>
      </c>
      <c r="O36" s="5">
        <f>VLOOKUP($B36,'Data Vlaue (Cr)'!$C:$FB,68)</f>
        <v>1954</v>
      </c>
      <c r="P36" s="5">
        <f t="shared" si="8"/>
        <v>-89.524733268671199</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Telecom</v>
      </c>
      <c r="B37" s="79" t="str">
        <f>'Data shares'!C32</f>
        <v>BHARTIARTL</v>
      </c>
      <c r="C37" s="4">
        <f>VLOOKUP($B37,'Data shares'!$C:$FB,7)</f>
        <v>2084.1999999999998</v>
      </c>
      <c r="D37" s="82">
        <f>VLOOKUP($B37,'Data shares'!$C:$FB,98)</f>
        <v>64173925</v>
      </c>
      <c r="E37" s="165">
        <f>VLOOKUP(B37,'Snapshot (Volume)'!$A$7:$G$168,7,0)</f>
        <v>62673400</v>
      </c>
      <c r="F37" s="165">
        <f t="shared" ref="F37:F43" si="9">D37-E37</f>
        <v>1500525</v>
      </c>
      <c r="G37" s="166">
        <f t="shared" ref="G37:G43" si="10">F37/E37</f>
        <v>2.3941975383496027E-2</v>
      </c>
      <c r="H37" s="165">
        <f>VLOOKUP($B37,'Data shares'!$C:$FB,66)</f>
        <v>24219775</v>
      </c>
      <c r="I37" s="165">
        <f>VLOOKUP($B37,'Data shares'!$C:$FB,67)</f>
        <v>30448450</v>
      </c>
      <c r="J37" s="81">
        <f t="shared" ref="J37:J43" si="11">(H37-I37)/I37*100</f>
        <v>-20.456460016848148</v>
      </c>
      <c r="K37" s="5">
        <f>VLOOKUP($B37,'Data Vlaue (Cr)'!$C:$FB,99)</f>
        <v>13422</v>
      </c>
      <c r="L37" s="81">
        <f>VLOOKUP(B37,'OI(Value)'!$A$7:$C$209,3,0)</f>
        <v>314</v>
      </c>
      <c r="M37" s="33">
        <f t="shared" ref="M37:M65" si="12">L37/K37*100</f>
        <v>2.3394427060050664</v>
      </c>
      <c r="N37" s="5">
        <f>VLOOKUP($B37,'Data Vlaue (Cr)'!$C:$FB,67)</f>
        <v>5066</v>
      </c>
      <c r="O37" s="5">
        <f>VLOOKUP($B37,'Data Vlaue (Cr)'!$C:$FB,68)</f>
        <v>6368</v>
      </c>
      <c r="P37" s="5">
        <f t="shared" ref="P37:P43" si="13">(N37-O37)/N37*100</f>
        <v>-25.700750098697196</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BHEL</v>
      </c>
      <c r="C38" s="4">
        <f>VLOOKUP($B38,'Data shares'!$C:$FB,7)</f>
        <v>303.55</v>
      </c>
      <c r="D38" s="82">
        <f>VLOOKUP($B38,'Data shares'!$C:$FB,98)</f>
        <v>139174875</v>
      </c>
      <c r="E38" s="165">
        <f>VLOOKUP(B38,'Snapshot (Volume)'!$A$7:$G$168,7,0)</f>
        <v>135812250</v>
      </c>
      <c r="F38" s="165">
        <f t="shared" si="9"/>
        <v>3362625</v>
      </c>
      <c r="G38" s="166">
        <f t="shared" si="10"/>
        <v>2.4759364490316595E-2</v>
      </c>
      <c r="H38" s="165">
        <f>VLOOKUP($B38,'Data shares'!$C:$FB,66)</f>
        <v>199387125</v>
      </c>
      <c r="I38" s="165">
        <f>VLOOKUP($B38,'Data shares'!$C:$FB,67)</f>
        <v>119385000</v>
      </c>
      <c r="J38" s="81">
        <f t="shared" si="11"/>
        <v>67.01187335092348</v>
      </c>
      <c r="K38" s="5">
        <f>VLOOKUP($B38,'Data Vlaue (Cr)'!$C:$FB,99)</f>
        <v>4241</v>
      </c>
      <c r="L38" s="81">
        <f>VLOOKUP(B38,'OI(Value)'!$A$7:$C$209,3,0)</f>
        <v>102</v>
      </c>
      <c r="M38" s="33">
        <f t="shared" si="12"/>
        <v>2.4050931384107521</v>
      </c>
      <c r="N38" s="5">
        <f>VLOOKUP($B38,'Data Vlaue (Cr)'!$C:$FB,67)</f>
        <v>6076</v>
      </c>
      <c r="O38" s="5">
        <f>VLOOKUP($B38,'Data Vlaue (Cr)'!$C:$FB,68)</f>
        <v>3638</v>
      </c>
      <c r="P38" s="5">
        <f t="shared" si="13"/>
        <v>40.125082290980906</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Pharma</v>
      </c>
      <c r="B39" s="79" t="str">
        <f>'Data shares'!C34</f>
        <v>BIOCON</v>
      </c>
      <c r="C39" s="4">
        <f>VLOOKUP($B39,'Data shares'!$C:$FB,7)</f>
        <v>387.05</v>
      </c>
      <c r="D39" s="82">
        <f>VLOOKUP($B39,'Data shares'!$C:$FB,98)</f>
        <v>77155000</v>
      </c>
      <c r="E39" s="165">
        <f>VLOOKUP(B39,'Snapshot (Volume)'!$A$7:$G$168,7,0)</f>
        <v>71375000</v>
      </c>
      <c r="F39" s="165">
        <f t="shared" si="9"/>
        <v>5780000</v>
      </c>
      <c r="G39" s="166">
        <f t="shared" si="10"/>
        <v>8.0980735551663754E-2</v>
      </c>
      <c r="H39" s="165">
        <f>VLOOKUP($B39,'Data shares'!$C:$FB,66)</f>
        <v>60577500</v>
      </c>
      <c r="I39" s="165">
        <f>VLOOKUP($B39,'Data shares'!$C:$FB,67)</f>
        <v>40062500</v>
      </c>
      <c r="J39" s="81">
        <f t="shared" si="11"/>
        <v>51.207488299531981</v>
      </c>
      <c r="K39" s="5">
        <f>VLOOKUP($B39,'Data Vlaue (Cr)'!$C:$FB,99)</f>
        <v>3001</v>
      </c>
      <c r="L39" s="81">
        <f>VLOOKUP(B39,'OI(Value)'!$A$7:$C$209,3,0)</f>
        <v>225</v>
      </c>
      <c r="M39" s="33">
        <f t="shared" si="12"/>
        <v>7.4975008330556481</v>
      </c>
      <c r="N39" s="5">
        <f>VLOOKUP($B39,'Data Vlaue (Cr)'!$C:$FB,67)</f>
        <v>2356</v>
      </c>
      <c r="O39" s="5">
        <f>VLOOKUP($B39,'Data Vlaue (Cr)'!$C:$FB,68)</f>
        <v>1558</v>
      </c>
      <c r="P39" s="5">
        <f t="shared" si="13"/>
        <v>33.87096774193548</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Capital_Goods</v>
      </c>
      <c r="B40" s="79" t="str">
        <f>'Data shares'!C35</f>
        <v>BLUESTARCO</v>
      </c>
      <c r="C40" s="4">
        <f>VLOOKUP($B40,'Data shares'!$C:$FB,7)</f>
        <v>1842.7</v>
      </c>
      <c r="D40" s="82">
        <f>VLOOKUP($B40,'Data shares'!$C:$FB,98)</f>
        <v>3553550</v>
      </c>
      <c r="E40" s="165">
        <f>VLOOKUP(B40,'Snapshot (Volume)'!$A$7:$G$168,7,0)</f>
        <v>3320525</v>
      </c>
      <c r="F40" s="165">
        <f t="shared" si="9"/>
        <v>233025</v>
      </c>
      <c r="G40" s="166">
        <f t="shared" si="10"/>
        <v>7.0177155720857393E-2</v>
      </c>
      <c r="H40" s="165">
        <f>VLOOKUP($B40,'Data shares'!$C:$FB,66)</f>
        <v>3995225</v>
      </c>
      <c r="I40" s="165">
        <f>VLOOKUP($B40,'Data shares'!$C:$FB,67)</f>
        <v>1244750</v>
      </c>
      <c r="J40" s="81">
        <f t="shared" si="11"/>
        <v>220.96605744125327</v>
      </c>
      <c r="K40" s="5">
        <f>VLOOKUP($B40,'Data Vlaue (Cr)'!$C:$FB,99)</f>
        <v>656</v>
      </c>
      <c r="L40" s="81">
        <f>VLOOKUP(B40,'OI(Value)'!$A$7:$C$209,3,0)</f>
        <v>43</v>
      </c>
      <c r="M40" s="33">
        <f t="shared" si="12"/>
        <v>6.5548780487804876</v>
      </c>
      <c r="N40" s="5">
        <f>VLOOKUP($B40,'Data Vlaue (Cr)'!$C:$FB,67)</f>
        <v>737</v>
      </c>
      <c r="O40" s="5">
        <f>VLOOKUP($B40,'Data Vlaue (Cr)'!$C:$FB,68)</f>
        <v>230</v>
      </c>
      <c r="P40" s="5">
        <f t="shared" si="13"/>
        <v>68.792401628222521</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Automobile</v>
      </c>
      <c r="B41" s="79" t="str">
        <f>'Data shares'!C36</f>
        <v>BOSCHLTD</v>
      </c>
      <c r="C41" s="4">
        <f>VLOOKUP($B41,'Data shares'!$C:$FB,7)</f>
        <v>39145</v>
      </c>
      <c r="D41" s="82">
        <f>VLOOKUP($B41,'Data shares'!$C:$FB,98)</f>
        <v>615850</v>
      </c>
      <c r="E41" s="165">
        <f>VLOOKUP(B41,'Snapshot (Volume)'!$A$7:$G$168,7,0)</f>
        <v>620325</v>
      </c>
      <c r="F41" s="165">
        <f t="shared" si="9"/>
        <v>-4475</v>
      </c>
      <c r="G41" s="166">
        <f t="shared" si="10"/>
        <v>-7.2139604239713053E-3</v>
      </c>
      <c r="H41" s="165">
        <f>VLOOKUP($B41,'Data shares'!$C:$FB,66)</f>
        <v>1142000</v>
      </c>
      <c r="I41" s="165">
        <f>VLOOKUP($B41,'Data shares'!$C:$FB,67)</f>
        <v>622000</v>
      </c>
      <c r="J41" s="81">
        <f t="shared" si="11"/>
        <v>83.60128617363344</v>
      </c>
      <c r="K41" s="5">
        <f>VLOOKUP($B41,'Data Vlaue (Cr)'!$C:$FB,99)</f>
        <v>2423</v>
      </c>
      <c r="L41" s="81">
        <f>VLOOKUP(B41,'OI(Value)'!$A$7:$C$209,3,0)</f>
        <v>-18</v>
      </c>
      <c r="M41" s="33">
        <f t="shared" si="12"/>
        <v>-0.74288072637226588</v>
      </c>
      <c r="N41" s="5">
        <f>VLOOKUP($B41,'Data Vlaue (Cr)'!$C:$FB,67)</f>
        <v>4493</v>
      </c>
      <c r="O41" s="5">
        <f>VLOOKUP($B41,'Data Vlaue (Cr)'!$C:$FB,68)</f>
        <v>2447</v>
      </c>
      <c r="P41" s="5">
        <f t="shared" si="13"/>
        <v>45.537502782105499</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Oil_Gas</v>
      </c>
      <c r="B42" s="79" t="str">
        <f>'Data shares'!C37</f>
        <v>BPCL</v>
      </c>
      <c r="C42" s="4">
        <f>VLOOKUP($B42,'Data shares'!$C:$FB,7)</f>
        <v>368.2</v>
      </c>
      <c r="D42" s="82">
        <f>VLOOKUP($B42,'Data shares'!$C:$FB,98)</f>
        <v>54826000</v>
      </c>
      <c r="E42" s="165">
        <f>VLOOKUP(B42,'Snapshot (Volume)'!$A$7:$G$168,7,0)</f>
        <v>53050475</v>
      </c>
      <c r="F42" s="165">
        <f t="shared" si="9"/>
        <v>1775525</v>
      </c>
      <c r="G42" s="166">
        <f t="shared" si="10"/>
        <v>3.3468597595026246E-2</v>
      </c>
      <c r="H42" s="165">
        <f>VLOOKUP($B42,'Data shares'!$C:$FB,66)</f>
        <v>21470225</v>
      </c>
      <c r="I42" s="165">
        <f>VLOOKUP($B42,'Data shares'!$C:$FB,67)</f>
        <v>65615425</v>
      </c>
      <c r="J42" s="81">
        <f t="shared" si="11"/>
        <v>-67.278692472082597</v>
      </c>
      <c r="K42" s="5">
        <f>VLOOKUP($B42,'Data Vlaue (Cr)'!$C:$FB,99)</f>
        <v>2023</v>
      </c>
      <c r="L42" s="81">
        <f>VLOOKUP(B42,'OI(Value)'!$A$7:$C$209,3,0)</f>
        <v>66</v>
      </c>
      <c r="M42" s="33">
        <f t="shared" si="12"/>
        <v>3.2624814631735046</v>
      </c>
      <c r="N42" s="5">
        <f>VLOOKUP($B42,'Data Vlaue (Cr)'!$C:$FB,67)</f>
        <v>792</v>
      </c>
      <c r="O42" s="5">
        <f>VLOOKUP($B42,'Data Vlaue (Cr)'!$C:$FB,68)</f>
        <v>2421</v>
      </c>
      <c r="P42" s="5">
        <f t="shared" si="13"/>
        <v>-205.68181818181816</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FMCG</v>
      </c>
      <c r="B43" s="79" t="str">
        <f>'Data shares'!C38</f>
        <v>BRITANNIA</v>
      </c>
      <c r="C43" s="4">
        <f>VLOOKUP($B43,'Data shares'!$C:$FB,7)</f>
        <v>6185</v>
      </c>
      <c r="D43" s="82">
        <f>VLOOKUP($B43,'Data shares'!$C:$FB,98)</f>
        <v>4293750</v>
      </c>
      <c r="E43" s="165">
        <f>VLOOKUP(B43,'Snapshot (Volume)'!$A$7:$G$168,7,0)</f>
        <v>4167500</v>
      </c>
      <c r="F43" s="165">
        <f t="shared" si="9"/>
        <v>126250</v>
      </c>
      <c r="G43" s="166">
        <f t="shared" si="10"/>
        <v>3.0293941211757647E-2</v>
      </c>
      <c r="H43" s="165">
        <f>VLOOKUP($B43,'Data shares'!$C:$FB,66)</f>
        <v>4725875</v>
      </c>
      <c r="I43" s="165">
        <f>VLOOKUP($B43,'Data shares'!$C:$FB,67)</f>
        <v>4215250</v>
      </c>
      <c r="J43" s="81">
        <f t="shared" si="11"/>
        <v>12.113753632643379</v>
      </c>
      <c r="K43" s="5">
        <f>VLOOKUP($B43,'Data Vlaue (Cr)'!$C:$FB,99)</f>
        <v>2662</v>
      </c>
      <c r="L43" s="81">
        <f>VLOOKUP(B43,'OI(Value)'!$A$7:$C$209,3,0)</f>
        <v>78</v>
      </c>
      <c r="M43" s="33">
        <f t="shared" si="12"/>
        <v>2.9301277235161534</v>
      </c>
      <c r="N43" s="5">
        <f>VLOOKUP($B43,'Data Vlaue (Cr)'!$C:$FB,67)</f>
        <v>2930</v>
      </c>
      <c r="O43" s="5">
        <f>VLOOKUP($B43,'Data Vlaue (Cr)'!$C:$FB,68)</f>
        <v>2613</v>
      </c>
      <c r="P43" s="5">
        <f t="shared" si="13"/>
        <v>10.819112627986348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BSE</v>
      </c>
      <c r="C44" s="79">
        <f>VLOOKUP($B44,'Data shares'!$C:$FB,7)</f>
        <v>2744.9</v>
      </c>
      <c r="D44" s="165">
        <f>VLOOKUP($B44,'Data shares'!$C:$FB,98)</f>
        <v>23466750</v>
      </c>
      <c r="E44" s="165">
        <f>VLOOKUP(B44,'Snapshot (Volume)'!$A$7:$G$168,7,0)</f>
        <v>24054750</v>
      </c>
      <c r="F44" s="165">
        <f t="shared" ref="F44:F49" si="14">D44-E44</f>
        <v>-588000</v>
      </c>
      <c r="G44" s="166">
        <f t="shared" ref="G44:G49" si="15">F44/E44</f>
        <v>-2.4444236585289807E-2</v>
      </c>
      <c r="H44" s="165">
        <f>VLOOKUP($B44,'Data shares'!$C:$FB,66)</f>
        <v>23404500</v>
      </c>
      <c r="I44" s="165">
        <f>VLOOKUP($B44,'Data shares'!$C:$FB,67)</f>
        <v>21691125</v>
      </c>
      <c r="J44" s="81">
        <f t="shared" ref="J44:J49" si="16">(H44-I44)/I44*100</f>
        <v>7.8989678958560239</v>
      </c>
      <c r="K44" s="81">
        <f>VLOOKUP($B44,'Data Vlaue (Cr)'!$C:$FB,99)</f>
        <v>6470</v>
      </c>
      <c r="L44" s="81">
        <f>VLOOKUP(B44,'OI(Value)'!$A$7:$C$209,3,0)</f>
        <v>-162</v>
      </c>
      <c r="M44" s="81">
        <f t="shared" si="12"/>
        <v>-2.5038639876352393</v>
      </c>
      <c r="N44" s="81">
        <f>VLOOKUP($B44,'Data Vlaue (Cr)'!$C:$FB,67)</f>
        <v>6453</v>
      </c>
      <c r="O44" s="81">
        <f>VLOOKUP($B44,'Data Vlaue (Cr)'!$C:$FB,68)</f>
        <v>5981</v>
      </c>
      <c r="P44" s="81">
        <f t="shared" ref="P44:P49" si="17">(N44-O44)/N44*100</f>
        <v>7.3144273981094061</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CAMS</v>
      </c>
      <c r="C45" s="4">
        <f>VLOOKUP($B45,'Data shares'!$C:$FB,7)</f>
        <v>756.8</v>
      </c>
      <c r="D45" s="82">
        <f>VLOOKUP($B45,'Data shares'!$C:$FB,98)</f>
        <v>13011000</v>
      </c>
      <c r="E45" s="165">
        <f>VLOOKUP(B45,'Snapshot (Volume)'!$A$7:$G$168,7,0)</f>
        <v>12784500</v>
      </c>
      <c r="F45" s="165">
        <f t="shared" si="14"/>
        <v>226500</v>
      </c>
      <c r="G45" s="166">
        <f t="shared" si="15"/>
        <v>1.7716766396808636E-2</v>
      </c>
      <c r="H45" s="165">
        <f>VLOOKUP($B45,'Data shares'!$C:$FB,66)</f>
        <v>4629000</v>
      </c>
      <c r="I45" s="165">
        <f>VLOOKUP($B45,'Data shares'!$C:$FB,67)</f>
        <v>3571500</v>
      </c>
      <c r="J45" s="81">
        <f t="shared" si="16"/>
        <v>29.609407811843763</v>
      </c>
      <c r="K45" s="5">
        <f>VLOOKUP($B45,'Data Vlaue (Cr)'!$C:$FB,99)</f>
        <v>986</v>
      </c>
      <c r="L45" s="81">
        <f>VLOOKUP(B45,'OI(Value)'!$A$7:$C$209,3,0)</f>
        <v>17</v>
      </c>
      <c r="M45" s="33">
        <f t="shared" si="12"/>
        <v>1.7241379310344827</v>
      </c>
      <c r="N45" s="5">
        <f>VLOOKUP($B45,'Data Vlaue (Cr)'!$C:$FB,67)</f>
        <v>351</v>
      </c>
      <c r="O45" s="5">
        <f>VLOOKUP($B45,'Data Vlaue (Cr)'!$C:$FB,68)</f>
        <v>271</v>
      </c>
      <c r="P45" s="5">
        <f t="shared" si="17"/>
        <v>22.792022792022792</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Banking</v>
      </c>
      <c r="B46" s="79" t="str">
        <f>'Data shares'!C41</f>
        <v>CANBK</v>
      </c>
      <c r="C46" s="4">
        <f>VLOOKUP($B46,'Data shares'!$C:$FB,7)</f>
        <v>152.96</v>
      </c>
      <c r="D46" s="82">
        <f>VLOOKUP($B46,'Data shares'!$C:$FB,98)</f>
        <v>315447750</v>
      </c>
      <c r="E46" s="165">
        <f>VLOOKUP(B46,'Snapshot (Volume)'!$A$7:$G$168,7,0)</f>
        <v>295771500</v>
      </c>
      <c r="F46" s="165">
        <f t="shared" si="14"/>
        <v>19676250</v>
      </c>
      <c r="G46" s="166">
        <f t="shared" si="15"/>
        <v>6.6525172303619512E-2</v>
      </c>
      <c r="H46" s="165">
        <f>VLOOKUP($B46,'Data shares'!$C:$FB,66)</f>
        <v>247704750</v>
      </c>
      <c r="I46" s="165">
        <f>VLOOKUP($B46,'Data shares'!$C:$FB,67)</f>
        <v>171807750</v>
      </c>
      <c r="J46" s="81">
        <f t="shared" si="16"/>
        <v>44.175539229167491</v>
      </c>
      <c r="K46" s="5">
        <f>VLOOKUP($B46,'Data Vlaue (Cr)'!$C:$FB,99)</f>
        <v>4822</v>
      </c>
      <c r="L46" s="81">
        <f>VLOOKUP(B46,'OI(Value)'!$A$7:$C$209,3,0)</f>
        <v>301</v>
      </c>
      <c r="M46" s="33">
        <f t="shared" si="12"/>
        <v>6.2422231439236828</v>
      </c>
      <c r="N46" s="5">
        <f>VLOOKUP($B46,'Data Vlaue (Cr)'!$C:$FB,67)</f>
        <v>3786</v>
      </c>
      <c r="O46" s="5">
        <f>VLOOKUP($B46,'Data Vlaue (Cr)'!$C:$FB,68)</f>
        <v>2626</v>
      </c>
      <c r="P46" s="5">
        <f t="shared" si="17"/>
        <v>30.6391970417327</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Finance</v>
      </c>
      <c r="B47" s="79" t="str">
        <f>'Data shares'!C42</f>
        <v>CDSL</v>
      </c>
      <c r="C47" s="4">
        <f>VLOOKUP($B47,'Data shares'!$C:$FB,7)</f>
        <v>1475.6</v>
      </c>
      <c r="D47" s="82">
        <f>VLOOKUP($B47,'Data shares'!$C:$FB,98)</f>
        <v>22692650</v>
      </c>
      <c r="E47" s="165">
        <f>VLOOKUP(B47,'Snapshot (Volume)'!$A$7:$G$168,7,0)</f>
        <v>22916850</v>
      </c>
      <c r="F47" s="165">
        <f t="shared" si="14"/>
        <v>-224200</v>
      </c>
      <c r="G47" s="166">
        <f t="shared" si="15"/>
        <v>-9.7831944617170329E-3</v>
      </c>
      <c r="H47" s="165">
        <f>VLOOKUP($B47,'Data shares'!$C:$FB,66)</f>
        <v>10580625</v>
      </c>
      <c r="I47" s="165">
        <f>VLOOKUP($B47,'Data shares'!$C:$FB,67)</f>
        <v>8804600</v>
      </c>
      <c r="J47" s="81">
        <f t="shared" si="16"/>
        <v>20.171558049201554</v>
      </c>
      <c r="K47" s="5">
        <f>VLOOKUP($B47,'Data Vlaue (Cr)'!$C:$FB,99)</f>
        <v>3365</v>
      </c>
      <c r="L47" s="81">
        <f>VLOOKUP(B47,'OI(Value)'!$A$7:$C$209,3,0)</f>
        <v>-33</v>
      </c>
      <c r="M47" s="33">
        <f t="shared" si="12"/>
        <v>-0.98068350668647841</v>
      </c>
      <c r="N47" s="5">
        <f>VLOOKUP($B47,'Data Vlaue (Cr)'!$C:$FB,67)</f>
        <v>1569</v>
      </c>
      <c r="O47" s="5">
        <f>VLOOKUP($B47,'Data Vlaue (Cr)'!$C:$FB,68)</f>
        <v>1306</v>
      </c>
      <c r="P47" s="5">
        <f t="shared" si="17"/>
        <v>16.762268961121734</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Power</v>
      </c>
      <c r="B48" s="79" t="str">
        <f>'Data shares'!C43</f>
        <v>CGPOWER</v>
      </c>
      <c r="C48" s="4">
        <f>VLOOKUP($B48,'Data shares'!$C:$FB,7)</f>
        <v>636.95000000000005</v>
      </c>
      <c r="D48" s="82">
        <f>VLOOKUP($B48,'Data shares'!$C:$FB,98)</f>
        <v>25033350</v>
      </c>
      <c r="E48" s="165">
        <f>VLOOKUP(B48,'Snapshot (Volume)'!$A$7:$G$168,7,0)</f>
        <v>24065200</v>
      </c>
      <c r="F48" s="165">
        <f t="shared" si="14"/>
        <v>968150</v>
      </c>
      <c r="G48" s="166">
        <f t="shared" si="15"/>
        <v>4.023029104266742E-2</v>
      </c>
      <c r="H48" s="165">
        <f>VLOOKUP($B48,'Data shares'!$C:$FB,66)</f>
        <v>8210150</v>
      </c>
      <c r="I48" s="165">
        <f>VLOOKUP($B48,'Data shares'!$C:$FB,67)</f>
        <v>6839950</v>
      </c>
      <c r="J48" s="81">
        <f t="shared" si="16"/>
        <v>20.032310177705977</v>
      </c>
      <c r="K48" s="5">
        <f>VLOOKUP($B48,'Data Vlaue (Cr)'!$C:$FB,99)</f>
        <v>1599</v>
      </c>
      <c r="L48" s="81">
        <f>VLOOKUP(B48,'OI(Value)'!$A$7:$C$209,3,0)</f>
        <v>62</v>
      </c>
      <c r="M48" s="33">
        <f t="shared" si="12"/>
        <v>3.877423389618512</v>
      </c>
      <c r="N48" s="5">
        <f>VLOOKUP($B48,'Data Vlaue (Cr)'!$C:$FB,67)</f>
        <v>524</v>
      </c>
      <c r="O48" s="5">
        <f>VLOOKUP($B48,'Data Vlaue (Cr)'!$C:$FB,68)</f>
        <v>437</v>
      </c>
      <c r="P48" s="5">
        <f t="shared" si="17"/>
        <v>16.603053435114504</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Finance</v>
      </c>
      <c r="B49" s="79" t="str">
        <f>'Data shares'!C44</f>
        <v>CHOLAFIN</v>
      </c>
      <c r="C49" s="4">
        <f>VLOOKUP($B49,'Data shares'!$C:$FB,7)</f>
        <v>1786.5</v>
      </c>
      <c r="D49" s="82">
        <f>VLOOKUP($B49,'Data shares'!$C:$FB,98)</f>
        <v>21136250</v>
      </c>
      <c r="E49" s="165">
        <f>VLOOKUP(B49,'Snapshot (Volume)'!$A$7:$G$168,7,0)</f>
        <v>21216250</v>
      </c>
      <c r="F49" s="165">
        <f t="shared" si="14"/>
        <v>-80000</v>
      </c>
      <c r="G49" s="166">
        <f t="shared" si="15"/>
        <v>-3.7706946326518586E-3</v>
      </c>
      <c r="H49" s="165">
        <f>VLOOKUP($B49,'Data shares'!$C:$FB,66)</f>
        <v>6893125</v>
      </c>
      <c r="I49" s="165">
        <f>VLOOKUP($B49,'Data shares'!$C:$FB,67)</f>
        <v>31267500</v>
      </c>
      <c r="J49" s="81">
        <f t="shared" si="16"/>
        <v>-77.954345566482772</v>
      </c>
      <c r="K49" s="5">
        <f>VLOOKUP($B49,'Data Vlaue (Cr)'!$C:$FB,99)</f>
        <v>3793</v>
      </c>
      <c r="L49" s="81">
        <f>VLOOKUP(B49,'OI(Value)'!$A$7:$C$209,3,0)</f>
        <v>-14</v>
      </c>
      <c r="M49" s="33">
        <f t="shared" si="12"/>
        <v>-0.36910097548114951</v>
      </c>
      <c r="N49" s="5">
        <f>VLOOKUP($B49,'Data Vlaue (Cr)'!$C:$FB,67)</f>
        <v>1237</v>
      </c>
      <c r="O49" s="5">
        <f>VLOOKUP($B49,'Data Vlaue (Cr)'!$C:$FB,68)</f>
        <v>5612</v>
      </c>
      <c r="P49" s="5">
        <f t="shared" si="17"/>
        <v>-353.67825383993534</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Pharma</v>
      </c>
      <c r="B50" s="79" t="str">
        <f>'Data shares'!C45</f>
        <v>CIPLA</v>
      </c>
      <c r="C50" s="4">
        <f>VLOOKUP($B50,'Data shares'!$C:$FB,7)</f>
        <v>1467.9</v>
      </c>
      <c r="D50" s="82">
        <f>VLOOKUP($B50,'Data shares'!$C:$FB,98)</f>
        <v>23972250</v>
      </c>
      <c r="E50" s="165">
        <f>VLOOKUP(B50,'Snapshot (Volume)'!$A$7:$G$168,7,0)</f>
        <v>18169875</v>
      </c>
      <c r="F50" s="165">
        <f>D50-E50</f>
        <v>5802375</v>
      </c>
      <c r="G50" s="166">
        <f>F50/E50</f>
        <v>0.31934039171981093</v>
      </c>
      <c r="H50" s="165">
        <f>VLOOKUP($B50,'Data shares'!$C:$FB,66)</f>
        <v>67019250</v>
      </c>
      <c r="I50" s="165">
        <f>VLOOKUP($B50,'Data shares'!$C:$FB,67)</f>
        <v>12056625</v>
      </c>
      <c r="J50" s="81">
        <f>(H50-I50)/I50*100</f>
        <v>455.8707349693633</v>
      </c>
      <c r="K50" s="5">
        <f>VLOOKUP($B50,'Data Vlaue (Cr)'!$C:$FB,99)</f>
        <v>3528</v>
      </c>
      <c r="L50" s="81">
        <f>VLOOKUP(B50,'OI(Value)'!$A$7:$C$209,3,0)</f>
        <v>854</v>
      </c>
      <c r="M50" s="33">
        <f t="shared" si="12"/>
        <v>24.206349206349206</v>
      </c>
      <c r="N50" s="5">
        <f>VLOOKUP($B50,'Data Vlaue (Cr)'!$C:$FB,67)</f>
        <v>9863</v>
      </c>
      <c r="O50" s="5">
        <f>VLOOKUP($B50,'Data Vlaue (Cr)'!$C:$FB,68)</f>
        <v>1774</v>
      </c>
      <c r="P50" s="5">
        <f>(N50-O50)/N50*100</f>
        <v>82.013586129980737</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Metals</v>
      </c>
      <c r="B51" s="79" t="str">
        <f>'Data shares'!C46</f>
        <v>COALINDIA</v>
      </c>
      <c r="C51" s="4">
        <f>VLOOKUP($B51,'Data shares'!$C:$FB,7)</f>
        <v>431.65</v>
      </c>
      <c r="D51" s="82">
        <f>VLOOKUP($B51,'Data shares'!$C:$FB,98)</f>
        <v>129543300</v>
      </c>
      <c r="E51" s="165">
        <f>VLOOKUP(B51,'Snapshot (Volume)'!$A$7:$G$168,7,0)</f>
        <v>127668150</v>
      </c>
      <c r="F51" s="165">
        <f>D51-E51</f>
        <v>1875150</v>
      </c>
      <c r="G51" s="166">
        <f>F51/E51</f>
        <v>1.4687688354534784E-2</v>
      </c>
      <c r="H51" s="165">
        <f>VLOOKUP($B51,'Data shares'!$C:$FB,66)</f>
        <v>82944000</v>
      </c>
      <c r="I51" s="165">
        <f>VLOOKUP($B51,'Data shares'!$C:$FB,67)</f>
        <v>76810950</v>
      </c>
      <c r="J51" s="81">
        <f>(H51-I51)/I51*100</f>
        <v>7.9846037576673634</v>
      </c>
      <c r="K51" s="5">
        <f>VLOOKUP($B51,'Data Vlaue (Cr)'!$C:$FB,99)</f>
        <v>5606</v>
      </c>
      <c r="L51" s="81">
        <f>VLOOKUP(B51,'OI(Value)'!$A$7:$C$209,3,0)</f>
        <v>81</v>
      </c>
      <c r="M51" s="33">
        <f t="shared" si="12"/>
        <v>1.4448804851944346</v>
      </c>
      <c r="N51" s="5">
        <f>VLOOKUP($B51,'Data Vlaue (Cr)'!$C:$FB,67)</f>
        <v>3589</v>
      </c>
      <c r="O51" s="5">
        <f>VLOOKUP($B51,'Data Vlaue (Cr)'!$C:$FB,68)</f>
        <v>3324</v>
      </c>
      <c r="P51" s="5">
        <f>(N51-O51)/N51*100</f>
        <v>7.3836723321259399</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Technology</v>
      </c>
      <c r="B52" s="79" t="str">
        <f>'Data shares'!C47</f>
        <v>COFORGE</v>
      </c>
      <c r="C52" s="79">
        <f>VLOOKUP($B52,'Data shares'!$C:$FB,7)</f>
        <v>1701.5</v>
      </c>
      <c r="D52" s="80">
        <f>VLOOKUP($B52,'Data shares'!$C:$FB,98)</f>
        <v>32281875</v>
      </c>
      <c r="E52" s="165">
        <f>VLOOKUP(B52,'Snapshot (Volume)'!$A$7:$G$168,7,0)</f>
        <v>33378750</v>
      </c>
      <c r="F52" s="165">
        <f t="shared" ref="F52:F68" si="18">D52-E52</f>
        <v>-1096875</v>
      </c>
      <c r="G52" s="166">
        <f t="shared" ref="G52:G68" si="19">F52/E52</f>
        <v>-3.286147623862487E-2</v>
      </c>
      <c r="H52" s="165">
        <f>VLOOKUP($B52,'Data shares'!$C:$FB,66)</f>
        <v>26512500</v>
      </c>
      <c r="I52" s="165">
        <f>VLOOKUP($B52,'Data shares'!$C:$FB,67)</f>
        <v>12943875</v>
      </c>
      <c r="J52" s="81">
        <f t="shared" ref="J52:J68" si="20">(H52-I52)/I52*100</f>
        <v>104.82660717907117</v>
      </c>
      <c r="K52" s="81">
        <f>VLOOKUP($B52,'Data Vlaue (Cr)'!$C:$FB,99)</f>
        <v>5501</v>
      </c>
      <c r="L52" s="81">
        <f>VLOOKUP(B52,'OI(Value)'!$A$7:$C$209,3,0)</f>
        <v>-187</v>
      </c>
      <c r="M52" s="81">
        <f t="shared" si="12"/>
        <v>-3.3993819305580804</v>
      </c>
      <c r="N52" s="81">
        <f>VLOOKUP($B52,'Data Vlaue (Cr)'!$C:$FB,67)</f>
        <v>4518</v>
      </c>
      <c r="O52" s="81">
        <f>VLOOKUP($B52,'Data Vlaue (Cr)'!$C:$FB,68)</f>
        <v>2206</v>
      </c>
      <c r="P52" s="81">
        <f t="shared" ref="P52:P68" si="21">(N52-O52)/N52*100</f>
        <v>51.173085436033638</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FMCG</v>
      </c>
      <c r="B53" s="79" t="str">
        <f>'Data shares'!C48</f>
        <v>COLPAL</v>
      </c>
      <c r="C53" s="4">
        <f>VLOOKUP($B53,'Data shares'!$C:$FB,7)</f>
        <v>2076.6</v>
      </c>
      <c r="D53" s="82">
        <f>VLOOKUP($B53,'Data shares'!$C:$FB,98)</f>
        <v>11213775</v>
      </c>
      <c r="E53" s="165">
        <f>VLOOKUP(B53,'Snapshot (Volume)'!$A$7:$G$168,7,0)</f>
        <v>10903950</v>
      </c>
      <c r="F53" s="165">
        <f t="shared" si="18"/>
        <v>309825</v>
      </c>
      <c r="G53" s="166">
        <f t="shared" si="19"/>
        <v>2.8414015104618051E-2</v>
      </c>
      <c r="H53" s="165">
        <f>VLOOKUP($B53,'Data shares'!$C:$FB,66)</f>
        <v>2560050</v>
      </c>
      <c r="I53" s="165">
        <f>VLOOKUP($B53,'Data shares'!$C:$FB,67)</f>
        <v>4335975</v>
      </c>
      <c r="J53" s="81">
        <f t="shared" si="20"/>
        <v>-40.957916039645063</v>
      </c>
      <c r="K53" s="5">
        <f>VLOOKUP($B53,'Data Vlaue (Cr)'!$C:$FB,99)</f>
        <v>2334</v>
      </c>
      <c r="L53" s="81">
        <f>VLOOKUP(B53,'OI(Value)'!$A$7:$C$209,3,0)</f>
        <v>64</v>
      </c>
      <c r="M53" s="33">
        <f t="shared" si="12"/>
        <v>2.7420736932305059</v>
      </c>
      <c r="N53" s="5">
        <f>VLOOKUP($B53,'Data Vlaue (Cr)'!$C:$FB,67)</f>
        <v>533</v>
      </c>
      <c r="O53" s="5">
        <f>VLOOKUP($B53,'Data Vlaue (Cr)'!$C:$FB,68)</f>
        <v>902</v>
      </c>
      <c r="P53" s="5">
        <f t="shared" si="21"/>
        <v>-69.230769230769226</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Infrastructure</v>
      </c>
      <c r="B54" s="79" t="str">
        <f>'Data shares'!C49</f>
        <v>CONCOR</v>
      </c>
      <c r="C54" s="4">
        <f>VLOOKUP($B54,'Data shares'!$C:$FB,7)</f>
        <v>532.79999999999995</v>
      </c>
      <c r="D54" s="82">
        <f>VLOOKUP($B54,'Data shares'!$C:$FB,98)</f>
        <v>56627500</v>
      </c>
      <c r="E54" s="165">
        <f>VLOOKUP(B54,'Snapshot (Volume)'!$A$7:$G$168,7,0)</f>
        <v>56877500</v>
      </c>
      <c r="F54" s="165">
        <f t="shared" si="18"/>
        <v>-250000</v>
      </c>
      <c r="G54" s="166">
        <f t="shared" si="19"/>
        <v>-4.3954111907168912E-3</v>
      </c>
      <c r="H54" s="165">
        <f>VLOOKUP($B54,'Data shares'!$C:$FB,66)</f>
        <v>11077500</v>
      </c>
      <c r="I54" s="165">
        <f>VLOOKUP($B54,'Data shares'!$C:$FB,67)</f>
        <v>10635000</v>
      </c>
      <c r="J54" s="81">
        <f t="shared" si="20"/>
        <v>4.1607898448519043</v>
      </c>
      <c r="K54" s="5">
        <f>VLOOKUP($B54,'Data Vlaue (Cr)'!$C:$FB,99)</f>
        <v>3024</v>
      </c>
      <c r="L54" s="81">
        <f>VLOOKUP(B54,'OI(Value)'!$A$7:$C$209,3,0)</f>
        <v>-13</v>
      </c>
      <c r="M54" s="33">
        <f t="shared" si="12"/>
        <v>-0.42989417989417988</v>
      </c>
      <c r="N54" s="5">
        <f>VLOOKUP($B54,'Data Vlaue (Cr)'!$C:$FB,67)</f>
        <v>592</v>
      </c>
      <c r="O54" s="5">
        <f>VLOOKUP($B54,'Data Vlaue (Cr)'!$C:$FB,68)</f>
        <v>568</v>
      </c>
      <c r="P54" s="5">
        <f t="shared" si="21"/>
        <v>4.0540540540540544</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CROMPTON</v>
      </c>
      <c r="C55" s="4">
        <f>VLOOKUP($B55,'Data shares'!$C:$FB,7)</f>
        <v>263.45</v>
      </c>
      <c r="D55" s="82">
        <f>VLOOKUP($B55,'Data shares'!$C:$FB,98)</f>
        <v>83824200</v>
      </c>
      <c r="E55" s="165">
        <f>VLOOKUP(B55,'Snapshot (Volume)'!$A$7:$G$168,7,0)</f>
        <v>84918600</v>
      </c>
      <c r="F55" s="165">
        <f t="shared" si="18"/>
        <v>-1094400</v>
      </c>
      <c r="G55" s="166">
        <f t="shared" si="19"/>
        <v>-1.2887635924285139E-2</v>
      </c>
      <c r="H55" s="165">
        <f>VLOOKUP($B55,'Data shares'!$C:$FB,66)</f>
        <v>41774400</v>
      </c>
      <c r="I55" s="165">
        <f>VLOOKUP($B55,'Data shares'!$C:$FB,67)</f>
        <v>38881800</v>
      </c>
      <c r="J55" s="81">
        <f t="shared" si="20"/>
        <v>7.439470394889125</v>
      </c>
      <c r="K55" s="5">
        <f>VLOOKUP($B55,'Data Vlaue (Cr)'!$C:$FB,99)</f>
        <v>2214</v>
      </c>
      <c r="L55" s="81">
        <f>VLOOKUP(B55,'OI(Value)'!$A$7:$C$209,3,0)</f>
        <v>-29</v>
      </c>
      <c r="M55" s="33">
        <f t="shared" si="12"/>
        <v>-1.3098464317976515</v>
      </c>
      <c r="N55" s="5">
        <f>VLOOKUP($B55,'Data Vlaue (Cr)'!$C:$FB,67)</f>
        <v>1103</v>
      </c>
      <c r="O55" s="5">
        <f>VLOOKUP($B55,'Data Vlaue (Cr)'!$C:$FB,68)</f>
        <v>1027</v>
      </c>
      <c r="P55" s="5">
        <f t="shared" si="21"/>
        <v>6.8902991840435179</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Capital_Goods</v>
      </c>
      <c r="B56" s="79" t="str">
        <f>'Data shares'!C51</f>
        <v>CUMMINSIND</v>
      </c>
      <c r="C56" s="4">
        <f>VLOOKUP($B56,'Data shares'!$C:$FB,7)</f>
        <v>4147.8999999999996</v>
      </c>
      <c r="D56" s="82">
        <f>VLOOKUP($B56,'Data shares'!$C:$FB,98)</f>
        <v>6087200</v>
      </c>
      <c r="E56" s="165">
        <f>VLOOKUP(B56,'Snapshot (Volume)'!$A$7:$G$168,7,0)</f>
        <v>5992600</v>
      </c>
      <c r="F56" s="165">
        <f t="shared" si="18"/>
        <v>94600</v>
      </c>
      <c r="G56" s="166">
        <f t="shared" si="19"/>
        <v>1.5786136234689451E-2</v>
      </c>
      <c r="H56" s="165">
        <f>VLOOKUP($B56,'Data shares'!$C:$FB,66)</f>
        <v>3408800</v>
      </c>
      <c r="I56" s="165">
        <f>VLOOKUP($B56,'Data shares'!$C:$FB,67)</f>
        <v>8735200</v>
      </c>
      <c r="J56" s="81">
        <f t="shared" si="20"/>
        <v>-60.976279879109811</v>
      </c>
      <c r="K56" s="5">
        <f>VLOOKUP($B56,'Data Vlaue (Cr)'!$C:$FB,99)</f>
        <v>2537</v>
      </c>
      <c r="L56" s="81">
        <f>VLOOKUP(B56,'OI(Value)'!$A$7:$C$209,3,0)</f>
        <v>39</v>
      </c>
      <c r="M56" s="33">
        <f t="shared" si="12"/>
        <v>1.5372487189594009</v>
      </c>
      <c r="N56" s="5">
        <f>VLOOKUP($B56,'Data Vlaue (Cr)'!$C:$FB,67)</f>
        <v>1421</v>
      </c>
      <c r="O56" s="5">
        <f>VLOOKUP($B56,'Data Vlaue (Cr)'!$C:$FB,68)</f>
        <v>3640</v>
      </c>
      <c r="P56" s="5">
        <f t="shared" si="21"/>
        <v>-156.1576354679803</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520.9</v>
      </c>
      <c r="D57" s="82">
        <f>VLOOKUP($B57,'Data shares'!$C:$FB,98)</f>
        <v>47967500</v>
      </c>
      <c r="E57" s="165">
        <f>VLOOKUP(B57,'Snapshot (Volume)'!$A$7:$G$168,7,0)</f>
        <v>48431250</v>
      </c>
      <c r="F57" s="165">
        <f t="shared" si="18"/>
        <v>-463750</v>
      </c>
      <c r="G57" s="166">
        <f t="shared" si="19"/>
        <v>-9.5754290876242099E-3</v>
      </c>
      <c r="H57" s="165">
        <f>VLOOKUP($B57,'Data shares'!$C:$FB,66)</f>
        <v>17687500</v>
      </c>
      <c r="I57" s="165">
        <f>VLOOKUP($B57,'Data shares'!$C:$FB,67)</f>
        <v>70788750</v>
      </c>
      <c r="J57" s="81">
        <f t="shared" si="20"/>
        <v>-75.013685084141187</v>
      </c>
      <c r="K57" s="5">
        <f>VLOOKUP($B57,'Data Vlaue (Cr)'!$C:$FB,99)</f>
        <v>2511</v>
      </c>
      <c r="L57" s="81">
        <f>VLOOKUP(B57,'OI(Value)'!$A$7:$C$209,3,0)</f>
        <v>-24</v>
      </c>
      <c r="M57" s="33">
        <f t="shared" si="12"/>
        <v>-0.95579450418160095</v>
      </c>
      <c r="N57" s="5">
        <f>VLOOKUP($B57,'Data Vlaue (Cr)'!$C:$FB,67)</f>
        <v>926</v>
      </c>
      <c r="O57" s="5">
        <f>VLOOKUP($B57,'Data Vlaue (Cr)'!$C:$FB,68)</f>
        <v>3705</v>
      </c>
      <c r="P57" s="5">
        <f t="shared" si="21"/>
        <v>-300.10799136069113</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2121.1999999999998</v>
      </c>
      <c r="D58" s="82">
        <f>VLOOKUP($B58,'Data shares'!$C:$FB,98)</f>
        <v>4249700</v>
      </c>
      <c r="E58" s="165">
        <f>VLOOKUP(B58,'Snapshot (Volume)'!$A$7:$G$168,7,0)</f>
        <v>4175275</v>
      </c>
      <c r="F58" s="165">
        <f t="shared" si="18"/>
        <v>74425</v>
      </c>
      <c r="G58" s="166">
        <f t="shared" si="19"/>
        <v>1.7825173192184945E-2</v>
      </c>
      <c r="H58" s="165">
        <f>VLOOKUP($B58,'Data shares'!$C:$FB,66)</f>
        <v>1421875</v>
      </c>
      <c r="I58" s="165">
        <f>VLOOKUP($B58,'Data shares'!$C:$FB,67)</f>
        <v>996450</v>
      </c>
      <c r="J58" s="81">
        <f t="shared" si="20"/>
        <v>42.694063926940643</v>
      </c>
      <c r="K58" s="5">
        <f>VLOOKUP($B58,'Data Vlaue (Cr)'!$C:$FB,99)</f>
        <v>906</v>
      </c>
      <c r="L58" s="81">
        <f>VLOOKUP(B58,'OI(Value)'!$A$7:$C$209,3,0)</f>
        <v>16</v>
      </c>
      <c r="M58" s="33">
        <f t="shared" si="12"/>
        <v>1.7660044150110374</v>
      </c>
      <c r="N58" s="5">
        <f>VLOOKUP($B58,'Data Vlaue (Cr)'!$C:$FB,67)</f>
        <v>303</v>
      </c>
      <c r="O58" s="5">
        <f>VLOOKUP($B58,'Data Vlaue (Cr)'!$C:$FB,68)</f>
        <v>212</v>
      </c>
      <c r="P58" s="5">
        <f t="shared" si="21"/>
        <v>30.033003300330037</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422.25</v>
      </c>
      <c r="D59" s="82">
        <f>VLOOKUP($B59,'Data shares'!$C:$FB,98)</f>
        <v>33173025</v>
      </c>
      <c r="E59" s="165">
        <f>VLOOKUP(B59,'Snapshot (Volume)'!$A$7:$G$168,7,0)</f>
        <v>30178800</v>
      </c>
      <c r="F59" s="165">
        <f t="shared" si="18"/>
        <v>2994225</v>
      </c>
      <c r="G59" s="166">
        <f t="shared" si="19"/>
        <v>9.9216171617161716E-2</v>
      </c>
      <c r="H59" s="165">
        <f>VLOOKUP($B59,'Data shares'!$C:$FB,66)</f>
        <v>41363050</v>
      </c>
      <c r="I59" s="165">
        <f>VLOOKUP($B59,'Data shares'!$C:$FB,67)</f>
        <v>22594675</v>
      </c>
      <c r="J59" s="81">
        <f t="shared" si="20"/>
        <v>83.065478923684452</v>
      </c>
      <c r="K59" s="5">
        <f>VLOOKUP($B59,'Data Vlaue (Cr)'!$C:$FB,99)</f>
        <v>1408</v>
      </c>
      <c r="L59" s="81">
        <f>VLOOKUP(B59,'OI(Value)'!$A$7:$C$209,3,0)</f>
        <v>127</v>
      </c>
      <c r="M59" s="33">
        <f t="shared" si="12"/>
        <v>9.0198863636363633</v>
      </c>
      <c r="N59" s="5">
        <f>VLOOKUP($B59,'Data Vlaue (Cr)'!$C:$FB,67)</f>
        <v>1755</v>
      </c>
      <c r="O59" s="5">
        <f>VLOOKUP($B59,'Data Vlaue (Cr)'!$C:$FB,68)</f>
        <v>959</v>
      </c>
      <c r="P59" s="5">
        <f t="shared" si="21"/>
        <v>45.356125356125354</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6642.5</v>
      </c>
      <c r="D60" s="82">
        <f>VLOOKUP($B60,'Data shares'!$C:$FB,98)</f>
        <v>5454800</v>
      </c>
      <c r="E60" s="165">
        <f>VLOOKUP(B60,'Snapshot (Volume)'!$A$7:$G$168,7,0)</f>
        <v>5319400</v>
      </c>
      <c r="F60" s="165">
        <f t="shared" si="18"/>
        <v>135400</v>
      </c>
      <c r="G60" s="166">
        <f t="shared" si="19"/>
        <v>2.5453998571267435E-2</v>
      </c>
      <c r="H60" s="165">
        <f>VLOOKUP($B60,'Data shares'!$C:$FB,66)</f>
        <v>4762300</v>
      </c>
      <c r="I60" s="165">
        <f>VLOOKUP($B60,'Data shares'!$C:$FB,67)</f>
        <v>12963900</v>
      </c>
      <c r="J60" s="81">
        <f t="shared" si="20"/>
        <v>-63.264912564891738</v>
      </c>
      <c r="K60" s="5">
        <f>VLOOKUP($B60,'Data Vlaue (Cr)'!$C:$FB,99)</f>
        <v>3632</v>
      </c>
      <c r="L60" s="81">
        <f>VLOOKUP(B60,'OI(Value)'!$A$7:$C$209,3,0)</f>
        <v>90</v>
      </c>
      <c r="M60" s="33">
        <f t="shared" si="12"/>
        <v>2.4779735682819384</v>
      </c>
      <c r="N60" s="5">
        <f>VLOOKUP($B60,'Data Vlaue (Cr)'!$C:$FB,67)</f>
        <v>3171</v>
      </c>
      <c r="O60" s="5">
        <f>VLOOKUP($B60,'Data Vlaue (Cr)'!$C:$FB,68)</f>
        <v>8631</v>
      </c>
      <c r="P60" s="5">
        <f t="shared" si="21"/>
        <v>-172.18543046357615</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11770</v>
      </c>
      <c r="D61" s="82">
        <f>VLOOKUP($B61,'Data shares'!$C:$FB,98)</f>
        <v>7844950</v>
      </c>
      <c r="E61" s="165">
        <f>VLOOKUP(B61,'Snapshot (Volume)'!$A$7:$G$168,7,0)</f>
        <v>7625250</v>
      </c>
      <c r="F61" s="165">
        <f t="shared" si="18"/>
        <v>219700</v>
      </c>
      <c r="G61" s="166">
        <f t="shared" si="19"/>
        <v>2.8812170092783845E-2</v>
      </c>
      <c r="H61" s="165">
        <f>VLOOKUP($B61,'Data shares'!$C:$FB,66)</f>
        <v>9449700</v>
      </c>
      <c r="I61" s="165">
        <f>VLOOKUP($B61,'Data shares'!$C:$FB,67)</f>
        <v>6764750</v>
      </c>
      <c r="J61" s="81">
        <f t="shared" si="20"/>
        <v>39.690306367567167</v>
      </c>
      <c r="K61" s="5">
        <f>VLOOKUP($B61,'Data Vlaue (Cr)'!$C:$FB,99)</f>
        <v>9278</v>
      </c>
      <c r="L61" s="81">
        <f>VLOOKUP(B61,'OI(Value)'!$A$7:$C$209,3,0)</f>
        <v>260</v>
      </c>
      <c r="M61" s="33">
        <f t="shared" si="12"/>
        <v>2.8023280879499892</v>
      </c>
      <c r="N61" s="5">
        <f>VLOOKUP($B61,'Data Vlaue (Cr)'!$C:$FB,67)</f>
        <v>11176</v>
      </c>
      <c r="O61" s="5">
        <f>VLOOKUP($B61,'Data Vlaue (Cr)'!$C:$FB,68)</f>
        <v>8001</v>
      </c>
      <c r="P61" s="5">
        <f t="shared" si="21"/>
        <v>28.40909090909091</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703.25</v>
      </c>
      <c r="D62" s="82">
        <f>VLOOKUP($B62,'Data shares'!$C:$FB,98)</f>
        <v>76230000</v>
      </c>
      <c r="E62" s="165">
        <f>VLOOKUP(B62,'Snapshot (Volume)'!$A$7:$G$168,7,0)</f>
        <v>75155850</v>
      </c>
      <c r="F62" s="165">
        <f t="shared" si="18"/>
        <v>1074150</v>
      </c>
      <c r="G62" s="166"/>
      <c r="H62" s="165">
        <f>VLOOKUP($B62,'Data shares'!$C:$FB,66)</f>
        <v>28648125</v>
      </c>
      <c r="I62" s="165">
        <f>VLOOKUP($B62,'Data shares'!$C:$FB,67)</f>
        <v>30640500</v>
      </c>
      <c r="J62" s="81"/>
      <c r="K62" s="5">
        <f>VLOOKUP($B62,'Data Vlaue (Cr)'!$C:$FB,99)</f>
        <v>5385</v>
      </c>
      <c r="L62" s="81">
        <f>VLOOKUP(B62,'OI(Value)'!$A$7:$C$209,3,0)</f>
        <v>76</v>
      </c>
      <c r="M62" s="33"/>
      <c r="N62" s="5">
        <f>VLOOKUP($B62,'Data Vlaue (Cr)'!$C:$FB,67)</f>
        <v>2024</v>
      </c>
      <c r="O62" s="5">
        <f>VLOOKUP($B62,'Data Vlaue (Cr)'!$C:$FB,68)</f>
        <v>2165</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3841.6</v>
      </c>
      <c r="D63" s="82">
        <f>VLOOKUP($B63,'Data shares'!$C:$FB,98)</f>
        <v>9147750</v>
      </c>
      <c r="E63" s="165">
        <f>VLOOKUP(B63,'Snapshot (Volume)'!$A$7:$G$168,7,0)</f>
        <v>9022050</v>
      </c>
      <c r="F63" s="165">
        <f t="shared" si="18"/>
        <v>125700</v>
      </c>
      <c r="G63" s="166">
        <f t="shared" si="19"/>
        <v>1.3932531963356443E-2</v>
      </c>
      <c r="H63" s="165">
        <f>VLOOKUP($B63,'Data shares'!$C:$FB,66)</f>
        <v>17963850</v>
      </c>
      <c r="I63" s="165">
        <f>VLOOKUP($B63,'Data shares'!$C:$FB,67)</f>
        <v>5418600</v>
      </c>
      <c r="J63" s="81">
        <f t="shared" si="20"/>
        <v>231.52197984719299</v>
      </c>
      <c r="K63" s="5">
        <f>VLOOKUP($B63,'Data Vlaue (Cr)'!$C:$FB,99)</f>
        <v>3529</v>
      </c>
      <c r="L63" s="81">
        <f>VLOOKUP(B63,'OI(Value)'!$A$7:$C$209,3,0)</f>
        <v>48</v>
      </c>
      <c r="M63" s="33">
        <f t="shared" si="12"/>
        <v>1.3601586851799377</v>
      </c>
      <c r="N63" s="5">
        <f>VLOOKUP($B63,'Data Vlaue (Cr)'!$C:$FB,67)</f>
        <v>6930</v>
      </c>
      <c r="O63" s="5">
        <f>VLOOKUP($B63,'Data Vlaue (Cr)'!$C:$FB,68)</f>
        <v>2090</v>
      </c>
      <c r="P63" s="5">
        <f t="shared" si="21"/>
        <v>69.841269841269835</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1242.8</v>
      </c>
      <c r="D64" s="82">
        <f>VLOOKUP($B64,'Data shares'!$C:$FB,98)</f>
        <v>22489375</v>
      </c>
      <c r="E64" s="165">
        <f>VLOOKUP(B64,'Snapshot (Volume)'!$A$7:$G$168,7,0)</f>
        <v>21442500</v>
      </c>
      <c r="F64" s="165">
        <f t="shared" si="18"/>
        <v>1046875</v>
      </c>
      <c r="G64" s="166">
        <f t="shared" si="19"/>
        <v>4.8822432085810892E-2</v>
      </c>
      <c r="H64" s="165">
        <f>VLOOKUP($B64,'Data shares'!$C:$FB,66)</f>
        <v>12530000</v>
      </c>
      <c r="I64" s="165">
        <f>VLOOKUP($B64,'Data shares'!$C:$FB,67)</f>
        <v>5915000</v>
      </c>
      <c r="J64" s="81">
        <f t="shared" si="20"/>
        <v>111.83431952662721</v>
      </c>
      <c r="K64" s="5">
        <f>VLOOKUP($B64,'Data Vlaue (Cr)'!$C:$FB,99)</f>
        <v>2803</v>
      </c>
      <c r="L64" s="81">
        <f>VLOOKUP(B64,'OI(Value)'!$A$7:$C$209,3,0)</f>
        <v>130</v>
      </c>
      <c r="M64" s="33">
        <f t="shared" si="12"/>
        <v>4.6378879771673205</v>
      </c>
      <c r="N64" s="5">
        <f>VLOOKUP($B64,'Data Vlaue (Cr)'!$C:$FB,67)</f>
        <v>1561</v>
      </c>
      <c r="O64" s="5">
        <f>VLOOKUP($B64,'Data Vlaue (Cr)'!$C:$FB,68)</f>
        <v>737</v>
      </c>
      <c r="P64" s="5">
        <f t="shared" si="21"/>
        <v>52.786675208199874</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7582.5</v>
      </c>
      <c r="D65" s="82">
        <f>VLOOKUP($B65,'Data shares'!$C:$FB,98)</f>
        <v>5769000</v>
      </c>
      <c r="E65" s="165">
        <f>VLOOKUP(B65,'Snapshot (Volume)'!$A$7:$G$168,7,0)</f>
        <v>5481100</v>
      </c>
      <c r="F65" s="165">
        <f t="shared" si="18"/>
        <v>287900</v>
      </c>
      <c r="G65" s="166">
        <f t="shared" si="19"/>
        <v>5.2525952819689477E-2</v>
      </c>
      <c r="H65" s="165">
        <f>VLOOKUP($B65,'Data shares'!$C:$FB,66)</f>
        <v>3463500</v>
      </c>
      <c r="I65" s="165">
        <f>VLOOKUP($B65,'Data shares'!$C:$FB,67)</f>
        <v>4861900</v>
      </c>
      <c r="J65" s="81">
        <f t="shared" si="20"/>
        <v>-28.762417984738477</v>
      </c>
      <c r="K65" s="5">
        <f>VLOOKUP($B65,'Data Vlaue (Cr)'!$C:$FB,99)</f>
        <v>4394</v>
      </c>
      <c r="L65" s="81">
        <f>VLOOKUP(B65,'OI(Value)'!$A$7:$C$209,3,0)</f>
        <v>219</v>
      </c>
      <c r="M65" s="33">
        <f t="shared" si="12"/>
        <v>4.9840691852526176</v>
      </c>
      <c r="N65" s="5">
        <f>VLOOKUP($B65,'Data Vlaue (Cr)'!$C:$FB,67)</f>
        <v>2638</v>
      </c>
      <c r="O65" s="5">
        <f>VLOOKUP($B65,'Data Vlaue (Cr)'!$C:$FB,68)</f>
        <v>3703</v>
      </c>
      <c r="P65" s="5">
        <f t="shared" si="21"/>
        <v>-40.37149355572403</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280.95</v>
      </c>
      <c r="D66" s="82">
        <f>VLOOKUP($B66,'Data shares'!$C:$FB,98)</f>
        <v>368954050</v>
      </c>
      <c r="E66" s="165">
        <f>VLOOKUP(B66,'Snapshot (Volume)'!$A$7:$G$168,7,0)</f>
        <v>356084575</v>
      </c>
      <c r="F66" s="165">
        <f t="shared" si="18"/>
        <v>12869475</v>
      </c>
      <c r="G66" s="166">
        <f t="shared" si="19"/>
        <v>3.6141624500303053E-2</v>
      </c>
      <c r="H66" s="165">
        <f>VLOOKUP($B66,'Data shares'!$C:$FB,66)</f>
        <v>167552950</v>
      </c>
      <c r="I66" s="165">
        <f>VLOOKUP($B66,'Data shares'!$C:$FB,67)</f>
        <v>107342625</v>
      </c>
      <c r="J66" s="81">
        <f t="shared" si="20"/>
        <v>56.091720320795211</v>
      </c>
      <c r="K66" s="5">
        <f>VLOOKUP($B66,'Data Vlaue (Cr)'!$C:$FB,99)</f>
        <v>10419</v>
      </c>
      <c r="L66" s="81">
        <f>VLOOKUP(B66,'OI(Value)'!$A$7:$C$209,3,0)</f>
        <v>363</v>
      </c>
      <c r="M66" s="33">
        <f t="shared" ref="M66:M93" si="22">L66/K66*100</f>
        <v>3.4840195796141664</v>
      </c>
      <c r="N66" s="5">
        <f>VLOOKUP($B66,'Data Vlaue (Cr)'!$C:$FB,67)</f>
        <v>4732</v>
      </c>
      <c r="O66" s="5">
        <f>VLOOKUP($B66,'Data Vlaue (Cr)'!$C:$FB,68)</f>
        <v>3031</v>
      </c>
      <c r="P66" s="5">
        <f t="shared" si="21"/>
        <v>35.946745562130175</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359.4</v>
      </c>
      <c r="D67" s="82">
        <f>VLOOKUP($B67,'Data shares'!$C:$FB,98)</f>
        <v>57565800</v>
      </c>
      <c r="E67" s="165">
        <f>VLOOKUP(B67,'Snapshot (Volume)'!$A$7:$G$168,7,0)</f>
        <v>53199000</v>
      </c>
      <c r="F67" s="165">
        <f t="shared" si="18"/>
        <v>4366800</v>
      </c>
      <c r="G67" s="166">
        <f t="shared" si="19"/>
        <v>8.2084249703941806E-2</v>
      </c>
      <c r="H67" s="165">
        <f>VLOOKUP($B67,'Data shares'!$C:$FB,66)</f>
        <v>21429000</v>
      </c>
      <c r="I67" s="165">
        <f>VLOOKUP($B67,'Data shares'!$C:$FB,67)</f>
        <v>19544400</v>
      </c>
      <c r="J67" s="81">
        <f t="shared" si="20"/>
        <v>9.6426597900165785</v>
      </c>
      <c r="K67" s="5">
        <f>VLOOKUP($B67,'Data Vlaue (Cr)'!$C:$FB,99)</f>
        <v>2074</v>
      </c>
      <c r="L67" s="81">
        <f>VLOOKUP(B67,'OI(Value)'!$A$7:$C$209,3,0)</f>
        <v>157</v>
      </c>
      <c r="M67" s="33">
        <f t="shared" si="22"/>
        <v>7.5699132111861136</v>
      </c>
      <c r="N67" s="5">
        <f>VLOOKUP($B67,'Data Vlaue (Cr)'!$C:$FB,67)</f>
        <v>772</v>
      </c>
      <c r="O67" s="5">
        <f>VLOOKUP($B67,'Data Vlaue (Cr)'!$C:$FB,68)</f>
        <v>704</v>
      </c>
      <c r="P67" s="5">
        <f t="shared" si="21"/>
        <v>8.8082901554404138</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258.55</v>
      </c>
      <c r="D68" s="82">
        <f>VLOOKUP($B68,'Data shares'!$C:$FB,98)</f>
        <v>112550000</v>
      </c>
      <c r="E68" s="165">
        <f>VLOOKUP(B68,'Snapshot (Volume)'!$A$7:$G$168,7,0)</f>
        <v>111450000</v>
      </c>
      <c r="F68" s="165">
        <f t="shared" si="18"/>
        <v>1100000</v>
      </c>
      <c r="G68" s="166">
        <f t="shared" si="19"/>
        <v>9.8698968147151196E-3</v>
      </c>
      <c r="H68" s="165">
        <f>VLOOKUP($B68,'Data shares'!$C:$FB,66)</f>
        <v>90555000</v>
      </c>
      <c r="I68" s="165">
        <f>VLOOKUP($B68,'Data shares'!$C:$FB,67)</f>
        <v>151500000</v>
      </c>
      <c r="J68" s="81">
        <f t="shared" si="20"/>
        <v>-40.227722772277232</v>
      </c>
      <c r="K68" s="5">
        <f>VLOOKUP($B68,'Data Vlaue (Cr)'!$C:$FB,99)</f>
        <v>2914</v>
      </c>
      <c r="L68" s="81">
        <f>VLOOKUP(B68,'OI(Value)'!$A$7:$C$209,3,0)</f>
        <v>28</v>
      </c>
      <c r="M68" s="33">
        <f t="shared" si="22"/>
        <v>0.96087851750171582</v>
      </c>
      <c r="N68" s="5">
        <f>VLOOKUP($B68,'Data Vlaue (Cr)'!$C:$FB,67)</f>
        <v>2344</v>
      </c>
      <c r="O68" s="5">
        <f>VLOOKUP($B68,'Data Vlaue (Cr)'!$C:$FB,68)</f>
        <v>3922</v>
      </c>
      <c r="P68" s="5">
        <f t="shared" si="21"/>
        <v>-67.320819112627987</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27853.35</v>
      </c>
      <c r="D69" s="165">
        <f>VLOOKUP($B69,'Data shares'!$C:$FB,98)</f>
        <v>909240</v>
      </c>
      <c r="E69" s="165">
        <f>VLOOKUP(B69,'Snapshot (Volume)'!$A$7:$G$168,7,0)</f>
        <v>979380</v>
      </c>
      <c r="F69" s="165">
        <f t="shared" ref="F69:F85" si="23">D69-E69</f>
        <v>-70140</v>
      </c>
      <c r="G69" s="166">
        <f t="shared" ref="G69:G85" si="24">F69/E69</f>
        <v>-7.1616737119402071E-2</v>
      </c>
      <c r="H69" s="165">
        <f>VLOOKUP($B69,'Data shares'!$C:$FB,66)</f>
        <v>1648620</v>
      </c>
      <c r="I69" s="165">
        <f>VLOOKUP($B69,'Data shares'!$C:$FB,67)</f>
        <v>2987040</v>
      </c>
      <c r="J69" s="81">
        <f t="shared" ref="J69:J85" si="25">(H69-I69)/I69*100</f>
        <v>-44.807568696770048</v>
      </c>
      <c r="K69" s="81">
        <f>VLOOKUP($B69,'Data Vlaue (Cr)'!$C:$FB,99)</f>
        <v>2542</v>
      </c>
      <c r="L69" s="81">
        <f>VLOOKUP(B69,'OI(Value)'!$A$7:$C$209,3,0)</f>
        <v>-196</v>
      </c>
      <c r="M69" s="81">
        <f t="shared" si="22"/>
        <v>-7.7104642014162073</v>
      </c>
      <c r="N69" s="81">
        <f>VLOOKUP($B69,'Data Vlaue (Cr)'!$C:$FB,67)</f>
        <v>4609</v>
      </c>
      <c r="O69" s="81">
        <f>VLOOKUP($B69,'Data Vlaue (Cr)'!$C:$FB,68)</f>
        <v>8350</v>
      </c>
      <c r="P69" s="81">
        <f t="shared" ref="P69:P85" si="26">(N69-O69)/N69*100</f>
        <v>-81.167281405944891</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940.85</v>
      </c>
      <c r="D70" s="165">
        <f>VLOOKUP($B70,'Data shares'!$C:$FB,98)</f>
        <v>16774875</v>
      </c>
      <c r="E70" s="165">
        <f>VLOOKUP(B70,'Snapshot (Volume)'!$A$7:$G$168,7,0)</f>
        <v>16493550</v>
      </c>
      <c r="F70" s="165">
        <f t="shared" si="23"/>
        <v>281325</v>
      </c>
      <c r="G70" s="166">
        <f t="shared" si="24"/>
        <v>1.7056667606427968E-2</v>
      </c>
      <c r="H70" s="165">
        <f>VLOOKUP($B70,'Data shares'!$C:$FB,66)</f>
        <v>9196925</v>
      </c>
      <c r="I70" s="165">
        <f>VLOOKUP($B70,'Data shares'!$C:$FB,67)</f>
        <v>23462350</v>
      </c>
      <c r="J70" s="81">
        <f t="shared" si="25"/>
        <v>-60.801347691088061</v>
      </c>
      <c r="K70" s="81">
        <f>VLOOKUP($B70,'Data Vlaue (Cr)'!$C:$FB,99)</f>
        <v>1581</v>
      </c>
      <c r="L70" s="81">
        <f>VLOOKUP(B70,'OI(Value)'!$A$7:$C$209,3,0)</f>
        <v>27</v>
      </c>
      <c r="M70" s="81">
        <f t="shared" si="22"/>
        <v>1.7077798861480076</v>
      </c>
      <c r="N70" s="81">
        <f>VLOOKUP($B70,'Data Vlaue (Cr)'!$C:$FB,67)</f>
        <v>867</v>
      </c>
      <c r="O70" s="81">
        <f>VLOOKUP($B70,'Data Vlaue (Cr)'!$C:$FB,68)</f>
        <v>2212</v>
      </c>
      <c r="P70" s="81">
        <f t="shared" si="26"/>
        <v>-155.13264129181084</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168.48</v>
      </c>
      <c r="D71" s="82">
        <f>VLOOKUP($B71,'Data shares'!$C:$FB,98)</f>
        <v>159856200</v>
      </c>
      <c r="E71" s="165">
        <f>VLOOKUP(B71,'Snapshot (Volume)'!$A$7:$G$168,7,0)</f>
        <v>151716600</v>
      </c>
      <c r="F71" s="165">
        <f t="shared" si="23"/>
        <v>8139600</v>
      </c>
      <c r="G71" s="166">
        <f t="shared" si="24"/>
        <v>5.3650029067353208E-2</v>
      </c>
      <c r="H71" s="165">
        <f>VLOOKUP($B71,'Data shares'!$C:$FB,66)</f>
        <v>52957800</v>
      </c>
      <c r="I71" s="165">
        <f>VLOOKUP($B71,'Data shares'!$C:$FB,67)</f>
        <v>54400500</v>
      </c>
      <c r="J71" s="81">
        <f t="shared" si="25"/>
        <v>-2.6519976838448178</v>
      </c>
      <c r="K71" s="5">
        <f>VLOOKUP($B71,'Data Vlaue (Cr)'!$C:$FB,99)</f>
        <v>2702</v>
      </c>
      <c r="L71" s="81">
        <f>VLOOKUP(B71,'OI(Value)'!$A$7:$C$209,3,0)</f>
        <v>138</v>
      </c>
      <c r="M71" s="33">
        <f t="shared" si="22"/>
        <v>5.1073279052553664</v>
      </c>
      <c r="N71" s="5">
        <f>VLOOKUP($B71,'Data Vlaue (Cr)'!$C:$FB,67)</f>
        <v>895</v>
      </c>
      <c r="O71" s="5">
        <f>VLOOKUP($B71,'Data Vlaue (Cr)'!$C:$FB,68)</f>
        <v>920</v>
      </c>
      <c r="P71" s="5">
        <f t="shared" si="26"/>
        <v>-2.7932960893854748</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2113.1</v>
      </c>
      <c r="D72" s="82">
        <f>VLOOKUP($B72,'Data shares'!$C:$FB,98)</f>
        <v>16148250</v>
      </c>
      <c r="E72" s="165">
        <f>VLOOKUP(B72,'Snapshot (Volume)'!$A$7:$G$168,7,0)</f>
        <v>15168750</v>
      </c>
      <c r="F72" s="165">
        <f t="shared" si="23"/>
        <v>979500</v>
      </c>
      <c r="G72" s="166">
        <f t="shared" si="24"/>
        <v>6.4573547589616809E-2</v>
      </c>
      <c r="H72" s="165">
        <f>VLOOKUP($B72,'Data shares'!$C:$FB,66)</f>
        <v>26317875</v>
      </c>
      <c r="I72" s="165">
        <f>VLOOKUP($B72,'Data shares'!$C:$FB,67)</f>
        <v>5246250</v>
      </c>
      <c r="J72" s="81">
        <f t="shared" si="25"/>
        <v>401.65117941386706</v>
      </c>
      <c r="K72" s="5">
        <f>VLOOKUP($B72,'Data Vlaue (Cr)'!$C:$FB,99)</f>
        <v>3427</v>
      </c>
      <c r="L72" s="81">
        <f>VLOOKUP(B72,'OI(Value)'!$A$7:$C$209,3,0)</f>
        <v>208</v>
      </c>
      <c r="M72" s="33">
        <f t="shared" si="22"/>
        <v>6.0694484972278957</v>
      </c>
      <c r="N72" s="5">
        <f>VLOOKUP($B72,'Data Vlaue (Cr)'!$C:$FB,67)</f>
        <v>5586</v>
      </c>
      <c r="O72" s="5">
        <f>VLOOKUP($B72,'Data Vlaue (Cr)'!$C:$FB,68)</f>
        <v>1114</v>
      </c>
      <c r="P72" s="5">
        <f t="shared" si="26"/>
        <v>80.057286072323663</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104.51</v>
      </c>
      <c r="D73" s="82">
        <f>VLOOKUP($B73,'Data shares'!$C:$FB,98)</f>
        <v>320780250</v>
      </c>
      <c r="E73" s="165">
        <f>VLOOKUP(B73,'Snapshot (Volume)'!$A$7:$G$168,7,0)</f>
        <v>311091975</v>
      </c>
      <c r="F73" s="165">
        <f t="shared" si="23"/>
        <v>9688275</v>
      </c>
      <c r="G73" s="166">
        <f t="shared" si="24"/>
        <v>3.11427994888007E-2</v>
      </c>
      <c r="H73" s="165">
        <f>VLOOKUP($B73,'Data shares'!$C:$FB,66)</f>
        <v>96031800</v>
      </c>
      <c r="I73" s="165">
        <f>VLOOKUP($B73,'Data shares'!$C:$FB,67)</f>
        <v>94790250</v>
      </c>
      <c r="J73" s="81">
        <f t="shared" si="25"/>
        <v>1.309786607799853</v>
      </c>
      <c r="K73" s="5">
        <f>VLOOKUP($B73,'Data Vlaue (Cr)'!$C:$FB,99)</f>
        <v>3369</v>
      </c>
      <c r="L73" s="81">
        <f>VLOOKUP(B73,'OI(Value)'!$A$7:$C$209,3,0)</f>
        <v>102</v>
      </c>
      <c r="M73" s="33">
        <f t="shared" si="22"/>
        <v>3.0276046304541406</v>
      </c>
      <c r="N73" s="5">
        <f>VLOOKUP($B73,'Data Vlaue (Cr)'!$C:$FB,67)</f>
        <v>1009</v>
      </c>
      <c r="O73" s="5">
        <f>VLOOKUP($B73,'Data Vlaue (Cr)'!$C:$FB,68)</f>
        <v>996</v>
      </c>
      <c r="P73" s="5">
        <f t="shared" si="26"/>
        <v>1.288404360753221</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1247.7</v>
      </c>
      <c r="D74" s="82">
        <f>VLOOKUP($B74,'Data shares'!$C:$FB,98)</f>
        <v>12452000</v>
      </c>
      <c r="E74" s="165">
        <f>VLOOKUP(B74,'Snapshot (Volume)'!$A$7:$G$168,7,0)</f>
        <v>11958000</v>
      </c>
      <c r="F74" s="165">
        <f t="shared" si="23"/>
        <v>494000</v>
      </c>
      <c r="G74" s="166">
        <f t="shared" si="24"/>
        <v>4.131125606288677E-2</v>
      </c>
      <c r="H74" s="165">
        <f>VLOOKUP($B74,'Data shares'!$C:$FB,66)</f>
        <v>11302500</v>
      </c>
      <c r="I74" s="165">
        <f>VLOOKUP($B74,'Data shares'!$C:$FB,67)</f>
        <v>3442500</v>
      </c>
      <c r="J74" s="81">
        <f t="shared" si="25"/>
        <v>228.32244008714596</v>
      </c>
      <c r="K74" s="5">
        <f>VLOOKUP($B74,'Data Vlaue (Cr)'!$C:$FB,99)</f>
        <v>1557</v>
      </c>
      <c r="L74" s="81">
        <f>VLOOKUP(B74,'OI(Value)'!$A$7:$C$209,3,0)</f>
        <v>62</v>
      </c>
      <c r="M74" s="33">
        <f t="shared" si="22"/>
        <v>3.9820166987797041</v>
      </c>
      <c r="N74" s="5">
        <f>VLOOKUP($B74,'Data Vlaue (Cr)'!$C:$FB,67)</f>
        <v>1413</v>
      </c>
      <c r="O74" s="5">
        <f>VLOOKUP($B74,'Data Vlaue (Cr)'!$C:$FB,68)</f>
        <v>431</v>
      </c>
      <c r="P74" s="5">
        <f t="shared" si="26"/>
        <v>69.497523000707716</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2138.1999999999998</v>
      </c>
      <c r="D75" s="82">
        <f>VLOOKUP($B75,'Data shares'!$C:$FB,98)</f>
        <v>13688400</v>
      </c>
      <c r="E75" s="165">
        <f>VLOOKUP(B75,'Snapshot (Volume)'!$A$7:$G$168,7,0)</f>
        <v>13166725</v>
      </c>
      <c r="F75" s="165">
        <f t="shared" si="23"/>
        <v>521675</v>
      </c>
      <c r="G75" s="166">
        <f t="shared" si="24"/>
        <v>3.9620710541155832E-2</v>
      </c>
      <c r="H75" s="165">
        <f>VLOOKUP($B75,'Data shares'!$C:$FB,66)</f>
        <v>5665275</v>
      </c>
      <c r="I75" s="165">
        <f>VLOOKUP($B75,'Data shares'!$C:$FB,67)</f>
        <v>3823600</v>
      </c>
      <c r="J75" s="81">
        <f t="shared" si="25"/>
        <v>48.165995397008054</v>
      </c>
      <c r="K75" s="5">
        <f>VLOOKUP($B75,'Data Vlaue (Cr)'!$C:$FB,99)</f>
        <v>2941</v>
      </c>
      <c r="L75" s="81">
        <f>VLOOKUP(B75,'OI(Value)'!$A$7:$C$209,3,0)</f>
        <v>112</v>
      </c>
      <c r="M75" s="33">
        <f t="shared" si="22"/>
        <v>3.8082284937096227</v>
      </c>
      <c r="N75" s="5">
        <f>VLOOKUP($B75,'Data Vlaue (Cr)'!$C:$FB,67)</f>
        <v>1217</v>
      </c>
      <c r="O75" s="5">
        <f>VLOOKUP($B75,'Data Vlaue (Cr)'!$C:$FB,68)</f>
        <v>822</v>
      </c>
      <c r="P75" s="5">
        <f t="shared" si="26"/>
        <v>32.456861133935909</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2837.1</v>
      </c>
      <c r="D76" s="82">
        <f>VLOOKUP($B76,'Data shares'!$C:$FB,98)</f>
        <v>18896250</v>
      </c>
      <c r="E76" s="165">
        <f>VLOOKUP(B76,'Snapshot (Volume)'!$A$7:$G$168,7,0)</f>
        <v>18662250</v>
      </c>
      <c r="F76" s="165">
        <f t="shared" si="23"/>
        <v>234000</v>
      </c>
      <c r="G76" s="166">
        <f t="shared" si="24"/>
        <v>1.253868102720733E-2</v>
      </c>
      <c r="H76" s="165">
        <f>VLOOKUP($B76,'Data shares'!$C:$FB,66)</f>
        <v>2529000</v>
      </c>
      <c r="I76" s="165">
        <f>VLOOKUP($B76,'Data shares'!$C:$FB,67)</f>
        <v>3694500</v>
      </c>
      <c r="J76" s="81">
        <f t="shared" si="25"/>
        <v>-31.5468940316687</v>
      </c>
      <c r="K76" s="5">
        <f>VLOOKUP($B76,'Data Vlaue (Cr)'!$C:$FB,99)</f>
        <v>5383</v>
      </c>
      <c r="L76" s="81">
        <f>VLOOKUP(B76,'OI(Value)'!$A$7:$C$209,3,0)</f>
        <v>67</v>
      </c>
      <c r="M76" s="33">
        <f t="shared" si="22"/>
        <v>1.24465911201932</v>
      </c>
      <c r="N76" s="5">
        <f>VLOOKUP($B76,'Data Vlaue (Cr)'!$C:$FB,67)</f>
        <v>720</v>
      </c>
      <c r="O76" s="5">
        <f>VLOOKUP($B76,'Data Vlaue (Cr)'!$C:$FB,68)</f>
        <v>1052</v>
      </c>
      <c r="P76" s="5">
        <f t="shared" si="26"/>
        <v>-46.111111111111114</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4525.1000000000004</v>
      </c>
      <c r="D77" s="82">
        <f>VLOOKUP($B77,'Data shares'!$C:$FB,98)</f>
        <v>17250000</v>
      </c>
      <c r="E77" s="165">
        <f>VLOOKUP(B77,'Snapshot (Volume)'!$A$7:$G$168,7,0)</f>
        <v>16956450</v>
      </c>
      <c r="F77" s="165">
        <f t="shared" si="23"/>
        <v>293550</v>
      </c>
      <c r="G77" s="166">
        <f t="shared" si="24"/>
        <v>1.7311996319984431E-2</v>
      </c>
      <c r="H77" s="165">
        <f>VLOOKUP($B77,'Data shares'!$C:$FB,66)</f>
        <v>5829450</v>
      </c>
      <c r="I77" s="165">
        <f>VLOOKUP($B77,'Data shares'!$C:$FB,67)</f>
        <v>8399250</v>
      </c>
      <c r="J77" s="81">
        <f t="shared" si="25"/>
        <v>-30.595588891865344</v>
      </c>
      <c r="K77" s="5">
        <f>VLOOKUP($B77,'Data Vlaue (Cr)'!$C:$FB,99)</f>
        <v>7823</v>
      </c>
      <c r="L77" s="81">
        <f>VLOOKUP(B77,'OI(Value)'!$A$7:$C$209,3,0)</f>
        <v>133</v>
      </c>
      <c r="M77" s="33">
        <f t="shared" si="22"/>
        <v>1.7001150453790106</v>
      </c>
      <c r="N77" s="5">
        <f>VLOOKUP($B77,'Data Vlaue (Cr)'!$C:$FB,67)</f>
        <v>2644</v>
      </c>
      <c r="O77" s="5">
        <f>VLOOKUP($B77,'Data Vlaue (Cr)'!$C:$FB,68)</f>
        <v>3809</v>
      </c>
      <c r="P77" s="5">
        <f t="shared" si="26"/>
        <v>-44.062027231467468</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1496.2</v>
      </c>
      <c r="D78" s="82">
        <f>VLOOKUP($B78,'Data shares'!$C:$FB,98)</f>
        <v>13461500</v>
      </c>
      <c r="E78" s="165">
        <f>VLOOKUP(B78,'Snapshot (Volume)'!$A$7:$G$168,7,0)</f>
        <v>12964500</v>
      </c>
      <c r="F78" s="165">
        <f t="shared" si="23"/>
        <v>497000</v>
      </c>
      <c r="G78" s="166">
        <f t="shared" si="24"/>
        <v>3.8335454510393767E-2</v>
      </c>
      <c r="H78" s="165">
        <f>VLOOKUP($B78,'Data shares'!$C:$FB,66)</f>
        <v>7009500</v>
      </c>
      <c r="I78" s="165">
        <f>VLOOKUP($B78,'Data shares'!$C:$FB,67)</f>
        <v>17808000</v>
      </c>
      <c r="J78" s="81">
        <f t="shared" si="25"/>
        <v>-60.638477088948783</v>
      </c>
      <c r="K78" s="5">
        <f>VLOOKUP($B78,'Data Vlaue (Cr)'!$C:$FB,99)</f>
        <v>2019</v>
      </c>
      <c r="L78" s="81">
        <f>VLOOKUP(B78,'OI(Value)'!$A$7:$C$209,3,0)</f>
        <v>75</v>
      </c>
      <c r="M78" s="33">
        <f t="shared" si="22"/>
        <v>3.7147102526002973</v>
      </c>
      <c r="N78" s="5">
        <f>VLOOKUP($B78,'Data Vlaue (Cr)'!$C:$FB,67)</f>
        <v>1051</v>
      </c>
      <c r="O78" s="5">
        <f>VLOOKUP($B78,'Data Vlaue (Cr)'!$C:$FB,68)</f>
        <v>2670</v>
      </c>
      <c r="P78" s="5">
        <f t="shared" si="26"/>
        <v>-154.04376784015224</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1647.7</v>
      </c>
      <c r="D79" s="82">
        <f>VLOOKUP($B79,'Data shares'!$C:$FB,98)</f>
        <v>29560650</v>
      </c>
      <c r="E79" s="165">
        <f>VLOOKUP(B79,'Snapshot (Volume)'!$A$7:$G$168,7,0)</f>
        <v>25776450</v>
      </c>
      <c r="F79" s="165">
        <f t="shared" si="23"/>
        <v>3784200</v>
      </c>
      <c r="G79" s="166">
        <f t="shared" si="24"/>
        <v>0.14680842396838975</v>
      </c>
      <c r="H79" s="165">
        <f>VLOOKUP($B79,'Data shares'!$C:$FB,66)</f>
        <v>30650200</v>
      </c>
      <c r="I79" s="165">
        <f>VLOOKUP($B79,'Data shares'!$C:$FB,67)</f>
        <v>10834600</v>
      </c>
      <c r="J79" s="81">
        <f t="shared" si="25"/>
        <v>182.89184649179481</v>
      </c>
      <c r="K79" s="5">
        <f>VLOOKUP($B79,'Data Vlaue (Cr)'!$C:$FB,99)</f>
        <v>4858</v>
      </c>
      <c r="L79" s="81">
        <f>VLOOKUP(B79,'OI(Value)'!$A$7:$C$209,3,0)</f>
        <v>622</v>
      </c>
      <c r="M79" s="33">
        <f t="shared" si="22"/>
        <v>12.803622890078223</v>
      </c>
      <c r="N79" s="5">
        <f>VLOOKUP($B79,'Data Vlaue (Cr)'!$C:$FB,67)</f>
        <v>5037</v>
      </c>
      <c r="O79" s="5">
        <f>VLOOKUP($B79,'Data Vlaue (Cr)'!$C:$FB,68)</f>
        <v>1781</v>
      </c>
      <c r="P79" s="5">
        <f t="shared" si="26"/>
        <v>64.641651776851305</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2624.6</v>
      </c>
      <c r="D80" s="82">
        <f>VLOOKUP($B80,'Data shares'!$C:$FB,98)</f>
        <v>9477300</v>
      </c>
      <c r="E80" s="165">
        <f>VLOOKUP(B80,'Snapshot (Volume)'!$A$7:$G$168,7,0)</f>
        <v>9020400</v>
      </c>
      <c r="F80" s="165">
        <f t="shared" si="23"/>
        <v>456900</v>
      </c>
      <c r="G80" s="166">
        <f t="shared" si="24"/>
        <v>5.0651855793534657E-2</v>
      </c>
      <c r="H80" s="165">
        <f>VLOOKUP($B80,'Data shares'!$C:$FB,66)</f>
        <v>2902800</v>
      </c>
      <c r="I80" s="165">
        <f>VLOOKUP($B80,'Data shares'!$C:$FB,67)</f>
        <v>2925000</v>
      </c>
      <c r="J80" s="81">
        <f t="shared" si="25"/>
        <v>-0.75897435897435894</v>
      </c>
      <c r="K80" s="5">
        <f>VLOOKUP($B80,'Data Vlaue (Cr)'!$C:$FB,99)</f>
        <v>2499</v>
      </c>
      <c r="L80" s="81">
        <f>VLOOKUP(B80,'OI(Value)'!$A$7:$C$209,3,0)</f>
        <v>120</v>
      </c>
      <c r="M80" s="33">
        <f t="shared" si="22"/>
        <v>4.8019207683073235</v>
      </c>
      <c r="N80" s="5">
        <f>VLOOKUP($B80,'Data Vlaue (Cr)'!$C:$FB,67)</f>
        <v>765</v>
      </c>
      <c r="O80" s="5">
        <f>VLOOKUP($B80,'Data Vlaue (Cr)'!$C:$FB,68)</f>
        <v>771</v>
      </c>
      <c r="P80" s="5">
        <f t="shared" si="26"/>
        <v>-0.78431372549019607</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949.05</v>
      </c>
      <c r="D81" s="82">
        <f>VLOOKUP($B81,'Data shares'!$C:$FB,98)</f>
        <v>322696000</v>
      </c>
      <c r="E81" s="165">
        <f>VLOOKUP(B81,'Snapshot (Volume)'!$A$7:$G$168,7,0)</f>
        <v>302656200</v>
      </c>
      <c r="F81" s="165">
        <f t="shared" si="23"/>
        <v>20039800</v>
      </c>
      <c r="G81" s="166">
        <f t="shared" si="24"/>
        <v>6.6213082699115369E-2</v>
      </c>
      <c r="H81" s="165">
        <f>VLOOKUP($B81,'Data shares'!$C:$FB,66)</f>
        <v>166455300</v>
      </c>
      <c r="I81" s="165">
        <f>VLOOKUP($B81,'Data shares'!$C:$FB,67)</f>
        <v>145310550</v>
      </c>
      <c r="J81" s="81">
        <f t="shared" si="25"/>
        <v>14.551421077134455</v>
      </c>
      <c r="K81" s="5">
        <f>VLOOKUP($B81,'Data Vlaue (Cr)'!$C:$FB,99)</f>
        <v>30738</v>
      </c>
      <c r="L81" s="81">
        <f>VLOOKUP(B81,'OI(Value)'!$A$7:$C$209,3,0)</f>
        <v>1909</v>
      </c>
      <c r="M81" s="33">
        <f t="shared" si="22"/>
        <v>6.2105537120176981</v>
      </c>
      <c r="N81" s="5">
        <f>VLOOKUP($B81,'Data Vlaue (Cr)'!$C:$FB,67)</f>
        <v>15856</v>
      </c>
      <c r="O81" s="5">
        <f>VLOOKUP($B81,'Data Vlaue (Cr)'!$C:$FB,68)</f>
        <v>13842</v>
      </c>
      <c r="P81" s="5">
        <f t="shared" si="26"/>
        <v>12.701816347124117</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772.35</v>
      </c>
      <c r="D82" s="82">
        <f>VLOOKUP($B82,'Data shares'!$C:$FB,98)</f>
        <v>52770300</v>
      </c>
      <c r="E82" s="165">
        <f>VLOOKUP(B82,'Snapshot (Volume)'!$A$7:$G$168,7,0)</f>
        <v>52044300</v>
      </c>
      <c r="F82" s="165">
        <f t="shared" si="23"/>
        <v>726000</v>
      </c>
      <c r="G82" s="166">
        <f t="shared" si="24"/>
        <v>1.394965442901528E-2</v>
      </c>
      <c r="H82" s="165">
        <f>VLOOKUP($B82,'Data shares'!$C:$FB,66)</f>
        <v>12401400</v>
      </c>
      <c r="I82" s="165">
        <f>VLOOKUP($B82,'Data shares'!$C:$FB,67)</f>
        <v>38723300</v>
      </c>
      <c r="J82" s="81">
        <f t="shared" si="25"/>
        <v>-67.974320370422987</v>
      </c>
      <c r="K82" s="5">
        <f>VLOOKUP($B82,'Data Vlaue (Cr)'!$C:$FB,99)</f>
        <v>4092</v>
      </c>
      <c r="L82" s="81">
        <f>VLOOKUP(B82,'OI(Value)'!$A$7:$C$209,3,0)</f>
        <v>56</v>
      </c>
      <c r="M82" s="33">
        <f t="shared" si="22"/>
        <v>1.3685239491691104</v>
      </c>
      <c r="N82" s="5">
        <f>VLOOKUP($B82,'Data Vlaue (Cr)'!$C:$FB,67)</f>
        <v>962</v>
      </c>
      <c r="O82" s="5">
        <f>VLOOKUP($B82,'Data Vlaue (Cr)'!$C:$FB,68)</f>
        <v>3002</v>
      </c>
      <c r="P82" s="5">
        <f t="shared" si="26"/>
        <v>-212.05821205821204</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5981</v>
      </c>
      <c r="D83" s="82">
        <f>VLOOKUP($B83,'Data shares'!$C:$FB,98)</f>
        <v>9596250</v>
      </c>
      <c r="E83" s="165">
        <f>VLOOKUP(B83,'Snapshot (Volume)'!$A$7:$G$168,7,0)</f>
        <v>9568500</v>
      </c>
      <c r="F83" s="165">
        <f t="shared" si="23"/>
        <v>27750</v>
      </c>
      <c r="G83" s="166">
        <f t="shared" si="24"/>
        <v>2.9001410879448191E-3</v>
      </c>
      <c r="H83" s="165">
        <f>VLOOKUP($B83,'Data shares'!$C:$FB,66)</f>
        <v>7336500</v>
      </c>
      <c r="I83" s="165">
        <f>VLOOKUP($B83,'Data shares'!$C:$FB,67)</f>
        <v>5483400</v>
      </c>
      <c r="J83" s="81">
        <f t="shared" si="25"/>
        <v>33.794725899989061</v>
      </c>
      <c r="K83" s="5">
        <f>VLOOKUP($B83,'Data Vlaue (Cr)'!$C:$FB,99)</f>
        <v>5766</v>
      </c>
      <c r="L83" s="81">
        <f>VLOOKUP(B83,'OI(Value)'!$A$7:$C$209,3,0)</f>
        <v>17</v>
      </c>
      <c r="M83" s="33">
        <f t="shared" si="22"/>
        <v>0.29483177245924386</v>
      </c>
      <c r="N83" s="5">
        <f>VLOOKUP($B83,'Data Vlaue (Cr)'!$C:$FB,67)</f>
        <v>4409</v>
      </c>
      <c r="O83" s="5">
        <f>VLOOKUP($B83,'Data Vlaue (Cr)'!$C:$FB,68)</f>
        <v>3295</v>
      </c>
      <c r="P83" s="5">
        <f t="shared" si="26"/>
        <v>25.266500340213199</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Metals</v>
      </c>
      <c r="B84" s="79" t="str">
        <f>'Data shares'!C79</f>
        <v>HINDALCO</v>
      </c>
      <c r="C84" s="4">
        <f>VLOOKUP($B84,'Data shares'!$C:$FB,7)</f>
        <v>938.45</v>
      </c>
      <c r="D84" s="82">
        <f>VLOOKUP($B84,'Data shares'!$C:$FB,98)</f>
        <v>88462500</v>
      </c>
      <c r="E84" s="165">
        <f>VLOOKUP(B84,'Snapshot (Volume)'!$A$7:$G$168,7,0)</f>
        <v>91242900</v>
      </c>
      <c r="F84" s="165">
        <f t="shared" si="23"/>
        <v>-2780400</v>
      </c>
      <c r="G84" s="166">
        <f t="shared" si="24"/>
        <v>-3.0472507997882575E-2</v>
      </c>
      <c r="H84" s="165">
        <f>VLOOKUP($B84,'Data shares'!$C:$FB,66)</f>
        <v>60690700</v>
      </c>
      <c r="I84" s="165">
        <f>VLOOKUP($B84,'Data shares'!$C:$FB,67)</f>
        <v>153426000</v>
      </c>
      <c r="J84" s="81">
        <f t="shared" si="25"/>
        <v>-60.443014873619859</v>
      </c>
      <c r="K84" s="5">
        <f>VLOOKUP($B84,'Data Vlaue (Cr)'!$C:$FB,99)</f>
        <v>8317</v>
      </c>
      <c r="L84" s="81">
        <f>VLOOKUP(B84,'OI(Value)'!$A$7:$C$209,3,0)</f>
        <v>-261</v>
      </c>
      <c r="M84" s="33">
        <f t="shared" si="22"/>
        <v>-3.1381507755200189</v>
      </c>
      <c r="N84" s="5">
        <f>VLOOKUP($B84,'Data Vlaue (Cr)'!$C:$FB,67)</f>
        <v>5706</v>
      </c>
      <c r="O84" s="5">
        <f>VLOOKUP($B84,'Data Vlaue (Cr)'!$C:$FB,68)</f>
        <v>14425</v>
      </c>
      <c r="P84" s="5">
        <f t="shared" si="26"/>
        <v>-152.80406589554855</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Oil_Gas</v>
      </c>
      <c r="B85" s="79" t="str">
        <f>'Data shares'!C80</f>
        <v>HINDPETRO</v>
      </c>
      <c r="C85" s="4">
        <f>VLOOKUP($B85,'Data shares'!$C:$FB,7)</f>
        <v>476.45</v>
      </c>
      <c r="D85" s="82">
        <f>VLOOKUP($B85,'Data shares'!$C:$FB,98)</f>
        <v>61268400</v>
      </c>
      <c r="E85" s="165">
        <f>VLOOKUP(B85,'Snapshot (Volume)'!$A$7:$G$168,7,0)</f>
        <v>60085800</v>
      </c>
      <c r="F85" s="165">
        <f t="shared" si="23"/>
        <v>1182600</v>
      </c>
      <c r="G85" s="166">
        <f t="shared" si="24"/>
        <v>1.9681854947425182E-2</v>
      </c>
      <c r="H85" s="165">
        <f>VLOOKUP($B85,'Data shares'!$C:$FB,66)</f>
        <v>20254050</v>
      </c>
      <c r="I85" s="165">
        <f>VLOOKUP($B85,'Data shares'!$C:$FB,67)</f>
        <v>58550850</v>
      </c>
      <c r="J85" s="81">
        <f t="shared" si="25"/>
        <v>-65.407760946254413</v>
      </c>
      <c r="K85" s="5">
        <f>VLOOKUP($B85,'Data Vlaue (Cr)'!$C:$FB,99)</f>
        <v>2930</v>
      </c>
      <c r="L85" s="81">
        <f>VLOOKUP(B85,'OI(Value)'!$A$7:$C$209,3,0)</f>
        <v>57</v>
      </c>
      <c r="M85" s="33">
        <f t="shared" si="22"/>
        <v>1.9453924914675766</v>
      </c>
      <c r="N85" s="5">
        <f>VLOOKUP($B85,'Data Vlaue (Cr)'!$C:$FB,67)</f>
        <v>969</v>
      </c>
      <c r="O85" s="5">
        <f>VLOOKUP($B85,'Data Vlaue (Cr)'!$C:$FB,68)</f>
        <v>2800</v>
      </c>
      <c r="P85" s="5">
        <f t="shared" si="26"/>
        <v>-188.95768833849328</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FMCG</v>
      </c>
      <c r="B86" s="79" t="str">
        <f>'Data shares'!C81</f>
        <v>HINDUNILVR</v>
      </c>
      <c r="C86" s="4">
        <f>VLOOKUP($B86,'Data shares'!$C:$FB,7)</f>
        <v>2399.4</v>
      </c>
      <c r="D86" s="82">
        <f>VLOOKUP($B86,'Data shares'!$C:$FB,98)</f>
        <v>22739400</v>
      </c>
      <c r="E86" s="165">
        <f>VLOOKUP(B86,'Snapshot (Volume)'!$A$7:$G$168,7,0)</f>
        <v>22028700</v>
      </c>
      <c r="F86" s="165">
        <f t="shared" ref="F86:F96" si="27">D86-E86</f>
        <v>710700</v>
      </c>
      <c r="G86" s="166">
        <f t="shared" ref="G86:G96" si="28">F86/E86</f>
        <v>3.2262457612115103E-2</v>
      </c>
      <c r="H86" s="165">
        <f>VLOOKUP($B86,'Data shares'!$C:$FB,66)</f>
        <v>12129000</v>
      </c>
      <c r="I86" s="165">
        <f>VLOOKUP($B86,'Data shares'!$C:$FB,67)</f>
        <v>23322300</v>
      </c>
      <c r="J86" s="81">
        <f t="shared" ref="J86:J96" si="29">(H86-I86)/I86*100</f>
        <v>-47.993980010547844</v>
      </c>
      <c r="K86" s="5">
        <f>VLOOKUP($B86,'Data Vlaue (Cr)'!$C:$FB,99)</f>
        <v>5454</v>
      </c>
      <c r="L86" s="81">
        <f>VLOOKUP(B86,'OI(Value)'!$A$7:$C$209,3,0)</f>
        <v>170</v>
      </c>
      <c r="M86" s="33">
        <f t="shared" si="22"/>
        <v>3.116978364503117</v>
      </c>
      <c r="N86" s="5">
        <f>VLOOKUP($B86,'Data Vlaue (Cr)'!$C:$FB,67)</f>
        <v>2909</v>
      </c>
      <c r="O86" s="5">
        <f>VLOOKUP($B86,'Data Vlaue (Cr)'!$C:$FB,68)</f>
        <v>5594</v>
      </c>
      <c r="P86" s="5">
        <f t="shared" ref="P86:P96" si="30">(N86-O86)/N86*100</f>
        <v>-92.299759367480235</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Metals</v>
      </c>
      <c r="B87" s="79" t="str">
        <f>'Data shares'!C82</f>
        <v>HINDZINC</v>
      </c>
      <c r="C87" s="4">
        <f>VLOOKUP($B87,'Data shares'!$C:$FB,7)</f>
        <v>630</v>
      </c>
      <c r="D87" s="82">
        <f>VLOOKUP($B87,'Data shares'!$C:$FB,98)</f>
        <v>101819550</v>
      </c>
      <c r="E87" s="165">
        <f>VLOOKUP(B87,'Snapshot (Volume)'!$A$7:$G$168,7,0)</f>
        <v>95815825</v>
      </c>
      <c r="F87" s="165">
        <f t="shared" si="27"/>
        <v>6003725</v>
      </c>
      <c r="G87" s="166">
        <f t="shared" si="28"/>
        <v>6.265901274658961E-2</v>
      </c>
      <c r="H87" s="165">
        <f>VLOOKUP($B87,'Data shares'!$C:$FB,66)</f>
        <v>80810800</v>
      </c>
      <c r="I87" s="165">
        <f>VLOOKUP($B87,'Data shares'!$C:$FB,67)</f>
        <v>110864950</v>
      </c>
      <c r="J87" s="81">
        <f t="shared" si="29"/>
        <v>-27.108793175841416</v>
      </c>
      <c r="K87" s="5">
        <f>VLOOKUP($B87,'Data Vlaue (Cr)'!$C:$FB,99)</f>
        <v>6427</v>
      </c>
      <c r="L87" s="81">
        <f>VLOOKUP(B87,'OI(Value)'!$A$7:$C$209,3,0)</f>
        <v>379</v>
      </c>
      <c r="M87" s="33">
        <f t="shared" si="22"/>
        <v>5.8969970437217984</v>
      </c>
      <c r="N87" s="5">
        <f>VLOOKUP($B87,'Data Vlaue (Cr)'!$C:$FB,67)</f>
        <v>5101</v>
      </c>
      <c r="O87" s="5">
        <f>VLOOKUP($B87,'Data Vlaue (Cr)'!$C:$FB,68)</f>
        <v>6998</v>
      </c>
      <c r="P87" s="5">
        <f t="shared" si="30"/>
        <v>-37.188786512448537</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Realty</v>
      </c>
      <c r="B88" s="79" t="str">
        <f>'Data shares'!C83</f>
        <v>HUDCO</v>
      </c>
      <c r="C88" s="4">
        <f>VLOOKUP($B88,'Data shares'!$C:$FB,7)</f>
        <v>226.82</v>
      </c>
      <c r="D88" s="82">
        <f>VLOOKUP($B88,'Data shares'!$C:$FB,98)</f>
        <v>74242350</v>
      </c>
      <c r="E88" s="165">
        <f>VLOOKUP(B88,'Snapshot (Volume)'!$A$7:$G$168,7,0)</f>
        <v>72699450</v>
      </c>
      <c r="F88" s="165">
        <f t="shared" si="27"/>
        <v>1542900</v>
      </c>
      <c r="G88" s="166">
        <f t="shared" si="28"/>
        <v>2.1222994121688678E-2</v>
      </c>
      <c r="H88" s="165">
        <f>VLOOKUP($B88,'Data shares'!$C:$FB,66)</f>
        <v>20784750</v>
      </c>
      <c r="I88" s="165">
        <f>VLOOKUP($B88,'Data shares'!$C:$FB,67)</f>
        <v>19888425</v>
      </c>
      <c r="J88" s="81">
        <f t="shared" si="29"/>
        <v>4.5067671271103666</v>
      </c>
      <c r="K88" s="5">
        <f>VLOOKUP($B88,'Data Vlaue (Cr)'!$C:$FB,99)</f>
        <v>1692</v>
      </c>
      <c r="L88" s="81">
        <f>VLOOKUP(B88,'OI(Value)'!$A$7:$C$209,3,0)</f>
        <v>35</v>
      </c>
      <c r="M88" s="33">
        <f t="shared" si="22"/>
        <v>2.0685579196217492</v>
      </c>
      <c r="N88" s="5">
        <f>VLOOKUP($B88,'Data Vlaue (Cr)'!$C:$FB,67)</f>
        <v>474</v>
      </c>
      <c r="O88" s="5">
        <f>VLOOKUP($B88,'Data Vlaue (Cr)'!$C:$FB,68)</f>
        <v>453</v>
      </c>
      <c r="P88" s="5">
        <f t="shared" si="30"/>
        <v>4.4303797468354427</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Banking</v>
      </c>
      <c r="B89" s="79" t="str">
        <f>'Data shares'!C84</f>
        <v>ICICIBANK</v>
      </c>
      <c r="C89" s="4">
        <f>VLOOKUP($B89,'Data shares'!$C:$FB,7)</f>
        <v>1427.7</v>
      </c>
      <c r="D89" s="82">
        <f>VLOOKUP($B89,'Data shares'!$C:$FB,98)</f>
        <v>171324300</v>
      </c>
      <c r="E89" s="165">
        <f>VLOOKUP(B89,'Snapshot (Volume)'!$A$7:$G$168,7,0)</f>
        <v>174059900</v>
      </c>
      <c r="F89" s="165">
        <f t="shared" si="27"/>
        <v>-2735600</v>
      </c>
      <c r="G89" s="166">
        <f t="shared" si="28"/>
        <v>-1.5716428654733227E-2</v>
      </c>
      <c r="H89" s="165">
        <f>VLOOKUP($B89,'Data shares'!$C:$FB,66)</f>
        <v>130500300</v>
      </c>
      <c r="I89" s="165">
        <f>VLOOKUP($B89,'Data shares'!$C:$FB,67)</f>
        <v>179698400</v>
      </c>
      <c r="J89" s="81">
        <f t="shared" si="29"/>
        <v>-27.37815139144255</v>
      </c>
      <c r="K89" s="5">
        <f>VLOOKUP($B89,'Data Vlaue (Cr)'!$C:$FB,99)</f>
        <v>24511</v>
      </c>
      <c r="L89" s="81">
        <f>VLOOKUP(B89,'OI(Value)'!$A$7:$C$209,3,0)</f>
        <v>-391</v>
      </c>
      <c r="M89" s="33">
        <f t="shared" si="22"/>
        <v>-1.5952021541348782</v>
      </c>
      <c r="N89" s="5">
        <f>VLOOKUP($B89,'Data Vlaue (Cr)'!$C:$FB,67)</f>
        <v>18671</v>
      </c>
      <c r="O89" s="5">
        <f>VLOOKUP($B89,'Data Vlaue (Cr)'!$C:$FB,68)</f>
        <v>25709</v>
      </c>
      <c r="P89" s="5">
        <f t="shared" si="30"/>
        <v>-37.69482084516094</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Finance</v>
      </c>
      <c r="B90" s="79" t="str">
        <f>'Data shares'!C85</f>
        <v>ICICIGI</v>
      </c>
      <c r="C90" s="4">
        <f>VLOOKUP($B90,'Data shares'!$C:$FB,7)</f>
        <v>1966.2</v>
      </c>
      <c r="D90" s="82">
        <f>VLOOKUP($B90,'Data shares'!$C:$FB,98)</f>
        <v>7012525</v>
      </c>
      <c r="E90" s="165">
        <f>VLOOKUP(B90,'Snapshot (Volume)'!$A$7:$G$168,7,0)</f>
        <v>6858800</v>
      </c>
      <c r="F90" s="165">
        <f t="shared" si="27"/>
        <v>153725</v>
      </c>
      <c r="G90" s="166">
        <f t="shared" si="28"/>
        <v>2.241281273692191E-2</v>
      </c>
      <c r="H90" s="165">
        <f>VLOOKUP($B90,'Data shares'!$C:$FB,66)</f>
        <v>2968550</v>
      </c>
      <c r="I90" s="165">
        <f>VLOOKUP($B90,'Data shares'!$C:$FB,67)</f>
        <v>2986100</v>
      </c>
      <c r="J90" s="81">
        <f t="shared" si="29"/>
        <v>-0.58772311710927294</v>
      </c>
      <c r="K90" s="5">
        <f>VLOOKUP($B90,'Data Vlaue (Cr)'!$C:$FB,99)</f>
        <v>1384</v>
      </c>
      <c r="L90" s="81">
        <f>VLOOKUP(B90,'OI(Value)'!$A$7:$C$209,3,0)</f>
        <v>30</v>
      </c>
      <c r="M90" s="33">
        <f t="shared" si="22"/>
        <v>2.1676300578034682</v>
      </c>
      <c r="N90" s="5">
        <f>VLOOKUP($B90,'Data Vlaue (Cr)'!$C:$FB,67)</f>
        <v>586</v>
      </c>
      <c r="O90" s="5">
        <f>VLOOKUP($B90,'Data Vlaue (Cr)'!$C:$FB,68)</f>
        <v>589</v>
      </c>
      <c r="P90" s="5">
        <f t="shared" si="30"/>
        <v>-0.51194539249146753</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ICICIPRULI</v>
      </c>
      <c r="C91" s="4">
        <f>VLOOKUP($B91,'Data shares'!$C:$FB,7)</f>
        <v>684.6</v>
      </c>
      <c r="D91" s="82">
        <f>VLOOKUP($B91,'Data shares'!$C:$FB,98)</f>
        <v>21451675</v>
      </c>
      <c r="E91" s="165">
        <f>VLOOKUP(B91,'Snapshot (Volume)'!$A$7:$G$168,7,0)</f>
        <v>21719000</v>
      </c>
      <c r="F91" s="165">
        <f t="shared" si="27"/>
        <v>-267325</v>
      </c>
      <c r="G91" s="166">
        <f t="shared" si="28"/>
        <v>-1.2308347529812606E-2</v>
      </c>
      <c r="H91" s="165">
        <f>VLOOKUP($B91,'Data shares'!$C:$FB,66)</f>
        <v>7439775</v>
      </c>
      <c r="I91" s="165">
        <f>VLOOKUP($B91,'Data shares'!$C:$FB,67)</f>
        <v>7158575</v>
      </c>
      <c r="J91" s="81">
        <f t="shared" si="29"/>
        <v>3.9281560925184129</v>
      </c>
      <c r="K91" s="5">
        <f>VLOOKUP($B91,'Data Vlaue (Cr)'!$C:$FB,99)</f>
        <v>1472</v>
      </c>
      <c r="L91" s="81">
        <f>VLOOKUP(B91,'OI(Value)'!$A$7:$C$209,3,0)</f>
        <v>-18</v>
      </c>
      <c r="M91" s="33">
        <f t="shared" si="22"/>
        <v>-1.2228260869565217</v>
      </c>
      <c r="N91" s="5">
        <f>VLOOKUP($B91,'Data Vlaue (Cr)'!$C:$FB,67)</f>
        <v>510</v>
      </c>
      <c r="O91" s="5">
        <f>VLOOKUP($B91,'Data Vlaue (Cr)'!$C:$FB,68)</f>
        <v>491</v>
      </c>
      <c r="P91" s="5">
        <f t="shared" si="30"/>
        <v>3.7254901960784315</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Telecom</v>
      </c>
      <c r="B92" s="79" t="str">
        <f>'Data shares'!C87</f>
        <v>IDEA</v>
      </c>
      <c r="C92" s="4">
        <f>VLOOKUP($B92,'Data shares'!$C:$FB,7)</f>
        <v>11.46</v>
      </c>
      <c r="D92" s="82">
        <f>VLOOKUP($B92,'Data shares'!$C:$FB,98)</f>
        <v>11269677675</v>
      </c>
      <c r="E92" s="165">
        <f>VLOOKUP(B92,'Snapshot (Volume)'!$A$7:$G$168,7,0)</f>
        <v>11256383325</v>
      </c>
      <c r="F92" s="165">
        <f t="shared" si="27"/>
        <v>13294350</v>
      </c>
      <c r="G92" s="166">
        <f t="shared" si="28"/>
        <v>1.1810498644332548E-3</v>
      </c>
      <c r="H92" s="165">
        <f>VLOOKUP($B92,'Data shares'!$C:$FB,66)</f>
        <v>1749422100</v>
      </c>
      <c r="I92" s="165">
        <f>VLOOKUP($B92,'Data shares'!$C:$FB,67)</f>
        <v>2652437250</v>
      </c>
      <c r="J92" s="81">
        <f t="shared" si="29"/>
        <v>-34.044731878199947</v>
      </c>
      <c r="K92" s="5">
        <f>VLOOKUP($B92,'Data Vlaue (Cr)'!$C:$FB,99)</f>
        <v>12983</v>
      </c>
      <c r="L92" s="81">
        <f>VLOOKUP(B92,'OI(Value)'!$A$7:$C$209,3,0)</f>
        <v>15</v>
      </c>
      <c r="M92" s="33">
        <f t="shared" si="22"/>
        <v>0.11553570053146422</v>
      </c>
      <c r="N92" s="5">
        <f>VLOOKUP($B92,'Data Vlaue (Cr)'!$C:$FB,67)</f>
        <v>2015</v>
      </c>
      <c r="O92" s="5">
        <f>VLOOKUP($B92,'Data Vlaue (Cr)'!$C:$FB,68)</f>
        <v>3056</v>
      </c>
      <c r="P92" s="5">
        <f t="shared" si="30"/>
        <v>-51.66253101736973</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Banking</v>
      </c>
      <c r="B93" s="79" t="str">
        <f>'Data shares'!C88</f>
        <v>IDFCFIRSTB</v>
      </c>
      <c r="C93" s="4">
        <f>VLOOKUP($B93,'Data shares'!$C:$FB,7)</f>
        <v>84.4</v>
      </c>
      <c r="D93" s="82">
        <f>VLOOKUP($B93,'Data shares'!$C:$FB,98)</f>
        <v>506090375</v>
      </c>
      <c r="E93" s="165">
        <f>VLOOKUP(B93,'Snapshot (Volume)'!$A$7:$G$168,7,0)</f>
        <v>491194725</v>
      </c>
      <c r="F93" s="165">
        <f t="shared" si="27"/>
        <v>14895650</v>
      </c>
      <c r="G93" s="166">
        <f t="shared" si="28"/>
        <v>3.0325346022394683E-2</v>
      </c>
      <c r="H93" s="165">
        <f>VLOOKUP($B93,'Data shares'!$C:$FB,66)</f>
        <v>226671725</v>
      </c>
      <c r="I93" s="165">
        <f>VLOOKUP($B93,'Data shares'!$C:$FB,67)</f>
        <v>184897125</v>
      </c>
      <c r="J93" s="81">
        <f t="shared" si="29"/>
        <v>22.593428643090043</v>
      </c>
      <c r="K93" s="5">
        <f>VLOOKUP($B93,'Data Vlaue (Cr)'!$C:$FB,99)</f>
        <v>4291</v>
      </c>
      <c r="L93" s="81">
        <f>VLOOKUP(B93,'OI(Value)'!$A$7:$C$209,3,0)</f>
        <v>126</v>
      </c>
      <c r="M93" s="33">
        <f t="shared" si="22"/>
        <v>2.9363784665579118</v>
      </c>
      <c r="N93" s="5">
        <f>VLOOKUP($B93,'Data Vlaue (Cr)'!$C:$FB,67)</f>
        <v>1922</v>
      </c>
      <c r="O93" s="5">
        <f>VLOOKUP($B93,'Data Vlaue (Cr)'!$C:$FB,68)</f>
        <v>1568</v>
      </c>
      <c r="P93" s="5">
        <f t="shared" si="30"/>
        <v>18.418314255983351</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Power</v>
      </c>
      <c r="B94" s="79" t="str">
        <f>'Data shares'!C89</f>
        <v>IEX</v>
      </c>
      <c r="C94" s="4">
        <f>VLOOKUP($B94,'Data shares'!$C:$FB,7)</f>
        <v>154.78</v>
      </c>
      <c r="D94" s="82">
        <f>VLOOKUP($B94,'Data shares'!$C:$FB,98)</f>
        <v>233850000</v>
      </c>
      <c r="E94" s="165">
        <f>VLOOKUP(B94,'Snapshot (Volume)'!$A$7:$G$168,7,0)</f>
        <v>222270000</v>
      </c>
      <c r="F94" s="165">
        <f t="shared" si="27"/>
        <v>11580000</v>
      </c>
      <c r="G94" s="166">
        <f t="shared" si="28"/>
        <v>5.2098798758266972E-2</v>
      </c>
      <c r="H94" s="165">
        <f>VLOOKUP($B94,'Data shares'!$C:$FB,66)</f>
        <v>615558750</v>
      </c>
      <c r="I94" s="165">
        <f>VLOOKUP($B94,'Data shares'!$C:$FB,67)</f>
        <v>798600000</v>
      </c>
      <c r="J94" s="81">
        <f t="shared" si="29"/>
        <v>-22.92026671675432</v>
      </c>
      <c r="K94" s="5">
        <f>VLOOKUP($B94,'Data Vlaue (Cr)'!$C:$FB,99)</f>
        <v>3633</v>
      </c>
      <c r="L94" s="81">
        <f>VLOOKUP(B94,'OI(Value)'!$A$7:$C$209,3,0)</f>
        <v>180</v>
      </c>
      <c r="M94" s="33">
        <f t="shared" ref="M94:M122" si="31">L94/K94*100</f>
        <v>4.9545829892650701</v>
      </c>
      <c r="N94" s="5">
        <f>VLOOKUP($B94,'Data Vlaue (Cr)'!$C:$FB,67)</f>
        <v>9562</v>
      </c>
      <c r="O94" s="5">
        <f>VLOOKUP($B94,'Data Vlaue (Cr)'!$C:$FB,68)</f>
        <v>12405</v>
      </c>
      <c r="P94" s="5">
        <f t="shared" si="30"/>
        <v>-29.732273582932439</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IIFL</v>
      </c>
      <c r="C95" s="4">
        <f>VLOOKUP($B95,'Data shares'!$C:$FB,7)</f>
        <v>656.95</v>
      </c>
      <c r="D95" s="82">
        <f>VLOOKUP($B95,'Data shares'!$C:$FB,98)</f>
        <v>21425250</v>
      </c>
      <c r="E95" s="165">
        <f>VLOOKUP(B95,'Snapshot (Volume)'!$A$7:$G$168,7,0)</f>
        <v>20872500</v>
      </c>
      <c r="F95" s="165">
        <f t="shared" si="27"/>
        <v>552750</v>
      </c>
      <c r="G95" s="166">
        <f t="shared" si="28"/>
        <v>2.6482213438735178E-2</v>
      </c>
      <c r="H95" s="165">
        <f>VLOOKUP($B95,'Data shares'!$C:$FB,66)</f>
        <v>15701400</v>
      </c>
      <c r="I95" s="165">
        <f>VLOOKUP($B95,'Data shares'!$C:$FB,67)</f>
        <v>42748200</v>
      </c>
      <c r="J95" s="81">
        <f t="shared" si="29"/>
        <v>-63.270032422417785</v>
      </c>
      <c r="K95" s="5">
        <f>VLOOKUP($B95,'Data Vlaue (Cr)'!$C:$FB,99)</f>
        <v>1415</v>
      </c>
      <c r="L95" s="81">
        <f>VLOOKUP(B95,'OI(Value)'!$A$7:$C$209,3,0)</f>
        <v>37</v>
      </c>
      <c r="M95" s="33">
        <f t="shared" si="31"/>
        <v>2.6148409893992932</v>
      </c>
      <c r="N95" s="5">
        <f>VLOOKUP($B95,'Data Vlaue (Cr)'!$C:$FB,67)</f>
        <v>1037</v>
      </c>
      <c r="O95" s="5">
        <f>VLOOKUP($B95,'Data Vlaue (Cr)'!$C:$FB,68)</f>
        <v>2823</v>
      </c>
      <c r="P95" s="5">
        <f t="shared" si="30"/>
        <v>-172.22757955641273</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Realty</v>
      </c>
      <c r="B96" s="79" t="str">
        <f>'Data shares'!C91</f>
        <v>INDHOTEL</v>
      </c>
      <c r="C96" s="4">
        <f>VLOOKUP($B96,'Data shares'!$C:$FB,7)</f>
        <v>715.35</v>
      </c>
      <c r="D96" s="82">
        <f>VLOOKUP($B96,'Data shares'!$C:$FB,98)</f>
        <v>45365000</v>
      </c>
      <c r="E96" s="165">
        <f>VLOOKUP(B96,'Snapshot (Volume)'!$A$7:$G$168,7,0)</f>
        <v>40574000</v>
      </c>
      <c r="F96" s="165">
        <f t="shared" si="27"/>
        <v>4791000</v>
      </c>
      <c r="G96" s="166">
        <f t="shared" si="28"/>
        <v>0.11808054419086114</v>
      </c>
      <c r="H96" s="165">
        <f>VLOOKUP($B96,'Data shares'!$C:$FB,66)</f>
        <v>42456000</v>
      </c>
      <c r="I96" s="165">
        <f>VLOOKUP($B96,'Data shares'!$C:$FB,67)</f>
        <v>22124000</v>
      </c>
      <c r="J96" s="81">
        <f t="shared" si="29"/>
        <v>91.900198879045377</v>
      </c>
      <c r="K96" s="5">
        <f>VLOOKUP($B96,'Data Vlaue (Cr)'!$C:$FB,99)</f>
        <v>3253</v>
      </c>
      <c r="L96" s="81">
        <f>VLOOKUP(B96,'OI(Value)'!$A$7:$C$209,3,0)</f>
        <v>344</v>
      </c>
      <c r="M96" s="33">
        <f t="shared" si="31"/>
        <v>10.57485398094067</v>
      </c>
      <c r="N96" s="5">
        <f>VLOOKUP($B96,'Data Vlaue (Cr)'!$C:$FB,67)</f>
        <v>3045</v>
      </c>
      <c r="O96" s="5">
        <f>VLOOKUP($B96,'Data Vlaue (Cr)'!$C:$FB,68)</f>
        <v>1587</v>
      </c>
      <c r="P96" s="5">
        <f t="shared" si="30"/>
        <v>47.881773399014776</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Banking</v>
      </c>
      <c r="B97" s="79" t="str">
        <f>'Data shares'!C92</f>
        <v>INDIANB</v>
      </c>
      <c r="C97" s="4">
        <f>VLOOKUP($B97,'Data shares'!$C:$FB,7)</f>
        <v>864.6</v>
      </c>
      <c r="D97" s="82">
        <f>VLOOKUP($B97,'Data shares'!$C:$FB,98)</f>
        <v>17370000</v>
      </c>
      <c r="E97" s="165">
        <f>VLOOKUP(B97,'Snapshot (Volume)'!$A$7:$G$168,7,0)</f>
        <v>17397000</v>
      </c>
      <c r="F97" s="165">
        <f t="shared" ref="F97:F105" si="32">D97-E97</f>
        <v>-27000</v>
      </c>
      <c r="G97" s="166">
        <f t="shared" ref="G97:G105" si="33">F97/E97</f>
        <v>-1.5519917227108122E-3</v>
      </c>
      <c r="H97" s="165">
        <f>VLOOKUP($B97,'Data shares'!$C:$FB,66)</f>
        <v>6406000</v>
      </c>
      <c r="I97" s="165">
        <f>VLOOKUP($B97,'Data shares'!$C:$FB,67)</f>
        <v>10125000</v>
      </c>
      <c r="J97" s="81">
        <f t="shared" ref="J97:J105" si="34">(H97-I97)/I97*100</f>
        <v>-36.730864197530863</v>
      </c>
      <c r="K97" s="5">
        <f>VLOOKUP($B97,'Data Vlaue (Cr)'!$C:$FB,99)</f>
        <v>1504</v>
      </c>
      <c r="L97" s="81">
        <f>VLOOKUP(B97,'OI(Value)'!$A$7:$C$209,3,0)</f>
        <v>-2</v>
      </c>
      <c r="M97" s="33">
        <f t="shared" si="31"/>
        <v>-0.13297872340425532</v>
      </c>
      <c r="N97" s="5">
        <f>VLOOKUP($B97,'Data Vlaue (Cr)'!$C:$FB,67)</f>
        <v>555</v>
      </c>
      <c r="O97" s="5">
        <f>VLOOKUP($B97,'Data Vlaue (Cr)'!$C:$FB,68)</f>
        <v>877</v>
      </c>
      <c r="P97" s="5">
        <f t="shared" ref="P97:P105" si="35">(N97-O97)/N97*100</f>
        <v>-58.018018018018012</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Index</v>
      </c>
      <c r="B98" s="79" t="str">
        <f>'Data shares'!C93</f>
        <v>INDIAVIX</v>
      </c>
      <c r="C98" s="4">
        <f>VLOOKUP($B98,'Data shares'!$C:$FB,7)</f>
        <v>9.9499999999999993</v>
      </c>
      <c r="D98" s="82">
        <f>VLOOKUP($B98,'Data shares'!$C:$FB,98)</f>
        <v>0</v>
      </c>
      <c r="E98" s="165">
        <f>VLOOKUP(B98,'Snapshot (Volume)'!$A$7:$G$168,7,0)</f>
        <v>0</v>
      </c>
      <c r="F98" s="165">
        <f t="shared" si="32"/>
        <v>0</v>
      </c>
      <c r="G98" s="166" t="e">
        <f t="shared" si="33"/>
        <v>#DIV/0!</v>
      </c>
      <c r="H98" s="165">
        <f>VLOOKUP($B98,'Data shares'!$C:$FB,66)</f>
        <v>0</v>
      </c>
      <c r="I98" s="165">
        <f>VLOOKUP($B98,'Data shares'!$C:$FB,67)</f>
        <v>0</v>
      </c>
      <c r="J98" s="81" t="e">
        <f t="shared" si="34"/>
        <v>#DIV/0!</v>
      </c>
      <c r="K98" s="5">
        <f>VLOOKUP($B98,'Data Vlaue (Cr)'!$C:$FB,99)</f>
        <v>0</v>
      </c>
      <c r="L98" s="81">
        <f>VLOOKUP(B98,'OI(Value)'!$A$7:$C$209,3,0)</f>
        <v>0</v>
      </c>
      <c r="M98" s="33" t="e">
        <f t="shared" si="31"/>
        <v>#DIV/0!</v>
      </c>
      <c r="N98" s="5">
        <f>VLOOKUP($B98,'Data Vlaue (Cr)'!$C:$FB,67)</f>
        <v>0</v>
      </c>
      <c r="O98" s="5">
        <f>VLOOKUP($B98,'Data Vlaue (Cr)'!$C:$FB,68)</f>
        <v>0</v>
      </c>
      <c r="P98" s="5" t="e">
        <f t="shared" si="35"/>
        <v>#DIV/0!</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Infrastructure</v>
      </c>
      <c r="B99" s="79" t="str">
        <f>'Data shares'!C94</f>
        <v>INDIGO</v>
      </c>
      <c r="C99" s="4">
        <f>VLOOKUP($B99,'Data shares'!$C:$FB,7)</f>
        <v>4951</v>
      </c>
      <c r="D99" s="82">
        <f>VLOOKUP($B99,'Data shares'!$C:$FB,98)</f>
        <v>16961400</v>
      </c>
      <c r="E99" s="165">
        <f>VLOOKUP(B99,'Snapshot (Volume)'!$A$7:$G$168,7,0)</f>
        <v>16428300</v>
      </c>
      <c r="F99" s="165">
        <f t="shared" si="32"/>
        <v>533100</v>
      </c>
      <c r="G99" s="166">
        <f t="shared" si="33"/>
        <v>3.2450101349500556E-2</v>
      </c>
      <c r="H99" s="165">
        <f>VLOOKUP($B99,'Data shares'!$C:$FB,66)</f>
        <v>12618150</v>
      </c>
      <c r="I99" s="165">
        <f>VLOOKUP($B99,'Data shares'!$C:$FB,67)</f>
        <v>9358650</v>
      </c>
      <c r="J99" s="81">
        <f t="shared" si="34"/>
        <v>34.828741324870578</v>
      </c>
      <c r="K99" s="5">
        <f>VLOOKUP($B99,'Data Vlaue (Cr)'!$C:$FB,99)</f>
        <v>8439</v>
      </c>
      <c r="L99" s="81">
        <f>VLOOKUP(B99,'OI(Value)'!$A$7:$C$209,3,0)</f>
        <v>265</v>
      </c>
      <c r="M99" s="33">
        <f t="shared" si="31"/>
        <v>3.1401824860765495</v>
      </c>
      <c r="N99" s="5">
        <f>VLOOKUP($B99,'Data Vlaue (Cr)'!$C:$FB,67)</f>
        <v>6278</v>
      </c>
      <c r="O99" s="5">
        <f>VLOOKUP($B99,'Data Vlaue (Cr)'!$C:$FB,68)</f>
        <v>4656</v>
      </c>
      <c r="P99" s="5">
        <f t="shared" si="35"/>
        <v>25.836253583943929</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Banking</v>
      </c>
      <c r="B100" s="79" t="str">
        <f>'Data shares'!C95</f>
        <v>INDUSINDBK</v>
      </c>
      <c r="C100" s="4">
        <f>VLOOKUP($B100,'Data shares'!$C:$FB,7)</f>
        <v>897.85</v>
      </c>
      <c r="D100" s="82">
        <f>VLOOKUP($B100,'Data shares'!$C:$FB,98)</f>
        <v>68705700</v>
      </c>
      <c r="E100" s="165">
        <f>VLOOKUP(B100,'Snapshot (Volume)'!$A$7:$G$168,7,0)</f>
        <v>66480400</v>
      </c>
      <c r="F100" s="165">
        <f t="shared" si="32"/>
        <v>2225300</v>
      </c>
      <c r="G100" s="166">
        <f t="shared" si="33"/>
        <v>3.3473023628016678E-2</v>
      </c>
      <c r="H100" s="165">
        <f>VLOOKUP($B100,'Data shares'!$C:$FB,66)</f>
        <v>35718900</v>
      </c>
      <c r="I100" s="165">
        <f>VLOOKUP($B100,'Data shares'!$C:$FB,67)</f>
        <v>70023800</v>
      </c>
      <c r="J100" s="81">
        <f t="shared" si="34"/>
        <v>-48.990343283283686</v>
      </c>
      <c r="K100" s="5">
        <f>VLOOKUP($B100,'Data Vlaue (Cr)'!$C:$FB,99)</f>
        <v>6186</v>
      </c>
      <c r="L100" s="81">
        <f>VLOOKUP(B100,'OI(Value)'!$A$7:$C$209,3,0)</f>
        <v>200</v>
      </c>
      <c r="M100" s="33">
        <f t="shared" si="31"/>
        <v>3.2331070158422244</v>
      </c>
      <c r="N100" s="5">
        <f>VLOOKUP($B100,'Data Vlaue (Cr)'!$C:$FB,67)</f>
        <v>3216</v>
      </c>
      <c r="O100" s="5">
        <f>VLOOKUP($B100,'Data Vlaue (Cr)'!$C:$FB,68)</f>
        <v>6304</v>
      </c>
      <c r="P100" s="5">
        <f t="shared" si="35"/>
        <v>-96.019900497512438</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Telecom</v>
      </c>
      <c r="B101" s="79" t="str">
        <f>'Data shares'!C96</f>
        <v>INDUSTOWER</v>
      </c>
      <c r="C101" s="4">
        <f>VLOOKUP($B101,'Data shares'!$C:$FB,7)</f>
        <v>429</v>
      </c>
      <c r="D101" s="82">
        <f>VLOOKUP($B101,'Data shares'!$C:$FB,98)</f>
        <v>134714800</v>
      </c>
      <c r="E101" s="165">
        <f>VLOOKUP(B101,'Snapshot (Volume)'!$A$7:$G$168,7,0)</f>
        <v>134427500</v>
      </c>
      <c r="F101" s="165">
        <f t="shared" si="32"/>
        <v>287300</v>
      </c>
      <c r="G101" s="166">
        <f t="shared" si="33"/>
        <v>2.1372115080619666E-3</v>
      </c>
      <c r="H101" s="165">
        <f>VLOOKUP($B101,'Data shares'!$C:$FB,66)</f>
        <v>28796300</v>
      </c>
      <c r="I101" s="165">
        <f>VLOOKUP($B101,'Data shares'!$C:$FB,67)</f>
        <v>27256100</v>
      </c>
      <c r="J101" s="81">
        <f t="shared" si="34"/>
        <v>5.6508451319154247</v>
      </c>
      <c r="K101" s="5">
        <f>VLOOKUP($B101,'Data Vlaue (Cr)'!$C:$FB,99)</f>
        <v>5797</v>
      </c>
      <c r="L101" s="81">
        <f>VLOOKUP(B101,'OI(Value)'!$A$7:$C$209,3,0)</f>
        <v>12</v>
      </c>
      <c r="M101" s="33">
        <f t="shared" si="31"/>
        <v>0.20700362256339486</v>
      </c>
      <c r="N101" s="5">
        <f>VLOOKUP($B101,'Data Vlaue (Cr)'!$C:$FB,67)</f>
        <v>1239</v>
      </c>
      <c r="O101" s="5">
        <f>VLOOKUP($B101,'Data Vlaue (Cr)'!$C:$FB,68)</f>
        <v>1173</v>
      </c>
      <c r="P101" s="5">
        <f t="shared" si="35"/>
        <v>5.3268765133171918</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Technology</v>
      </c>
      <c r="B102" s="79" t="str">
        <f>'Data shares'!C97</f>
        <v>INFY</v>
      </c>
      <c r="C102" s="4">
        <f>VLOOKUP($B102,'Data shares'!$C:$FB,7)</f>
        <v>1639</v>
      </c>
      <c r="D102" s="82">
        <f>VLOOKUP($B102,'Data shares'!$C:$FB,98)</f>
        <v>107888000</v>
      </c>
      <c r="E102" s="165">
        <f>VLOOKUP(B102,'Snapshot (Volume)'!$A$7:$G$168,7,0)</f>
        <v>102161600</v>
      </c>
      <c r="F102" s="165">
        <f t="shared" si="32"/>
        <v>5726400</v>
      </c>
      <c r="G102" s="166">
        <f t="shared" si="33"/>
        <v>5.6052371928395794E-2</v>
      </c>
      <c r="H102" s="165">
        <f>VLOOKUP($B102,'Data shares'!$C:$FB,66)</f>
        <v>52171600</v>
      </c>
      <c r="I102" s="165">
        <f>VLOOKUP($B102,'Data shares'!$C:$FB,67)</f>
        <v>26730400</v>
      </c>
      <c r="J102" s="81">
        <f t="shared" si="34"/>
        <v>95.177026905695385</v>
      </c>
      <c r="K102" s="5">
        <f>VLOOKUP($B102,'Data Vlaue (Cr)'!$C:$FB,99)</f>
        <v>17743</v>
      </c>
      <c r="L102" s="81">
        <f>VLOOKUP(B102,'OI(Value)'!$A$7:$C$209,3,0)</f>
        <v>942</v>
      </c>
      <c r="M102" s="33">
        <f t="shared" si="31"/>
        <v>5.3091359972947076</v>
      </c>
      <c r="N102" s="5">
        <f>VLOOKUP($B102,'Data Vlaue (Cr)'!$C:$FB,67)</f>
        <v>8580</v>
      </c>
      <c r="O102" s="5">
        <f>VLOOKUP($B102,'Data Vlaue (Cr)'!$C:$FB,68)</f>
        <v>4396</v>
      </c>
      <c r="P102" s="5">
        <f t="shared" si="35"/>
        <v>48.764568764568764</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Power</v>
      </c>
      <c r="B103" s="79" t="str">
        <f>'Data shares'!C98</f>
        <v>INOXWIND</v>
      </c>
      <c r="C103" s="4">
        <f>VLOOKUP($B103,'Data shares'!$C:$FB,7)</f>
        <v>122.94</v>
      </c>
      <c r="D103" s="82">
        <f>VLOOKUP($B103,'Data shares'!$C:$FB,98)</f>
        <v>140218650</v>
      </c>
      <c r="E103" s="165">
        <f>VLOOKUP(B103,'Snapshot (Volume)'!$A$7:$G$168,7,0)</f>
        <v>135942950</v>
      </c>
      <c r="F103" s="165">
        <f t="shared" si="32"/>
        <v>4275700</v>
      </c>
      <c r="G103" s="166">
        <f t="shared" si="33"/>
        <v>3.1452164308630938E-2</v>
      </c>
      <c r="H103" s="165">
        <f>VLOOKUP($B103,'Data shares'!$C:$FB,66)</f>
        <v>37340875</v>
      </c>
      <c r="I103" s="165">
        <f>VLOOKUP($B103,'Data shares'!$C:$FB,67)</f>
        <v>43965350</v>
      </c>
      <c r="J103" s="81">
        <f t="shared" si="34"/>
        <v>-15.067490648885999</v>
      </c>
      <c r="K103" s="5">
        <f>VLOOKUP($B103,'Data Vlaue (Cr)'!$C:$FB,99)</f>
        <v>1728</v>
      </c>
      <c r="L103" s="81">
        <f>VLOOKUP(B103,'OI(Value)'!$A$7:$C$209,3,0)</f>
        <v>53</v>
      </c>
      <c r="M103" s="33">
        <f t="shared" si="31"/>
        <v>3.0671296296296298</v>
      </c>
      <c r="N103" s="5">
        <f>VLOOKUP($B103,'Data Vlaue (Cr)'!$C:$FB,67)</f>
        <v>460</v>
      </c>
      <c r="O103" s="5">
        <f>VLOOKUP($B103,'Data Vlaue (Cr)'!$C:$FB,68)</f>
        <v>542</v>
      </c>
      <c r="P103" s="5">
        <f t="shared" si="35"/>
        <v>-17.826086956521738</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Oil_Gas</v>
      </c>
      <c r="B104" s="79" t="str">
        <f>'Data shares'!C99</f>
        <v>IOC</v>
      </c>
      <c r="C104" s="4">
        <f>VLOOKUP($B104,'Data shares'!$C:$FB,7)</f>
        <v>162.66999999999999</v>
      </c>
      <c r="D104" s="82">
        <f>VLOOKUP($B104,'Data shares'!$C:$FB,98)</f>
        <v>189540000</v>
      </c>
      <c r="E104" s="165">
        <f>VLOOKUP(B104,'Snapshot (Volume)'!$A$7:$G$168,7,0)</f>
        <v>184055625</v>
      </c>
      <c r="F104" s="165">
        <f t="shared" si="32"/>
        <v>5484375</v>
      </c>
      <c r="G104" s="166">
        <f t="shared" si="33"/>
        <v>2.9797377830750895E-2</v>
      </c>
      <c r="H104" s="165">
        <f>VLOOKUP($B104,'Data shares'!$C:$FB,66)</f>
        <v>53737125</v>
      </c>
      <c r="I104" s="165">
        <f>VLOOKUP($B104,'Data shares'!$C:$FB,67)</f>
        <v>111384000</v>
      </c>
      <c r="J104" s="81">
        <f t="shared" si="34"/>
        <v>-51.755077030812323</v>
      </c>
      <c r="K104" s="5">
        <f>VLOOKUP($B104,'Data Vlaue (Cr)'!$C:$FB,99)</f>
        <v>3095</v>
      </c>
      <c r="L104" s="81">
        <f>VLOOKUP(B104,'OI(Value)'!$A$7:$C$209,3,0)</f>
        <v>90</v>
      </c>
      <c r="M104" s="33">
        <f t="shared" si="31"/>
        <v>2.9079159935379644</v>
      </c>
      <c r="N104" s="5">
        <f>VLOOKUP($B104,'Data Vlaue (Cr)'!$C:$FB,67)</f>
        <v>878</v>
      </c>
      <c r="O104" s="5">
        <f>VLOOKUP($B104,'Data Vlaue (Cr)'!$C:$FB,68)</f>
        <v>1819</v>
      </c>
      <c r="P104" s="5">
        <f t="shared" si="35"/>
        <v>-107.1753986332574</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Infrastructure</v>
      </c>
      <c r="B105" s="79" t="str">
        <f>'Data shares'!C100</f>
        <v>IRCTC</v>
      </c>
      <c r="C105" s="4">
        <f>VLOOKUP($B105,'Data shares'!$C:$FB,7)</f>
        <v>672.8</v>
      </c>
      <c r="D105" s="82">
        <f>VLOOKUP($B105,'Data shares'!$C:$FB,98)</f>
        <v>57025500</v>
      </c>
      <c r="E105" s="165">
        <f>VLOOKUP(B105,'Snapshot (Volume)'!$A$7:$G$168,7,0)</f>
        <v>53594625</v>
      </c>
      <c r="F105" s="165">
        <f t="shared" si="32"/>
        <v>3430875</v>
      </c>
      <c r="G105" s="166">
        <f t="shared" si="33"/>
        <v>6.4015281383161093E-2</v>
      </c>
      <c r="H105" s="165">
        <f>VLOOKUP($B105,'Data shares'!$C:$FB,66)</f>
        <v>20762875</v>
      </c>
      <c r="I105" s="165">
        <f>VLOOKUP($B105,'Data shares'!$C:$FB,67)</f>
        <v>19747875</v>
      </c>
      <c r="J105" s="81">
        <f t="shared" si="34"/>
        <v>5.1397935220878193</v>
      </c>
      <c r="K105" s="5">
        <f>VLOOKUP($B105,'Data Vlaue (Cr)'!$C:$FB,99)</f>
        <v>3847</v>
      </c>
      <c r="L105" s="81">
        <f>VLOOKUP(B105,'OI(Value)'!$A$7:$C$209,3,0)</f>
        <v>231</v>
      </c>
      <c r="M105" s="33">
        <f t="shared" si="31"/>
        <v>6.0046789706264621</v>
      </c>
      <c r="N105" s="5">
        <f>VLOOKUP($B105,'Data Vlaue (Cr)'!$C:$FB,67)</f>
        <v>1401</v>
      </c>
      <c r="O105" s="5">
        <f>VLOOKUP($B105,'Data Vlaue (Cr)'!$C:$FB,68)</f>
        <v>1332</v>
      </c>
      <c r="P105" s="5">
        <f t="shared" si="35"/>
        <v>4.925053533190578</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Finance</v>
      </c>
      <c r="B106" s="79" t="str">
        <f>'Data shares'!C101</f>
        <v>IREDA</v>
      </c>
      <c r="C106" s="79">
        <f>VLOOKUP($B106,'Data shares'!$C:$FB,7)</f>
        <v>146.03</v>
      </c>
      <c r="D106" s="80">
        <f>VLOOKUP($B106,'Data shares'!$C:$FB,98)</f>
        <v>112856400</v>
      </c>
      <c r="E106" s="165">
        <f>VLOOKUP(B106,'Snapshot (Volume)'!$A$7:$G$168,7,0)</f>
        <v>106798200</v>
      </c>
      <c r="F106" s="165">
        <f t="shared" ref="F106:F114" si="36">D106-E106</f>
        <v>6058200</v>
      </c>
      <c r="G106" s="166">
        <f t="shared" ref="G106:G114" si="37">F106/E106</f>
        <v>5.67256751518284E-2</v>
      </c>
      <c r="H106" s="165">
        <f>VLOOKUP($B106,'Data shares'!$C:$FB,66)</f>
        <v>53388750</v>
      </c>
      <c r="I106" s="165">
        <f>VLOOKUP($B106,'Data shares'!$C:$FB,67)</f>
        <v>43028400</v>
      </c>
      <c r="J106" s="81">
        <f t="shared" ref="J106:J114" si="38">(H106-I106)/I106*100</f>
        <v>24.077934573444516</v>
      </c>
      <c r="K106" s="81">
        <f>VLOOKUP($B106,'Data Vlaue (Cr)'!$C:$FB,99)</f>
        <v>1647</v>
      </c>
      <c r="L106" s="81">
        <f>VLOOKUP(B106,'OI(Value)'!$A$7:$C$209,3,0)</f>
        <v>88</v>
      </c>
      <c r="M106" s="81">
        <f t="shared" si="31"/>
        <v>5.3430479659987862</v>
      </c>
      <c r="N106" s="81">
        <f>VLOOKUP($B106,'Data Vlaue (Cr)'!$C:$FB,67)</f>
        <v>779</v>
      </c>
      <c r="O106" s="81">
        <f>VLOOKUP($B106,'Data Vlaue (Cr)'!$C:$FB,68)</f>
        <v>628</v>
      </c>
      <c r="P106" s="81">
        <f t="shared" ref="P106:P114" si="39">(N106-O106)/N106*100</f>
        <v>19.383825417201543</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IRFC</v>
      </c>
      <c r="C107" s="79">
        <f>VLOOKUP($B107,'Data shares'!$C:$FB,7)</f>
        <v>128.04</v>
      </c>
      <c r="D107" s="80">
        <f>VLOOKUP($B107,'Data shares'!$C:$FB,98)</f>
        <v>181466500</v>
      </c>
      <c r="E107" s="165">
        <f>VLOOKUP(B107,'Snapshot (Volume)'!$A$7:$G$168,7,0)</f>
        <v>180140500</v>
      </c>
      <c r="F107" s="165">
        <f t="shared" si="36"/>
        <v>1326000</v>
      </c>
      <c r="G107" s="166">
        <f t="shared" si="37"/>
        <v>7.360921058840183E-3</v>
      </c>
      <c r="H107" s="165">
        <f>VLOOKUP($B107,'Data shares'!$C:$FB,66)</f>
        <v>47264250</v>
      </c>
      <c r="I107" s="165">
        <f>VLOOKUP($B107,'Data shares'!$C:$FB,67)</f>
        <v>68514250</v>
      </c>
      <c r="J107" s="81">
        <f t="shared" si="38"/>
        <v>-31.015445691954589</v>
      </c>
      <c r="K107" s="81">
        <f>VLOOKUP($B107,'Data Vlaue (Cr)'!$C:$FB,99)</f>
        <v>2335</v>
      </c>
      <c r="L107" s="81">
        <f>VLOOKUP(B107,'OI(Value)'!$A$7:$C$209,3,0)</f>
        <v>17</v>
      </c>
      <c r="M107" s="81">
        <f t="shared" si="31"/>
        <v>0.72805139186295509</v>
      </c>
      <c r="N107" s="81">
        <f>VLOOKUP($B107,'Data Vlaue (Cr)'!$C:$FB,67)</f>
        <v>608</v>
      </c>
      <c r="O107" s="81">
        <f>VLOOKUP($B107,'Data Vlaue (Cr)'!$C:$FB,68)</f>
        <v>881</v>
      </c>
      <c r="P107" s="81">
        <f t="shared" si="39"/>
        <v>-44.901315789473685</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FMCG</v>
      </c>
      <c r="B108" s="79" t="str">
        <f>'Data shares'!C103</f>
        <v>ITC</v>
      </c>
      <c r="C108" s="4">
        <f>VLOOKUP($B108,'Data shares'!$C:$FB,7)</f>
        <v>341.25</v>
      </c>
      <c r="D108" s="82">
        <f>VLOOKUP($B108,'Data shares'!$C:$FB,98)</f>
        <v>753646400</v>
      </c>
      <c r="E108" s="165">
        <f>VLOOKUP(B108,'Snapshot (Volume)'!$A$7:$G$168,7,0)</f>
        <v>732564800</v>
      </c>
      <c r="F108" s="165">
        <f t="shared" si="36"/>
        <v>21081600</v>
      </c>
      <c r="G108" s="166">
        <f t="shared" si="37"/>
        <v>2.8777795493313357E-2</v>
      </c>
      <c r="H108" s="165">
        <f>VLOOKUP($B108,'Data shares'!$C:$FB,66)</f>
        <v>375084800</v>
      </c>
      <c r="I108" s="165">
        <f>VLOOKUP($B108,'Data shares'!$C:$FB,67)</f>
        <v>875897600</v>
      </c>
      <c r="J108" s="81">
        <f t="shared" si="38"/>
        <v>-57.177094674080621</v>
      </c>
      <c r="K108" s="5">
        <f>VLOOKUP($B108,'Data Vlaue (Cr)'!$C:$FB,99)</f>
        <v>25843</v>
      </c>
      <c r="L108" s="81">
        <f>VLOOKUP(B108,'OI(Value)'!$A$7:$C$209,3,0)</f>
        <v>723</v>
      </c>
      <c r="M108" s="33">
        <f t="shared" si="31"/>
        <v>2.7976628100452734</v>
      </c>
      <c r="N108" s="5">
        <f>VLOOKUP($B108,'Data Vlaue (Cr)'!$C:$FB,67)</f>
        <v>12862</v>
      </c>
      <c r="O108" s="5">
        <f>VLOOKUP($B108,'Data Vlaue (Cr)'!$C:$FB,68)</f>
        <v>30035</v>
      </c>
      <c r="P108" s="5">
        <f t="shared" si="39"/>
        <v>-133.51733789457316</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Metals</v>
      </c>
      <c r="B109" s="79" t="str">
        <f>'Data shares'!C104</f>
        <v>JINDALSTEL</v>
      </c>
      <c r="C109" s="4">
        <f>VLOOKUP($B109,'Data shares'!$C:$FB,7)</f>
        <v>1074.7</v>
      </c>
      <c r="D109" s="82">
        <f>VLOOKUP($B109,'Data shares'!$C:$FB,98)</f>
        <v>21510000</v>
      </c>
      <c r="E109" s="165">
        <f>VLOOKUP(B109,'Snapshot (Volume)'!$A$7:$G$168,7,0)</f>
        <v>20476250</v>
      </c>
      <c r="F109" s="165">
        <f t="shared" si="36"/>
        <v>1033750</v>
      </c>
      <c r="G109" s="166">
        <f t="shared" si="37"/>
        <v>5.0485318356632683E-2</v>
      </c>
      <c r="H109" s="165">
        <f>VLOOKUP($B109,'Data shares'!$C:$FB,66)</f>
        <v>9871875</v>
      </c>
      <c r="I109" s="165">
        <f>VLOOKUP($B109,'Data shares'!$C:$FB,67)</f>
        <v>9658750</v>
      </c>
      <c r="J109" s="81">
        <f t="shared" si="38"/>
        <v>2.2065484664164621</v>
      </c>
      <c r="K109" s="5">
        <f>VLOOKUP($B109,'Data Vlaue (Cr)'!$C:$FB,99)</f>
        <v>2317</v>
      </c>
      <c r="L109" s="81">
        <f>VLOOKUP(B109,'OI(Value)'!$A$7:$C$209,3,0)</f>
        <v>111</v>
      </c>
      <c r="M109" s="33">
        <f t="shared" si="31"/>
        <v>4.7906776003452745</v>
      </c>
      <c r="N109" s="5">
        <f>VLOOKUP($B109,'Data Vlaue (Cr)'!$C:$FB,67)</f>
        <v>1063</v>
      </c>
      <c r="O109" s="5">
        <f>VLOOKUP($B109,'Data Vlaue (Cr)'!$C:$FB,68)</f>
        <v>1041</v>
      </c>
      <c r="P109" s="5">
        <f t="shared" si="39"/>
        <v>2.0696142991533399</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Finance</v>
      </c>
      <c r="B110" s="79" t="str">
        <f>'Data shares'!C105</f>
        <v>JIOFIN</v>
      </c>
      <c r="C110" s="4">
        <f>VLOOKUP($B110,'Data shares'!$C:$FB,7)</f>
        <v>303.5</v>
      </c>
      <c r="D110" s="82">
        <f>VLOOKUP($B110,'Data shares'!$C:$FB,98)</f>
        <v>256218150</v>
      </c>
      <c r="E110" s="165">
        <f>VLOOKUP(B110,'Snapshot (Volume)'!$A$7:$G$168,7,0)</f>
        <v>249906050</v>
      </c>
      <c r="F110" s="165">
        <f t="shared" si="36"/>
        <v>6312100</v>
      </c>
      <c r="G110" s="166">
        <f t="shared" si="37"/>
        <v>2.5257891915781951E-2</v>
      </c>
      <c r="H110" s="165">
        <f>VLOOKUP($B110,'Data shares'!$C:$FB,66)</f>
        <v>213786550</v>
      </c>
      <c r="I110" s="165">
        <f>VLOOKUP($B110,'Data shares'!$C:$FB,67)</f>
        <v>116343800</v>
      </c>
      <c r="J110" s="81">
        <f t="shared" si="38"/>
        <v>83.754140744930112</v>
      </c>
      <c r="K110" s="5">
        <f>VLOOKUP($B110,'Data Vlaue (Cr)'!$C:$FB,99)</f>
        <v>7817</v>
      </c>
      <c r="L110" s="81">
        <f>VLOOKUP(B110,'OI(Value)'!$A$7:$C$209,3,0)</f>
        <v>193</v>
      </c>
      <c r="M110" s="33">
        <f t="shared" si="31"/>
        <v>2.4689778687476012</v>
      </c>
      <c r="N110" s="5">
        <f>VLOOKUP($B110,'Data Vlaue (Cr)'!$C:$FB,67)</f>
        <v>6523</v>
      </c>
      <c r="O110" s="5">
        <f>VLOOKUP($B110,'Data Vlaue (Cr)'!$C:$FB,68)</f>
        <v>3550</v>
      </c>
      <c r="P110" s="5">
        <f t="shared" si="39"/>
        <v>45.577188410240687</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Power</v>
      </c>
      <c r="B111" s="79" t="str">
        <f>'Data shares'!C106</f>
        <v>JSWENERGY</v>
      </c>
      <c r="C111" s="4">
        <f>VLOOKUP($B111,'Data shares'!$C:$FB,7)</f>
        <v>512.6</v>
      </c>
      <c r="D111" s="82">
        <f>VLOOKUP($B111,'Data shares'!$C:$FB,98)</f>
        <v>52037000</v>
      </c>
      <c r="E111" s="165">
        <f>VLOOKUP(B111,'Snapshot (Volume)'!$A$7:$G$168,7,0)</f>
        <v>52066000</v>
      </c>
      <c r="F111" s="165">
        <f t="shared" si="36"/>
        <v>-29000</v>
      </c>
      <c r="G111" s="166">
        <f t="shared" si="37"/>
        <v>-5.5698536472938197E-4</v>
      </c>
      <c r="H111" s="165">
        <f>VLOOKUP($B111,'Data shares'!$C:$FB,66)</f>
        <v>8526000</v>
      </c>
      <c r="I111" s="165">
        <f>VLOOKUP($B111,'Data shares'!$C:$FB,67)</f>
        <v>9910000</v>
      </c>
      <c r="J111" s="81">
        <f t="shared" si="38"/>
        <v>-13.9656912209889</v>
      </c>
      <c r="K111" s="5">
        <f>VLOOKUP($B111,'Data Vlaue (Cr)'!$C:$FB,99)</f>
        <v>2673</v>
      </c>
      <c r="L111" s="81">
        <f>VLOOKUP(B111,'OI(Value)'!$A$7:$C$209,3,0)</f>
        <v>-1</v>
      </c>
      <c r="M111" s="33">
        <f t="shared" si="31"/>
        <v>-3.741114852225963E-2</v>
      </c>
      <c r="N111" s="5">
        <f>VLOOKUP($B111,'Data Vlaue (Cr)'!$C:$FB,67)</f>
        <v>438</v>
      </c>
      <c r="O111" s="5">
        <f>VLOOKUP($B111,'Data Vlaue (Cr)'!$C:$FB,68)</f>
        <v>509</v>
      </c>
      <c r="P111" s="5">
        <f t="shared" si="39"/>
        <v>-16.210045662100455</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Metals</v>
      </c>
      <c r="B112" s="79" t="str">
        <f>'Data shares'!C107</f>
        <v>JSWSTEEL</v>
      </c>
      <c r="C112" s="4">
        <f>VLOOKUP($B112,'Data shares'!$C:$FB,7)</f>
        <v>1189.8</v>
      </c>
      <c r="D112" s="82">
        <f>VLOOKUP($B112,'Data shares'!$C:$FB,98)</f>
        <v>67603950</v>
      </c>
      <c r="E112" s="165">
        <f>VLOOKUP(B112,'Snapshot (Volume)'!$A$7:$G$168,7,0)</f>
        <v>66999150</v>
      </c>
      <c r="F112" s="165">
        <f t="shared" si="36"/>
        <v>604800</v>
      </c>
      <c r="G112" s="166">
        <f t="shared" si="37"/>
        <v>9.0269801930322989E-3</v>
      </c>
      <c r="H112" s="165">
        <f>VLOOKUP($B112,'Data shares'!$C:$FB,66)</f>
        <v>14335650</v>
      </c>
      <c r="I112" s="165">
        <f>VLOOKUP($B112,'Data shares'!$C:$FB,67)</f>
        <v>25449525</v>
      </c>
      <c r="J112" s="81">
        <f t="shared" si="38"/>
        <v>-43.670264965652599</v>
      </c>
      <c r="K112" s="5">
        <f>VLOOKUP($B112,'Data Vlaue (Cr)'!$C:$FB,99)</f>
        <v>8061</v>
      </c>
      <c r="L112" s="81">
        <f>VLOOKUP(B112,'OI(Value)'!$A$7:$C$209,3,0)</f>
        <v>72</v>
      </c>
      <c r="M112" s="33">
        <f t="shared" si="31"/>
        <v>0.89318943059173794</v>
      </c>
      <c r="N112" s="5">
        <f>VLOOKUP($B112,'Data Vlaue (Cr)'!$C:$FB,67)</f>
        <v>1709</v>
      </c>
      <c r="O112" s="5">
        <f>VLOOKUP($B112,'Data Vlaue (Cr)'!$C:$FB,68)</f>
        <v>3035</v>
      </c>
      <c r="P112" s="5">
        <f t="shared" si="39"/>
        <v>-77.58923346986542</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FMCG</v>
      </c>
      <c r="B113" s="79" t="str">
        <f>'Data shares'!C108</f>
        <v>JUBLFOOD</v>
      </c>
      <c r="C113" s="4">
        <f>VLOOKUP($B113,'Data shares'!$C:$FB,7)</f>
        <v>537.4</v>
      </c>
      <c r="D113" s="82">
        <f>VLOOKUP($B113,'Data shares'!$C:$FB,98)</f>
        <v>46818750</v>
      </c>
      <c r="E113" s="165">
        <f>VLOOKUP(B113,'Snapshot (Volume)'!$A$7:$G$168,7,0)</f>
        <v>45272500</v>
      </c>
      <c r="F113" s="165">
        <f t="shared" si="36"/>
        <v>1546250</v>
      </c>
      <c r="G113" s="166">
        <f t="shared" si="37"/>
        <v>3.4154287923132146E-2</v>
      </c>
      <c r="H113" s="165">
        <f>VLOOKUP($B113,'Data shares'!$C:$FB,66)</f>
        <v>34840000</v>
      </c>
      <c r="I113" s="165">
        <f>VLOOKUP($B113,'Data shares'!$C:$FB,67)</f>
        <v>28413750</v>
      </c>
      <c r="J113" s="81">
        <f t="shared" si="38"/>
        <v>22.616690862698519</v>
      </c>
      <c r="K113" s="5">
        <f>VLOOKUP($B113,'Data Vlaue (Cr)'!$C:$FB,99)</f>
        <v>2526</v>
      </c>
      <c r="L113" s="81">
        <f>VLOOKUP(B113,'OI(Value)'!$A$7:$C$209,3,0)</f>
        <v>83</v>
      </c>
      <c r="M113" s="33">
        <f t="shared" si="31"/>
        <v>3.285827395091053</v>
      </c>
      <c r="N113" s="5">
        <f>VLOOKUP($B113,'Data Vlaue (Cr)'!$C:$FB,67)</f>
        <v>1879</v>
      </c>
      <c r="O113" s="5">
        <f>VLOOKUP($B113,'Data Vlaue (Cr)'!$C:$FB,68)</f>
        <v>1533</v>
      </c>
      <c r="P113" s="5">
        <f t="shared" si="39"/>
        <v>18.4140500266099</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FMCG</v>
      </c>
      <c r="B114" s="79" t="str">
        <f>'Data shares'!C109</f>
        <v>KALYANKJIL</v>
      </c>
      <c r="C114" s="4">
        <f>VLOOKUP($B114,'Data shares'!$C:$FB,7)</f>
        <v>520.75</v>
      </c>
      <c r="D114" s="82">
        <f>VLOOKUP($B114,'Data shares'!$C:$FB,98)</f>
        <v>53524775</v>
      </c>
      <c r="E114" s="165">
        <f>VLOOKUP(B114,'Snapshot (Volume)'!$A$7:$G$168,7,0)</f>
        <v>45218700</v>
      </c>
      <c r="F114" s="165">
        <f t="shared" si="36"/>
        <v>8306075</v>
      </c>
      <c r="G114" s="166">
        <f t="shared" si="37"/>
        <v>0.18368672695146035</v>
      </c>
      <c r="H114" s="165">
        <f>VLOOKUP($B114,'Data shares'!$C:$FB,66)</f>
        <v>124640475</v>
      </c>
      <c r="I114" s="165">
        <f>VLOOKUP($B114,'Data shares'!$C:$FB,67)</f>
        <v>13339775</v>
      </c>
      <c r="J114" s="81">
        <f t="shared" si="38"/>
        <v>834.35215361578446</v>
      </c>
      <c r="K114" s="5">
        <f>VLOOKUP($B114,'Data Vlaue (Cr)'!$C:$FB,99)</f>
        <v>2801</v>
      </c>
      <c r="L114" s="81">
        <f>VLOOKUP(B114,'OI(Value)'!$A$7:$C$209,3,0)</f>
        <v>435</v>
      </c>
      <c r="M114" s="33">
        <f t="shared" si="31"/>
        <v>15.530167797215281</v>
      </c>
      <c r="N114" s="5">
        <f>VLOOKUP($B114,'Data Vlaue (Cr)'!$C:$FB,67)</f>
        <v>6522</v>
      </c>
      <c r="O114" s="5">
        <f>VLOOKUP($B114,'Data Vlaue (Cr)'!$C:$FB,68)</f>
        <v>698</v>
      </c>
      <c r="P114" s="5">
        <f t="shared" si="39"/>
        <v>89.29776142287642</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Capital_Goods</v>
      </c>
      <c r="B115" s="79" t="str">
        <f>'Data shares'!C110</f>
        <v>KAYNES</v>
      </c>
      <c r="C115" s="79">
        <f>VLOOKUP($B115,'Data shares'!$C:$FB,7)</f>
        <v>3831.3</v>
      </c>
      <c r="D115" s="80">
        <f>VLOOKUP($B115,'Data shares'!$C:$FB,98)</f>
        <v>9042200</v>
      </c>
      <c r="E115" s="165">
        <f>VLOOKUP(B115,'Snapshot (Volume)'!$A$7:$G$168,7,0)</f>
        <v>8479400</v>
      </c>
      <c r="F115" s="165">
        <f t="shared" ref="F115:F126" si="40">D115-E115</f>
        <v>562800</v>
      </c>
      <c r="G115" s="166">
        <f t="shared" ref="G115:G126" si="41">F115/E115</f>
        <v>6.6372620704295116E-2</v>
      </c>
      <c r="H115" s="165">
        <f>VLOOKUP($B115,'Data shares'!$C:$FB,66)</f>
        <v>12944200</v>
      </c>
      <c r="I115" s="165">
        <f>VLOOKUP($B115,'Data shares'!$C:$FB,67)</f>
        <v>16983800</v>
      </c>
      <c r="J115" s="81">
        <f t="shared" ref="J115:J126" si="42">(H115-I115)/I115*100</f>
        <v>-23.785018664845321</v>
      </c>
      <c r="K115" s="81">
        <f>VLOOKUP($B115,'Data Vlaue (Cr)'!$C:$FB,99)</f>
        <v>3482</v>
      </c>
      <c r="L115" s="81">
        <f>VLOOKUP(B115,'OI(Value)'!$A$7:$C$209,3,0)</f>
        <v>217</v>
      </c>
      <c r="M115" s="81">
        <f t="shared" si="31"/>
        <v>6.2320505456634114</v>
      </c>
      <c r="N115" s="81">
        <f>VLOOKUP($B115,'Data Vlaue (Cr)'!$C:$FB,67)</f>
        <v>4985</v>
      </c>
      <c r="O115" s="81">
        <f>VLOOKUP($B115,'Data Vlaue (Cr)'!$C:$FB,68)</f>
        <v>6540</v>
      </c>
      <c r="P115" s="81">
        <f t="shared" ref="P115:P126" si="43">(N115-O115)/N115*100</f>
        <v>-31.193580742226679</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Power</v>
      </c>
      <c r="B116" s="79" t="str">
        <f>'Data shares'!C111</f>
        <v>KEI</v>
      </c>
      <c r="C116" s="4">
        <f>VLOOKUP($B116,'Data shares'!$C:$FB,7)</f>
        <v>4538.2</v>
      </c>
      <c r="D116" s="82">
        <f>VLOOKUP($B116,'Data shares'!$C:$FB,98)</f>
        <v>1727075</v>
      </c>
      <c r="E116" s="165">
        <f>VLOOKUP(B116,'Snapshot (Volume)'!$A$7:$G$168,7,0)</f>
        <v>1589000</v>
      </c>
      <c r="F116" s="165">
        <f t="shared" si="40"/>
        <v>138075</v>
      </c>
      <c r="G116" s="166">
        <f t="shared" si="41"/>
        <v>8.6894273127753302E-2</v>
      </c>
      <c r="H116" s="165">
        <f>VLOOKUP($B116,'Data shares'!$C:$FB,66)</f>
        <v>1205400</v>
      </c>
      <c r="I116" s="165">
        <f>VLOOKUP($B116,'Data shares'!$C:$FB,67)</f>
        <v>691250</v>
      </c>
      <c r="J116" s="81">
        <f t="shared" si="42"/>
        <v>74.379746835443044</v>
      </c>
      <c r="K116" s="5">
        <f>VLOOKUP($B116,'Data Vlaue (Cr)'!$C:$FB,99)</f>
        <v>787</v>
      </c>
      <c r="L116" s="81">
        <f>VLOOKUP(B116,'OI(Value)'!$A$7:$C$209,3,0)</f>
        <v>63</v>
      </c>
      <c r="M116" s="33">
        <f t="shared" si="31"/>
        <v>8.0050825921219833</v>
      </c>
      <c r="N116" s="5">
        <f>VLOOKUP($B116,'Data Vlaue (Cr)'!$C:$FB,67)</f>
        <v>550</v>
      </c>
      <c r="O116" s="5">
        <f>VLOOKUP($B116,'Data Vlaue (Cr)'!$C:$FB,68)</f>
        <v>315</v>
      </c>
      <c r="P116" s="5">
        <f t="shared" si="43"/>
        <v>42.727272727272727</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Finance</v>
      </c>
      <c r="B117" s="79" t="str">
        <f>'Data shares'!C112</f>
        <v>KFINTECH</v>
      </c>
      <c r="C117" s="4">
        <f>VLOOKUP($B117,'Data shares'!$C:$FB,7)</f>
        <v>1074.4000000000001</v>
      </c>
      <c r="D117" s="82">
        <f>VLOOKUP($B117,'Data shares'!$C:$FB,98)</f>
        <v>6601500</v>
      </c>
      <c r="E117" s="165">
        <f>VLOOKUP(B117,'Snapshot (Volume)'!$A$7:$G$168,7,0)</f>
        <v>6346500</v>
      </c>
      <c r="F117" s="165">
        <f t="shared" si="40"/>
        <v>255000</v>
      </c>
      <c r="G117" s="166">
        <f t="shared" si="41"/>
        <v>4.0179626565823683E-2</v>
      </c>
      <c r="H117" s="165">
        <f>VLOOKUP($B117,'Data shares'!$C:$FB,66)</f>
        <v>3149000</v>
      </c>
      <c r="I117" s="165">
        <f>VLOOKUP($B117,'Data shares'!$C:$FB,67)</f>
        <v>2840000</v>
      </c>
      <c r="J117" s="81">
        <f t="shared" si="42"/>
        <v>10.880281690140844</v>
      </c>
      <c r="K117" s="5">
        <f>VLOOKUP($B117,'Data Vlaue (Cr)'!$C:$FB,99)</f>
        <v>706</v>
      </c>
      <c r="L117" s="81">
        <f>VLOOKUP(B117,'OI(Value)'!$A$7:$C$209,3,0)</f>
        <v>27</v>
      </c>
      <c r="M117" s="33">
        <f t="shared" si="31"/>
        <v>3.8243626062322948</v>
      </c>
      <c r="N117" s="5">
        <f>VLOOKUP($B117,'Data Vlaue (Cr)'!$C:$FB,67)</f>
        <v>337</v>
      </c>
      <c r="O117" s="5">
        <f>VLOOKUP($B117,'Data Vlaue (Cr)'!$C:$FB,68)</f>
        <v>304</v>
      </c>
      <c r="P117" s="5">
        <f t="shared" si="43"/>
        <v>9.792284866468842</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Banking</v>
      </c>
      <c r="B118" s="79" t="str">
        <f>'Data shares'!C113</f>
        <v>KOTAKBANK</v>
      </c>
      <c r="C118" s="4">
        <f>VLOOKUP($B118,'Data shares'!$C:$FB,7)</f>
        <v>2144</v>
      </c>
      <c r="D118" s="82">
        <f>VLOOKUP($B118,'Data shares'!$C:$FB,98)</f>
        <v>52380800</v>
      </c>
      <c r="E118" s="165">
        <f>VLOOKUP(B118,'Snapshot (Volume)'!$A$7:$G$168,7,0)</f>
        <v>51292800</v>
      </c>
      <c r="F118" s="165">
        <f t="shared" si="40"/>
        <v>1088000</v>
      </c>
      <c r="G118" s="166">
        <f t="shared" si="41"/>
        <v>2.1211554058269386E-2</v>
      </c>
      <c r="H118" s="165">
        <f>VLOOKUP($B118,'Data shares'!$C:$FB,66)</f>
        <v>23081600</v>
      </c>
      <c r="I118" s="165">
        <f>VLOOKUP($B118,'Data shares'!$C:$FB,67)</f>
        <v>41256400</v>
      </c>
      <c r="J118" s="81">
        <f t="shared" si="42"/>
        <v>-44.053286278007775</v>
      </c>
      <c r="K118" s="5">
        <f>VLOOKUP($B118,'Data Vlaue (Cr)'!$C:$FB,99)</f>
        <v>11261</v>
      </c>
      <c r="L118" s="81">
        <f>VLOOKUP(B118,'OI(Value)'!$A$7:$C$209,3,0)</f>
        <v>234</v>
      </c>
      <c r="M118" s="33">
        <f t="shared" si="31"/>
        <v>2.0779682088624454</v>
      </c>
      <c r="N118" s="5">
        <f>VLOOKUP($B118,'Data Vlaue (Cr)'!$C:$FB,67)</f>
        <v>4962</v>
      </c>
      <c r="O118" s="5">
        <f>VLOOKUP($B118,'Data Vlaue (Cr)'!$C:$FB,68)</f>
        <v>8869</v>
      </c>
      <c r="P118" s="5">
        <f t="shared" si="43"/>
        <v>-78.738411930673109</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Technology</v>
      </c>
      <c r="B119" s="79" t="str">
        <f>'Data shares'!C114</f>
        <v>KPITTECH</v>
      </c>
      <c r="C119" s="4">
        <f>VLOOKUP($B119,'Data shares'!$C:$FB,7)</f>
        <v>1208.5</v>
      </c>
      <c r="D119" s="82">
        <f>VLOOKUP($B119,'Data shares'!$C:$FB,98)</f>
        <v>6625325</v>
      </c>
      <c r="E119" s="165">
        <f>VLOOKUP(B119,'Snapshot (Volume)'!$A$7:$G$168,7,0)</f>
        <v>6497400</v>
      </c>
      <c r="F119" s="165">
        <f t="shared" si="40"/>
        <v>127925</v>
      </c>
      <c r="G119" s="166">
        <f t="shared" si="41"/>
        <v>1.9688644688644688E-2</v>
      </c>
      <c r="H119" s="165">
        <f>VLOOKUP($B119,'Data shares'!$C:$FB,66)</f>
        <v>20992450</v>
      </c>
      <c r="I119" s="165">
        <f>VLOOKUP($B119,'Data shares'!$C:$FB,67)</f>
        <v>2980950</v>
      </c>
      <c r="J119" s="81">
        <f t="shared" si="42"/>
        <v>604.22013116623896</v>
      </c>
      <c r="K119" s="5">
        <f>VLOOKUP($B119,'Data Vlaue (Cr)'!$C:$FB,99)</f>
        <v>803</v>
      </c>
      <c r="L119" s="81">
        <f>VLOOKUP(B119,'OI(Value)'!$A$7:$C$209,3,0)</f>
        <v>16</v>
      </c>
      <c r="M119" s="33">
        <f t="shared" si="31"/>
        <v>1.9925280199252802</v>
      </c>
      <c r="N119" s="5">
        <f>VLOOKUP($B119,'Data Vlaue (Cr)'!$C:$FB,67)</f>
        <v>2546</v>
      </c>
      <c r="O119" s="5">
        <f>VLOOKUP($B119,'Data Vlaue (Cr)'!$C:$FB,68)</f>
        <v>361</v>
      </c>
      <c r="P119" s="5">
        <f t="shared" si="43"/>
        <v>85.820895522388057</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Pharma</v>
      </c>
      <c r="B120" s="79" t="str">
        <f>'Data shares'!C115</f>
        <v>LAURUSLABS</v>
      </c>
      <c r="C120" s="4">
        <f>VLOOKUP($B120,'Data shares'!$C:$FB,7)</f>
        <v>1128.5</v>
      </c>
      <c r="D120" s="82">
        <f>VLOOKUP($B120,'Data shares'!$C:$FB,98)</f>
        <v>27906350</v>
      </c>
      <c r="E120" s="165">
        <f>VLOOKUP(B120,'Snapshot (Volume)'!$A$7:$G$168,7,0)</f>
        <v>26197850</v>
      </c>
      <c r="F120" s="165">
        <f t="shared" si="40"/>
        <v>1708500</v>
      </c>
      <c r="G120" s="166">
        <f t="shared" si="41"/>
        <v>6.5215275299308914E-2</v>
      </c>
      <c r="H120" s="165">
        <f>VLOOKUP($B120,'Data shares'!$C:$FB,66)</f>
        <v>22523300</v>
      </c>
      <c r="I120" s="165">
        <f>VLOOKUP($B120,'Data shares'!$C:$FB,67)</f>
        <v>15832950</v>
      </c>
      <c r="J120" s="81">
        <f t="shared" si="42"/>
        <v>42.255865141998171</v>
      </c>
      <c r="K120" s="5">
        <f>VLOOKUP($B120,'Data Vlaue (Cr)'!$C:$FB,99)</f>
        <v>3166</v>
      </c>
      <c r="L120" s="81">
        <f>VLOOKUP(B120,'OI(Value)'!$A$7:$C$209,3,0)</f>
        <v>194</v>
      </c>
      <c r="M120" s="33">
        <f t="shared" si="31"/>
        <v>6.1276058117498424</v>
      </c>
      <c r="N120" s="5">
        <f>VLOOKUP($B120,'Data Vlaue (Cr)'!$C:$FB,67)</f>
        <v>2555</v>
      </c>
      <c r="O120" s="5">
        <f>VLOOKUP($B120,'Data Vlaue (Cr)'!$C:$FB,68)</f>
        <v>1796</v>
      </c>
      <c r="P120" s="5">
        <f t="shared" si="43"/>
        <v>29.706457925636009</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Finance</v>
      </c>
      <c r="B121" s="79" t="str">
        <f>'Data shares'!C116</f>
        <v>LICHSGFIN</v>
      </c>
      <c r="C121" s="4">
        <f>VLOOKUP($B121,'Data shares'!$C:$FB,7)</f>
        <v>538.20000000000005</v>
      </c>
      <c r="D121" s="82">
        <f>VLOOKUP($B121,'Data shares'!$C:$FB,98)</f>
        <v>48705000</v>
      </c>
      <c r="E121" s="165">
        <f>VLOOKUP(B121,'Snapshot (Volume)'!$A$7:$G$168,7,0)</f>
        <v>46873000</v>
      </c>
      <c r="F121" s="165">
        <f t="shared" si="40"/>
        <v>1832000</v>
      </c>
      <c r="G121" s="166">
        <f t="shared" si="41"/>
        <v>3.908433426492864E-2</v>
      </c>
      <c r="H121" s="165">
        <f>VLOOKUP($B121,'Data shares'!$C:$FB,66)</f>
        <v>9960000</v>
      </c>
      <c r="I121" s="165">
        <f>VLOOKUP($B121,'Data shares'!$C:$FB,67)</f>
        <v>6381000</v>
      </c>
      <c r="J121" s="81">
        <f t="shared" si="42"/>
        <v>56.088387400094028</v>
      </c>
      <c r="K121" s="5">
        <f>VLOOKUP($B121,'Data Vlaue (Cr)'!$C:$FB,99)</f>
        <v>2628</v>
      </c>
      <c r="L121" s="81">
        <f>VLOOKUP(B121,'OI(Value)'!$A$7:$C$209,3,0)</f>
        <v>99</v>
      </c>
      <c r="M121" s="33">
        <f t="shared" si="31"/>
        <v>3.7671232876712328</v>
      </c>
      <c r="N121" s="5">
        <f>VLOOKUP($B121,'Data Vlaue (Cr)'!$C:$FB,67)</f>
        <v>537</v>
      </c>
      <c r="O121" s="5">
        <f>VLOOKUP($B121,'Data Vlaue (Cr)'!$C:$FB,68)</f>
        <v>344</v>
      </c>
      <c r="P121" s="5">
        <f t="shared" si="43"/>
        <v>35.940409683426445</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Finance</v>
      </c>
      <c r="B122" s="79" t="str">
        <f>'Data shares'!C117</f>
        <v>LICI</v>
      </c>
      <c r="C122" s="4">
        <f>VLOOKUP($B122,'Data shares'!$C:$FB,7)</f>
        <v>851.95</v>
      </c>
      <c r="D122" s="82">
        <f>VLOOKUP($B122,'Data shares'!$C:$FB,98)</f>
        <v>20490400</v>
      </c>
      <c r="E122" s="165">
        <f>VLOOKUP(B122,'Snapshot (Volume)'!$A$7:$G$168,7,0)</f>
        <v>19784800</v>
      </c>
      <c r="F122" s="165">
        <f t="shared" si="40"/>
        <v>705600</v>
      </c>
      <c r="G122" s="166">
        <f t="shared" si="41"/>
        <v>3.5663741862439854E-2</v>
      </c>
      <c r="H122" s="165">
        <f>VLOOKUP($B122,'Data shares'!$C:$FB,66)</f>
        <v>4929400</v>
      </c>
      <c r="I122" s="165">
        <f>VLOOKUP($B122,'Data shares'!$C:$FB,67)</f>
        <v>5978700</v>
      </c>
      <c r="J122" s="81">
        <f t="shared" si="42"/>
        <v>-17.550638098583306</v>
      </c>
      <c r="K122" s="5">
        <f>VLOOKUP($B122,'Data Vlaue (Cr)'!$C:$FB,99)</f>
        <v>1749</v>
      </c>
      <c r="L122" s="81">
        <f>VLOOKUP(B122,'OI(Value)'!$A$7:$C$209,3,0)</f>
        <v>60</v>
      </c>
      <c r="M122" s="33">
        <f t="shared" si="31"/>
        <v>3.4305317324185252</v>
      </c>
      <c r="N122" s="5">
        <f>VLOOKUP($B122,'Data Vlaue (Cr)'!$C:$FB,67)</f>
        <v>421</v>
      </c>
      <c r="O122" s="5">
        <f>VLOOKUP($B122,'Data Vlaue (Cr)'!$C:$FB,68)</f>
        <v>510</v>
      </c>
      <c r="P122" s="5">
        <f t="shared" si="43"/>
        <v>-21.140142517814727</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Realty</v>
      </c>
      <c r="B123" s="79" t="str">
        <f>'Data shares'!C118</f>
        <v>LODHA</v>
      </c>
      <c r="C123" s="4">
        <f>VLOOKUP($B123,'Data shares'!$C:$FB,7)</f>
        <v>1110.9000000000001</v>
      </c>
      <c r="D123" s="82">
        <f>VLOOKUP($B123,'Data shares'!$C:$FB,98)</f>
        <v>17053650</v>
      </c>
      <c r="E123" s="165">
        <f>VLOOKUP(B123,'Snapshot (Volume)'!$A$7:$G$168,7,0)</f>
        <v>16609950</v>
      </c>
      <c r="F123" s="165">
        <f t="shared" si="40"/>
        <v>443700</v>
      </c>
      <c r="G123" s="166">
        <f t="shared" si="41"/>
        <v>2.6712904012354041E-2</v>
      </c>
      <c r="H123" s="165">
        <f>VLOOKUP($B123,'Data shares'!$C:$FB,66)</f>
        <v>10356300</v>
      </c>
      <c r="I123" s="165">
        <f>VLOOKUP($B123,'Data shares'!$C:$FB,67)</f>
        <v>4936500</v>
      </c>
      <c r="J123" s="81">
        <f t="shared" si="42"/>
        <v>109.79033728350045</v>
      </c>
      <c r="K123" s="5">
        <f>VLOOKUP($B123,'Data Vlaue (Cr)'!$C:$FB,99)</f>
        <v>1901</v>
      </c>
      <c r="L123" s="81">
        <f>VLOOKUP(B123,'OI(Value)'!$A$7:$C$209,3,0)</f>
        <v>49</v>
      </c>
      <c r="M123" s="33">
        <f t="shared" ref="M123:M144" si="44">L123/K123*100</f>
        <v>2.5775907417148867</v>
      </c>
      <c r="N123" s="5">
        <f>VLOOKUP($B123,'Data Vlaue (Cr)'!$C:$FB,67)</f>
        <v>1154</v>
      </c>
      <c r="O123" s="5">
        <f>VLOOKUP($B123,'Data Vlaue (Cr)'!$C:$FB,68)</f>
        <v>550</v>
      </c>
      <c r="P123" s="5">
        <f t="shared" si="43"/>
        <v>52.339688041594457</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Capital_Goods</v>
      </c>
      <c r="B124" s="79" t="str">
        <f>'Data shares'!C119</f>
        <v>LT</v>
      </c>
      <c r="C124" s="4">
        <f>VLOOKUP($B124,'Data shares'!$C:$FB,7)</f>
        <v>4157</v>
      </c>
      <c r="D124" s="82">
        <f>VLOOKUP($B124,'Data shares'!$C:$FB,98)</f>
        <v>19313350</v>
      </c>
      <c r="E124" s="165">
        <f>VLOOKUP(B124,'Snapshot (Volume)'!$A$7:$G$168,7,0)</f>
        <v>18902800</v>
      </c>
      <c r="F124" s="165">
        <f t="shared" si="40"/>
        <v>410550</v>
      </c>
      <c r="G124" s="166">
        <f t="shared" si="41"/>
        <v>2.1719004591912311E-2</v>
      </c>
      <c r="H124" s="165">
        <f>VLOOKUP($B124,'Data shares'!$C:$FB,66)</f>
        <v>8455475</v>
      </c>
      <c r="I124" s="165">
        <f>VLOOKUP($B124,'Data shares'!$C:$FB,67)</f>
        <v>6860350</v>
      </c>
      <c r="J124" s="81">
        <f t="shared" si="42"/>
        <v>23.251364726289474</v>
      </c>
      <c r="K124" s="5">
        <f>VLOOKUP($B124,'Data Vlaue (Cr)'!$C:$FB,99)</f>
        <v>8043</v>
      </c>
      <c r="L124" s="81">
        <f>VLOOKUP(B124,'OI(Value)'!$A$7:$C$209,3,0)</f>
        <v>171</v>
      </c>
      <c r="M124" s="33">
        <f t="shared" si="44"/>
        <v>2.1260723610593062</v>
      </c>
      <c r="N124" s="5">
        <f>VLOOKUP($B124,'Data Vlaue (Cr)'!$C:$FB,67)</f>
        <v>3521</v>
      </c>
      <c r="O124" s="5">
        <f>VLOOKUP($B124,'Data Vlaue (Cr)'!$C:$FB,68)</f>
        <v>2857</v>
      </c>
      <c r="P124" s="5">
        <f t="shared" si="43"/>
        <v>18.858278898040329</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Finance</v>
      </c>
      <c r="B125" s="79" t="str">
        <f>'Data shares'!C120</f>
        <v>LTF</v>
      </c>
      <c r="C125" s="4">
        <f>VLOOKUP($B125,'Data shares'!$C:$FB,7)</f>
        <v>313.95</v>
      </c>
      <c r="D125" s="82">
        <f>VLOOKUP($B125,'Data shares'!$C:$FB,98)</f>
        <v>79875000</v>
      </c>
      <c r="E125" s="165">
        <f>VLOOKUP(B125,'Snapshot (Volume)'!$A$7:$G$168,7,0)</f>
        <v>77760000</v>
      </c>
      <c r="F125" s="165">
        <f t="shared" si="40"/>
        <v>2115000</v>
      </c>
      <c r="G125" s="166">
        <f t="shared" si="41"/>
        <v>2.7199074074074073E-2</v>
      </c>
      <c r="H125" s="165">
        <f>VLOOKUP($B125,'Data shares'!$C:$FB,66)</f>
        <v>54940500</v>
      </c>
      <c r="I125" s="165">
        <f>VLOOKUP($B125,'Data shares'!$C:$FB,67)</f>
        <v>86253750</v>
      </c>
      <c r="J125" s="81">
        <f t="shared" si="42"/>
        <v>-36.3036389722186</v>
      </c>
      <c r="K125" s="5">
        <f>VLOOKUP($B125,'Data Vlaue (Cr)'!$C:$FB,99)</f>
        <v>2510</v>
      </c>
      <c r="L125" s="81">
        <f>VLOOKUP(B125,'OI(Value)'!$A$7:$C$209,3,0)</f>
        <v>66</v>
      </c>
      <c r="M125" s="33">
        <f t="shared" si="44"/>
        <v>2.6294820717131477</v>
      </c>
      <c r="N125" s="5">
        <f>VLOOKUP($B125,'Data Vlaue (Cr)'!$C:$FB,67)</f>
        <v>1726</v>
      </c>
      <c r="O125" s="5">
        <f>VLOOKUP($B125,'Data Vlaue (Cr)'!$C:$FB,68)</f>
        <v>2710</v>
      </c>
      <c r="P125" s="5">
        <f t="shared" si="43"/>
        <v>-57.01042873696408</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Technology</v>
      </c>
      <c r="B126" s="79" t="str">
        <f>'Data shares'!C121</f>
        <v>LTIM</v>
      </c>
      <c r="C126" s="4">
        <f>VLOOKUP($B126,'Data shares'!$C:$FB,7)</f>
        <v>6102</v>
      </c>
      <c r="D126" s="82">
        <f>VLOOKUP($B126,'Data shares'!$C:$FB,98)</f>
        <v>3870600</v>
      </c>
      <c r="E126" s="165">
        <f>VLOOKUP(B126,'Snapshot (Volume)'!$A$7:$G$168,7,0)</f>
        <v>3778050</v>
      </c>
      <c r="F126" s="165">
        <f t="shared" si="40"/>
        <v>92550</v>
      </c>
      <c r="G126" s="166">
        <f t="shared" si="41"/>
        <v>2.4496764203755905E-2</v>
      </c>
      <c r="H126" s="165">
        <f>VLOOKUP($B126,'Data shares'!$C:$FB,66)</f>
        <v>2846250</v>
      </c>
      <c r="I126" s="165">
        <f>VLOOKUP($B126,'Data shares'!$C:$FB,67)</f>
        <v>2673300</v>
      </c>
      <c r="J126" s="81">
        <f t="shared" si="42"/>
        <v>6.4695320390528552</v>
      </c>
      <c r="K126" s="5">
        <f>VLOOKUP($B126,'Data Vlaue (Cr)'!$C:$FB,99)</f>
        <v>2374</v>
      </c>
      <c r="L126" s="81">
        <f>VLOOKUP(B126,'OI(Value)'!$A$7:$C$209,3,0)</f>
        <v>57</v>
      </c>
      <c r="M126" s="33">
        <f t="shared" si="44"/>
        <v>2.4010109519797811</v>
      </c>
      <c r="N126" s="5">
        <f>VLOOKUP($B126,'Data Vlaue (Cr)'!$C:$FB,67)</f>
        <v>1746</v>
      </c>
      <c r="O126" s="5">
        <f>VLOOKUP($B126,'Data Vlaue (Cr)'!$C:$FB,68)</f>
        <v>1640</v>
      </c>
      <c r="P126" s="5">
        <f t="shared" si="43"/>
        <v>6.0710194730813285</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Pharma</v>
      </c>
      <c r="B127" s="79" t="str">
        <f>'Data shares'!C122</f>
        <v>LUPIN</v>
      </c>
      <c r="C127" s="4">
        <f>VLOOKUP($B127,'Data shares'!$C:$FB,7)</f>
        <v>2214.3000000000002</v>
      </c>
      <c r="D127" s="82">
        <f>VLOOKUP($B127,'Data shares'!$C:$FB,98)</f>
        <v>11566800</v>
      </c>
      <c r="E127" s="165">
        <f>VLOOKUP(B127,'Snapshot (Volume)'!$A$7:$G$168,7,0)</f>
        <v>10503875</v>
      </c>
      <c r="F127" s="165">
        <f>D127-E127</f>
        <v>1062925</v>
      </c>
      <c r="G127" s="166">
        <f>F127/E127</f>
        <v>0.10119360712118147</v>
      </c>
      <c r="H127" s="165">
        <f>VLOOKUP($B127,'Data shares'!$C:$FB,66)</f>
        <v>23969150</v>
      </c>
      <c r="I127" s="165">
        <f>VLOOKUP($B127,'Data shares'!$C:$FB,67)</f>
        <v>14295725</v>
      </c>
      <c r="J127" s="81">
        <f>(H127-I127)/I127*100</f>
        <v>67.666557659719956</v>
      </c>
      <c r="K127" s="5">
        <f>VLOOKUP($B127,'Data Vlaue (Cr)'!$C:$FB,99)</f>
        <v>2572</v>
      </c>
      <c r="L127" s="81">
        <f>VLOOKUP(B127,'OI(Value)'!$A$7:$C$209,3,0)</f>
        <v>236</v>
      </c>
      <c r="M127" s="33">
        <f t="shared" si="44"/>
        <v>9.1757387247278395</v>
      </c>
      <c r="N127" s="5">
        <f>VLOOKUP($B127,'Data Vlaue (Cr)'!$C:$FB,67)</f>
        <v>5330</v>
      </c>
      <c r="O127" s="5">
        <f>VLOOKUP($B127,'Data Vlaue (Cr)'!$C:$FB,68)</f>
        <v>3179</v>
      </c>
      <c r="P127" s="5">
        <f>(N127-O127)/N127*100</f>
        <v>40.356472795497183</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Automobile</v>
      </c>
      <c r="B128" s="79" t="str">
        <f>'Data shares'!C123</f>
        <v>M&amp;M</v>
      </c>
      <c r="C128" s="4">
        <f>VLOOKUP($B128,'Data shares'!$C:$FB,7)</f>
        <v>3748.8</v>
      </c>
      <c r="D128" s="82">
        <f>VLOOKUP($B128,'Data shares'!$C:$FB,98)</f>
        <v>23499800</v>
      </c>
      <c r="E128" s="165">
        <f>VLOOKUP(B128,'Snapshot (Volume)'!$A$7:$G$168,7,0)</f>
        <v>23188600</v>
      </c>
      <c r="F128" s="165">
        <f>D128-E128</f>
        <v>311200</v>
      </c>
      <c r="G128" s="166">
        <f>F128/E128</f>
        <v>1.3420387604253814E-2</v>
      </c>
      <c r="H128" s="165">
        <f>VLOOKUP($B128,'Data shares'!$C:$FB,66)</f>
        <v>9353200</v>
      </c>
      <c r="I128" s="165">
        <f>VLOOKUP($B128,'Data shares'!$C:$FB,67)</f>
        <v>7868400</v>
      </c>
      <c r="J128" s="81">
        <f>(H128-I128)/I128*100</f>
        <v>18.870418382390323</v>
      </c>
      <c r="K128" s="5">
        <f>VLOOKUP($B128,'Data Vlaue (Cr)'!$C:$FB,99)</f>
        <v>8832</v>
      </c>
      <c r="L128" s="81">
        <f>VLOOKUP(B128,'OI(Value)'!$A$7:$C$209,3,0)</f>
        <v>117</v>
      </c>
      <c r="M128" s="33">
        <f t="shared" si="44"/>
        <v>1.3247282608695652</v>
      </c>
      <c r="N128" s="5">
        <f>VLOOKUP($B128,'Data Vlaue (Cr)'!$C:$FB,67)</f>
        <v>3515</v>
      </c>
      <c r="O128" s="5">
        <f>VLOOKUP($B128,'Data Vlaue (Cr)'!$C:$FB,68)</f>
        <v>2957</v>
      </c>
      <c r="P128" s="5">
        <f>(N128-O128)/N128*100</f>
        <v>15.874822190611665</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Finance</v>
      </c>
      <c r="B129" s="79" t="str">
        <f>'Data shares'!C124</f>
        <v>MANAPPURAM</v>
      </c>
      <c r="C129" s="4">
        <f>VLOOKUP($B129,'Data shares'!$C:$FB,7)</f>
        <v>319.89999999999998</v>
      </c>
      <c r="D129" s="82">
        <f>VLOOKUP($B129,'Data shares'!$C:$FB,98)</f>
        <v>73380000</v>
      </c>
      <c r="E129" s="165">
        <f>VLOOKUP(B129,'Snapshot (Volume)'!$A$7:$G$168,7,0)</f>
        <v>67467000</v>
      </c>
      <c r="F129" s="165">
        <f>D129-E129</f>
        <v>5913000</v>
      </c>
      <c r="G129" s="166">
        <f>F129/E129</f>
        <v>8.7642847614389258E-2</v>
      </c>
      <c r="H129" s="165">
        <f>VLOOKUP($B129,'Data shares'!$C:$FB,66)</f>
        <v>102120000</v>
      </c>
      <c r="I129" s="165">
        <f>VLOOKUP($B129,'Data shares'!$C:$FB,67)</f>
        <v>22320000</v>
      </c>
      <c r="J129" s="81">
        <f>(H129-I129)/I129*100</f>
        <v>357.52688172043008</v>
      </c>
      <c r="K129" s="5">
        <f>VLOOKUP($B129,'Data Vlaue (Cr)'!$C:$FB,99)</f>
        <v>2352</v>
      </c>
      <c r="L129" s="81">
        <f>VLOOKUP(B129,'OI(Value)'!$A$7:$C$209,3,0)</f>
        <v>190</v>
      </c>
      <c r="M129" s="33">
        <f t="shared" si="44"/>
        <v>8.0782312925170068</v>
      </c>
      <c r="N129" s="5">
        <f>VLOOKUP($B129,'Data Vlaue (Cr)'!$C:$FB,67)</f>
        <v>3273</v>
      </c>
      <c r="O129" s="5">
        <f>VLOOKUP($B129,'Data Vlaue (Cr)'!$C:$FB,68)</f>
        <v>715</v>
      </c>
      <c r="P129" s="5">
        <f>(N129-O129)/N129*100</f>
        <v>78.154598227925447</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Pharma</v>
      </c>
      <c r="B130" s="79" t="str">
        <f>'Data shares'!C125</f>
        <v>MANKIND</v>
      </c>
      <c r="C130" s="4">
        <f>VLOOKUP($B130,'Data shares'!$C:$FB,7)</f>
        <v>2311.8000000000002</v>
      </c>
      <c r="D130" s="82">
        <f>VLOOKUP($B130,'Data shares'!$C:$FB,98)</f>
        <v>3236625</v>
      </c>
      <c r="E130" s="165">
        <f>VLOOKUP(B130,'Snapshot (Volume)'!$A$7:$G$168,7,0)</f>
        <v>2935800</v>
      </c>
      <c r="F130" s="165">
        <f>D130-E130</f>
        <v>300825</v>
      </c>
      <c r="G130" s="166">
        <f>F130/E130</f>
        <v>0.10246781115879829</v>
      </c>
      <c r="H130" s="165">
        <f>VLOOKUP($B130,'Data shares'!$C:$FB,66)</f>
        <v>6253875</v>
      </c>
      <c r="I130" s="165">
        <f>VLOOKUP($B130,'Data shares'!$C:$FB,67)</f>
        <v>1534275</v>
      </c>
      <c r="J130" s="81">
        <f>(H130-I130)/I130*100</f>
        <v>307.61108666959967</v>
      </c>
      <c r="K130" s="5">
        <f>VLOOKUP($B130,'Data Vlaue (Cr)'!$C:$FB,99)</f>
        <v>748</v>
      </c>
      <c r="L130" s="81">
        <f>VLOOKUP(B130,'OI(Value)'!$A$7:$C$209,3,0)</f>
        <v>70</v>
      </c>
      <c r="M130" s="33">
        <f t="shared" si="44"/>
        <v>9.3582887700534751</v>
      </c>
      <c r="N130" s="5">
        <f>VLOOKUP($B130,'Data Vlaue (Cr)'!$C:$FB,67)</f>
        <v>1446</v>
      </c>
      <c r="O130" s="5">
        <f>VLOOKUP($B130,'Data Vlaue (Cr)'!$C:$FB,68)</f>
        <v>355</v>
      </c>
      <c r="P130" s="5">
        <f>(N130-O130)/N130*100</f>
        <v>75.449515905947436</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FMCG</v>
      </c>
      <c r="B131" s="79" t="str">
        <f>'Data shares'!C126</f>
        <v>MARICO</v>
      </c>
      <c r="C131" s="4">
        <f>VLOOKUP($B131,'Data shares'!$C:$FB,7)</f>
        <v>773.8</v>
      </c>
      <c r="D131" s="82">
        <f>VLOOKUP($B131,'Data shares'!$C:$FB,98)</f>
        <v>41737200</v>
      </c>
      <c r="E131" s="165">
        <f>VLOOKUP(B131,'Snapshot (Volume)'!$A$7:$G$168,7,0)</f>
        <v>40582800</v>
      </c>
      <c r="F131" s="165">
        <f>D131-E131</f>
        <v>1154400</v>
      </c>
      <c r="G131" s="166">
        <f>F131/E131</f>
        <v>2.8445548360389129E-2</v>
      </c>
      <c r="H131" s="165">
        <f>VLOOKUP($B131,'Data shares'!$C:$FB,66)</f>
        <v>12118800</v>
      </c>
      <c r="I131" s="165">
        <f>VLOOKUP($B131,'Data shares'!$C:$FB,67)</f>
        <v>19537200</v>
      </c>
      <c r="J131" s="81">
        <f>(H131-I131)/I131*100</f>
        <v>-37.970640624040293</v>
      </c>
      <c r="K131" s="5">
        <f>VLOOKUP($B131,'Data Vlaue (Cr)'!$C:$FB,99)</f>
        <v>3235</v>
      </c>
      <c r="L131" s="81">
        <f>VLOOKUP(B131,'OI(Value)'!$A$7:$C$209,3,0)</f>
        <v>89</v>
      </c>
      <c r="M131" s="33">
        <f t="shared" si="44"/>
        <v>2.7511591962905717</v>
      </c>
      <c r="N131" s="5">
        <f>VLOOKUP($B131,'Data Vlaue (Cr)'!$C:$FB,67)</f>
        <v>939</v>
      </c>
      <c r="O131" s="5">
        <f>VLOOKUP($B131,'Data Vlaue (Cr)'!$C:$FB,68)</f>
        <v>1514</v>
      </c>
      <c r="P131" s="5">
        <f>(N131-O131)/N131*100</f>
        <v>-61.235356762513312</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Automobile</v>
      </c>
      <c r="B132" s="79" t="str">
        <f>'Data shares'!C127</f>
        <v>MARUTI</v>
      </c>
      <c r="C132" s="79">
        <f>VLOOKUP($B132,'Data shares'!$C:$FB,7)</f>
        <v>16809</v>
      </c>
      <c r="D132" s="165">
        <f>VLOOKUP($B132,'Data shares'!$C:$FB,98)</f>
        <v>5709800</v>
      </c>
      <c r="E132" s="165">
        <f>VLOOKUP(B132,'Snapshot (Volume)'!$A$7:$G$168,7,0)</f>
        <v>5423600</v>
      </c>
      <c r="F132" s="165">
        <f t="shared" ref="F132:F139" si="45">D132-E132</f>
        <v>286200</v>
      </c>
      <c r="G132" s="166">
        <f t="shared" ref="G132:G139" si="46">F132/E132</f>
        <v>5.276937827273398E-2</v>
      </c>
      <c r="H132" s="165">
        <f>VLOOKUP($B132,'Data shares'!$C:$FB,66)</f>
        <v>18679050</v>
      </c>
      <c r="I132" s="165">
        <f>VLOOKUP($B132,'Data shares'!$C:$FB,67)</f>
        <v>3715200</v>
      </c>
      <c r="J132" s="81">
        <f t="shared" ref="J132:J139" si="47">(H132-I132)/I132*100</f>
        <v>402.77374031007753</v>
      </c>
      <c r="K132" s="81">
        <f>VLOOKUP($B132,'Data Vlaue (Cr)'!$C:$FB,99)</f>
        <v>9635</v>
      </c>
      <c r="L132" s="81">
        <f>VLOOKUP(B132,'OI(Value)'!$A$7:$C$209,3,0)</f>
        <v>483</v>
      </c>
      <c r="M132" s="81">
        <f t="shared" si="44"/>
        <v>5.0129735339906594</v>
      </c>
      <c r="N132" s="81">
        <f>VLOOKUP($B132,'Data Vlaue (Cr)'!$C:$FB,67)</f>
        <v>31521</v>
      </c>
      <c r="O132" s="81">
        <f>VLOOKUP($B132,'Data Vlaue (Cr)'!$C:$FB,68)</f>
        <v>6269</v>
      </c>
      <c r="P132" s="81">
        <f t="shared" ref="P132:P139" si="48">(N132-O132)/N132*100</f>
        <v>80.111671584023341</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Pharma</v>
      </c>
      <c r="B133" s="79" t="str">
        <f>'Data shares'!C128</f>
        <v>MAXHEALTH</v>
      </c>
      <c r="C133" s="79">
        <f>VLOOKUP($B133,'Data shares'!$C:$FB,7)</f>
        <v>1034.7</v>
      </c>
      <c r="D133" s="165">
        <f>VLOOKUP($B133,'Data shares'!$C:$FB,98)</f>
        <v>27850725</v>
      </c>
      <c r="E133" s="165">
        <f>VLOOKUP(B133,'Snapshot (Volume)'!$A$7:$G$168,7,0)</f>
        <v>26493600</v>
      </c>
      <c r="F133" s="165">
        <f t="shared" si="45"/>
        <v>1357125</v>
      </c>
      <c r="G133" s="166">
        <f t="shared" si="46"/>
        <v>5.1224635383639826E-2</v>
      </c>
      <c r="H133" s="165">
        <f>VLOOKUP($B133,'Data shares'!$C:$FB,66)</f>
        <v>12709200</v>
      </c>
      <c r="I133" s="165">
        <f>VLOOKUP($B133,'Data shares'!$C:$FB,67)</f>
        <v>6915825</v>
      </c>
      <c r="J133" s="81">
        <f t="shared" si="47"/>
        <v>83.769832232596968</v>
      </c>
      <c r="K133" s="81">
        <f>VLOOKUP($B133,'Data Vlaue (Cr)'!$C:$FB,99)</f>
        <v>2891</v>
      </c>
      <c r="L133" s="81">
        <f>VLOOKUP(B133,'OI(Value)'!$A$7:$C$209,3,0)</f>
        <v>141</v>
      </c>
      <c r="M133" s="81">
        <f t="shared" si="44"/>
        <v>4.8772051193358701</v>
      </c>
      <c r="N133" s="81">
        <f>VLOOKUP($B133,'Data Vlaue (Cr)'!$C:$FB,67)</f>
        <v>1319</v>
      </c>
      <c r="O133" s="81">
        <f>VLOOKUP($B133,'Data Vlaue (Cr)'!$C:$FB,68)</f>
        <v>718</v>
      </c>
      <c r="P133" s="81">
        <f t="shared" si="48"/>
        <v>45.564821834723276</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Infrastructure</v>
      </c>
      <c r="B134" s="79" t="str">
        <f>'Data shares'!C129</f>
        <v>MAZDOCK</v>
      </c>
      <c r="C134" s="4">
        <f>VLOOKUP($B134,'Data shares'!$C:$FB,7)</f>
        <v>2511.4</v>
      </c>
      <c r="D134" s="82">
        <f>VLOOKUP($B134,'Data shares'!$C:$FB,98)</f>
        <v>11435800</v>
      </c>
      <c r="E134" s="165">
        <f>VLOOKUP(B134,'Snapshot (Volume)'!$A$7:$G$168,7,0)</f>
        <v>11505400</v>
      </c>
      <c r="F134" s="165">
        <f t="shared" si="45"/>
        <v>-69600</v>
      </c>
      <c r="G134" s="166">
        <f t="shared" si="46"/>
        <v>-6.049333356510856E-3</v>
      </c>
      <c r="H134" s="165">
        <f>VLOOKUP($B134,'Data shares'!$C:$FB,66)</f>
        <v>5470000</v>
      </c>
      <c r="I134" s="165">
        <f>VLOOKUP($B134,'Data shares'!$C:$FB,67)</f>
        <v>4009600</v>
      </c>
      <c r="J134" s="81">
        <f t="shared" si="47"/>
        <v>36.422585794094175</v>
      </c>
      <c r="K134" s="5">
        <f>VLOOKUP($B134,'Data Vlaue (Cr)'!$C:$FB,99)</f>
        <v>2885</v>
      </c>
      <c r="L134" s="81">
        <f>VLOOKUP(B134,'OI(Value)'!$A$7:$C$209,3,0)</f>
        <v>-18</v>
      </c>
      <c r="M134" s="33">
        <f t="shared" si="44"/>
        <v>-0.62391681109185437</v>
      </c>
      <c r="N134" s="5">
        <f>VLOOKUP($B134,'Data Vlaue (Cr)'!$C:$FB,67)</f>
        <v>1380</v>
      </c>
      <c r="O134" s="5">
        <f>VLOOKUP($B134,'Data Vlaue (Cr)'!$C:$FB,68)</f>
        <v>1012</v>
      </c>
      <c r="P134" s="5">
        <f t="shared" si="48"/>
        <v>26.666666666666668</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Finance</v>
      </c>
      <c r="B135" s="79" t="str">
        <f>'Data shares'!C130</f>
        <v>MCX</v>
      </c>
      <c r="C135" s="4">
        <f>VLOOKUP($B135,'Data shares'!$C:$FB,7)</f>
        <v>2305</v>
      </c>
      <c r="D135" s="82">
        <f>VLOOKUP($B135,'Data shares'!$C:$FB,98)</f>
        <v>30596875</v>
      </c>
      <c r="E135" s="165">
        <f>VLOOKUP(B135,'Snapshot (Volume)'!$A$7:$G$168,7,0)</f>
        <v>29654375</v>
      </c>
      <c r="F135" s="165">
        <f t="shared" si="45"/>
        <v>942500</v>
      </c>
      <c r="G135" s="166">
        <f t="shared" si="46"/>
        <v>3.1782831369738869E-2</v>
      </c>
      <c r="H135" s="165">
        <f>VLOOKUP($B135,'Data shares'!$C:$FB,66)</f>
        <v>46578125</v>
      </c>
      <c r="I135" s="165">
        <f>VLOOKUP($B135,'Data shares'!$C:$FB,67)</f>
        <v>33348750</v>
      </c>
      <c r="J135" s="81">
        <f t="shared" si="47"/>
        <v>39.669777727800891</v>
      </c>
      <c r="K135" s="5">
        <f>VLOOKUP($B135,'Data Vlaue (Cr)'!$C:$FB,99)</f>
        <v>7068</v>
      </c>
      <c r="L135" s="81">
        <f>VLOOKUP(B135,'OI(Value)'!$A$7:$C$209,3,0)</f>
        <v>218</v>
      </c>
      <c r="M135" s="33">
        <f t="shared" si="44"/>
        <v>3.0843237125070742</v>
      </c>
      <c r="N135" s="5">
        <f>VLOOKUP($B135,'Data Vlaue (Cr)'!$C:$FB,67)</f>
        <v>10760</v>
      </c>
      <c r="O135" s="5">
        <f>VLOOKUP($B135,'Data Vlaue (Cr)'!$C:$FB,68)</f>
        <v>7704</v>
      </c>
      <c r="P135" s="5">
        <f t="shared" si="48"/>
        <v>28.401486988847584</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MFSL</v>
      </c>
      <c r="C136" s="4">
        <f>VLOOKUP($B136,'Data shares'!$C:$FB,7)</f>
        <v>1727.1</v>
      </c>
      <c r="D136" s="82">
        <f>VLOOKUP($B136,'Data shares'!$C:$FB,98)</f>
        <v>11436400</v>
      </c>
      <c r="E136" s="165">
        <f>VLOOKUP(B136,'Snapshot (Volume)'!$A$7:$G$168,7,0)</f>
        <v>10871200</v>
      </c>
      <c r="F136" s="165">
        <f t="shared" si="45"/>
        <v>565200</v>
      </c>
      <c r="G136" s="166">
        <f t="shared" si="46"/>
        <v>5.1990580616675254E-2</v>
      </c>
      <c r="H136" s="165">
        <f>VLOOKUP($B136,'Data shares'!$C:$FB,66)</f>
        <v>4611200</v>
      </c>
      <c r="I136" s="165">
        <f>VLOOKUP($B136,'Data shares'!$C:$FB,67)</f>
        <v>8821200</v>
      </c>
      <c r="J136" s="81">
        <f t="shared" si="47"/>
        <v>-47.725932979639957</v>
      </c>
      <c r="K136" s="5">
        <f>VLOOKUP($B136,'Data Vlaue (Cr)'!$C:$FB,99)</f>
        <v>1984</v>
      </c>
      <c r="L136" s="81">
        <f>VLOOKUP(B136,'OI(Value)'!$A$7:$C$209,3,0)</f>
        <v>98</v>
      </c>
      <c r="M136" s="33">
        <f t="shared" si="44"/>
        <v>4.939516129032258</v>
      </c>
      <c r="N136" s="5">
        <f>VLOOKUP($B136,'Data Vlaue (Cr)'!$C:$FB,67)</f>
        <v>800</v>
      </c>
      <c r="O136" s="5">
        <f>VLOOKUP($B136,'Data Vlaue (Cr)'!$C:$FB,68)</f>
        <v>1531</v>
      </c>
      <c r="P136" s="5">
        <f t="shared" si="48"/>
        <v>-91.375</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Index</v>
      </c>
      <c r="B137" s="79" t="str">
        <f>'Data shares'!C132</f>
        <v>MIDCPNIFTY</v>
      </c>
      <c r="C137" s="4">
        <f>VLOOKUP($B137,'Data shares'!$C:$FB,7)</f>
        <v>14053.4</v>
      </c>
      <c r="D137" s="82">
        <f>VLOOKUP($B137,'Data shares'!$C:$FB,98)</f>
        <v>17095080</v>
      </c>
      <c r="E137" s="165">
        <f>VLOOKUP(B137,'Snapshot (Volume)'!$A$7:$G$168,7,0)</f>
        <v>14859840</v>
      </c>
      <c r="F137" s="165">
        <f t="shared" si="45"/>
        <v>2235240</v>
      </c>
      <c r="G137" s="166">
        <f t="shared" si="46"/>
        <v>0.15042153885909942</v>
      </c>
      <c r="H137" s="165">
        <f>VLOOKUP($B137,'Data shares'!$C:$FB,66)</f>
        <v>38088600</v>
      </c>
      <c r="I137" s="165">
        <f>VLOOKUP($B137,'Data shares'!$C:$FB,67)</f>
        <v>23557200</v>
      </c>
      <c r="J137" s="81">
        <f t="shared" si="47"/>
        <v>61.685599307218176</v>
      </c>
      <c r="K137" s="5">
        <f>VLOOKUP($B137,'Data Vlaue (Cr)'!$C:$FB,99)</f>
        <v>24127</v>
      </c>
      <c r="L137" s="81">
        <f>VLOOKUP(B137,'OI(Value)'!$A$7:$C$209,3,0)</f>
        <v>3155</v>
      </c>
      <c r="M137" s="33">
        <f t="shared" si="44"/>
        <v>13.076636133792016</v>
      </c>
      <c r="N137" s="5">
        <f>VLOOKUP($B137,'Data Vlaue (Cr)'!$C:$FB,67)</f>
        <v>53756</v>
      </c>
      <c r="O137" s="5">
        <f>VLOOKUP($B137,'Data Vlaue (Cr)'!$C:$FB,68)</f>
        <v>33247</v>
      </c>
      <c r="P137" s="5">
        <f t="shared" si="48"/>
        <v>38.152020239601157</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Automobile</v>
      </c>
      <c r="B138" s="79" t="str">
        <f>'Data shares'!C133</f>
        <v>MOTHERSON</v>
      </c>
      <c r="C138" s="4">
        <f>VLOOKUP($B138,'Data shares'!$C:$FB,7)</f>
        <v>119.35</v>
      </c>
      <c r="D138" s="82">
        <f>VLOOKUP($B138,'Data shares'!$C:$FB,98)</f>
        <v>262525050</v>
      </c>
      <c r="E138" s="165">
        <f>VLOOKUP(B138,'Snapshot (Volume)'!$A$7:$G$168,7,0)</f>
        <v>252051600</v>
      </c>
      <c r="F138" s="165">
        <f t="shared" si="45"/>
        <v>10473450</v>
      </c>
      <c r="G138" s="166">
        <f t="shared" si="46"/>
        <v>4.1552801093109507E-2</v>
      </c>
      <c r="H138" s="165">
        <f>VLOOKUP($B138,'Data shares'!$C:$FB,66)</f>
        <v>57496350</v>
      </c>
      <c r="I138" s="165">
        <f>VLOOKUP($B138,'Data shares'!$C:$FB,67)</f>
        <v>65878800</v>
      </c>
      <c r="J138" s="81">
        <f t="shared" si="47"/>
        <v>-12.72404779686333</v>
      </c>
      <c r="K138" s="5">
        <f>VLOOKUP($B138,'Data Vlaue (Cr)'!$C:$FB,99)</f>
        <v>3146</v>
      </c>
      <c r="L138" s="81">
        <f>VLOOKUP(B138,'OI(Value)'!$A$7:$C$209,3,0)</f>
        <v>125</v>
      </c>
      <c r="M138" s="33">
        <f t="shared" si="44"/>
        <v>3.9732994278448825</v>
      </c>
      <c r="N138" s="5">
        <f>VLOOKUP($B138,'Data Vlaue (Cr)'!$C:$FB,67)</f>
        <v>689</v>
      </c>
      <c r="O138" s="5">
        <f>VLOOKUP($B138,'Data Vlaue (Cr)'!$C:$FB,68)</f>
        <v>789</v>
      </c>
      <c r="P138" s="5">
        <f t="shared" si="48"/>
        <v>-14.513788098693759</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Technology</v>
      </c>
      <c r="B139" s="79" t="str">
        <f>'Data shares'!C134</f>
        <v>MPHASIS</v>
      </c>
      <c r="C139" s="4">
        <f>VLOOKUP($B139,'Data shares'!$C:$FB,7)</f>
        <v>2874.8</v>
      </c>
      <c r="D139" s="82">
        <f>VLOOKUP($B139,'Data shares'!$C:$FB,98)</f>
        <v>6735300</v>
      </c>
      <c r="E139" s="165">
        <f>VLOOKUP(B139,'Snapshot (Volume)'!$A$7:$G$168,7,0)</f>
        <v>6821925</v>
      </c>
      <c r="F139" s="165">
        <f t="shared" si="45"/>
        <v>-86625</v>
      </c>
      <c r="G139" s="166">
        <f t="shared" si="46"/>
        <v>-1.2698028782198573E-2</v>
      </c>
      <c r="H139" s="165">
        <f>VLOOKUP($B139,'Data shares'!$C:$FB,66)</f>
        <v>4839450</v>
      </c>
      <c r="I139" s="165">
        <f>VLOOKUP($B139,'Data shares'!$C:$FB,67)</f>
        <v>1796025</v>
      </c>
      <c r="J139" s="81">
        <f t="shared" si="47"/>
        <v>169.45337620578778</v>
      </c>
      <c r="K139" s="5">
        <f>VLOOKUP($B139,'Data Vlaue (Cr)'!$C:$FB,99)</f>
        <v>1944</v>
      </c>
      <c r="L139" s="81">
        <f>VLOOKUP(B139,'OI(Value)'!$A$7:$C$209,3,0)</f>
        <v>-25</v>
      </c>
      <c r="M139" s="33">
        <f t="shared" si="44"/>
        <v>-1.286008230452675</v>
      </c>
      <c r="N139" s="5">
        <f>VLOOKUP($B139,'Data Vlaue (Cr)'!$C:$FB,67)</f>
        <v>1397</v>
      </c>
      <c r="O139" s="5">
        <f>VLOOKUP($B139,'Data Vlaue (Cr)'!$C:$FB,68)</f>
        <v>518</v>
      </c>
      <c r="P139" s="5">
        <f t="shared" si="48"/>
        <v>62.920544022906235</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Finance</v>
      </c>
      <c r="B140" s="79" t="str">
        <f>'Data shares'!C135</f>
        <v>MUTHOOTFIN</v>
      </c>
      <c r="C140" s="79">
        <f>VLOOKUP($B140,'Data shares'!$C:$FB,7)</f>
        <v>3960.1</v>
      </c>
      <c r="D140" s="165">
        <f>VLOOKUP($B140,'Data shares'!$C:$FB,98)</f>
        <v>7275125</v>
      </c>
      <c r="E140" s="165">
        <f>VLOOKUP(B140,'Snapshot (Volume)'!$A$7:$G$168,7,0)</f>
        <v>7103525</v>
      </c>
      <c r="F140" s="165">
        <f>D140-E140</f>
        <v>171600</v>
      </c>
      <c r="G140" s="166">
        <f>F140/E140</f>
        <v>2.4157020634121791E-2</v>
      </c>
      <c r="H140" s="165">
        <f>VLOOKUP($B140,'Data shares'!$C:$FB,66)</f>
        <v>7395300</v>
      </c>
      <c r="I140" s="165">
        <f>VLOOKUP($B140,'Data shares'!$C:$FB,67)</f>
        <v>11436425</v>
      </c>
      <c r="J140" s="81">
        <f>(H140-I140)/I140*100</f>
        <v>-35.335561593767281</v>
      </c>
      <c r="K140" s="81">
        <f>VLOOKUP($B140,'Data Vlaue (Cr)'!$C:$FB,99)</f>
        <v>2890</v>
      </c>
      <c r="L140" s="81">
        <f>VLOOKUP(B140,'OI(Value)'!$A$7:$C$209,3,0)</f>
        <v>68</v>
      </c>
      <c r="M140" s="81">
        <f t="shared" si="44"/>
        <v>2.3529411764705883</v>
      </c>
      <c r="N140" s="81">
        <f>VLOOKUP($B140,'Data Vlaue (Cr)'!$C:$FB,67)</f>
        <v>2938</v>
      </c>
      <c r="O140" s="81">
        <f>VLOOKUP($B140,'Data Vlaue (Cr)'!$C:$FB,68)</f>
        <v>4544</v>
      </c>
      <c r="P140" s="81">
        <f>(N140-O140)/N140*100</f>
        <v>-54.663036078965291</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Metals</v>
      </c>
      <c r="B141" s="79" t="str">
        <f>'Data shares'!C136</f>
        <v>NATIONALUM</v>
      </c>
      <c r="C141" s="4">
        <f>VLOOKUP($B141,'Data shares'!$C:$FB,7)</f>
        <v>352.6</v>
      </c>
      <c r="D141" s="82">
        <f>VLOOKUP($B141,'Data shares'!$C:$FB,98)</f>
        <v>141828750</v>
      </c>
      <c r="E141" s="165">
        <f>VLOOKUP(B141,'Snapshot (Volume)'!$A$7:$G$168,7,0)</f>
        <v>145781250</v>
      </c>
      <c r="F141" s="165">
        <f>D141-E141</f>
        <v>-3952500</v>
      </c>
      <c r="G141" s="166">
        <f>F141/E141</f>
        <v>-2.7112540192926044E-2</v>
      </c>
      <c r="H141" s="165">
        <f>VLOOKUP($B141,'Data shares'!$C:$FB,66)</f>
        <v>269722500</v>
      </c>
      <c r="I141" s="165">
        <f>VLOOKUP($B141,'Data shares'!$C:$FB,67)</f>
        <v>432168750</v>
      </c>
      <c r="J141" s="81">
        <f>(H141-I141)/I141*100</f>
        <v>-37.588615558158708</v>
      </c>
      <c r="K141" s="5">
        <f>VLOOKUP($B141,'Data Vlaue (Cr)'!$C:$FB,99)</f>
        <v>4990</v>
      </c>
      <c r="L141" s="81">
        <f>VLOOKUP(B141,'OI(Value)'!$A$7:$C$209,3,0)</f>
        <v>-139</v>
      </c>
      <c r="M141" s="33">
        <f t="shared" si="44"/>
        <v>-2.785571142284569</v>
      </c>
      <c r="N141" s="5">
        <f>VLOOKUP($B141,'Data Vlaue (Cr)'!$C:$FB,67)</f>
        <v>9489</v>
      </c>
      <c r="O141" s="5">
        <f>VLOOKUP($B141,'Data Vlaue (Cr)'!$C:$FB,68)</f>
        <v>15204</v>
      </c>
      <c r="P141" s="5">
        <f>(N141-O141)/N141*100</f>
        <v>-60.227631994941511</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New_Age</v>
      </c>
      <c r="B142" s="79" t="str">
        <f>'Data shares'!C137</f>
        <v>NAUKRI</v>
      </c>
      <c r="C142" s="4">
        <f>VLOOKUP($B142,'Data shares'!$C:$FB,7)</f>
        <v>1359.4</v>
      </c>
      <c r="D142" s="82">
        <f>VLOOKUP($B142,'Data shares'!$C:$FB,98)</f>
        <v>13452375</v>
      </c>
      <c r="E142" s="165">
        <f>VLOOKUP(B142,'Snapshot (Volume)'!$A$7:$G$168,7,0)</f>
        <v>11763750</v>
      </c>
      <c r="F142" s="165">
        <f>D142-E142</f>
        <v>1688625</v>
      </c>
      <c r="G142" s="166">
        <f>F142/E142</f>
        <v>0.14354478801402615</v>
      </c>
      <c r="H142" s="165">
        <f>VLOOKUP($B142,'Data shares'!$C:$FB,66)</f>
        <v>17936250</v>
      </c>
      <c r="I142" s="165">
        <f>VLOOKUP($B142,'Data shares'!$C:$FB,67)</f>
        <v>2764500</v>
      </c>
      <c r="J142" s="81">
        <f>(H142-I142)/I142*100</f>
        <v>548.80629408572986</v>
      </c>
      <c r="K142" s="5">
        <f>VLOOKUP($B142,'Data Vlaue (Cr)'!$C:$FB,99)</f>
        <v>1830</v>
      </c>
      <c r="L142" s="81">
        <f>VLOOKUP(B142,'OI(Value)'!$A$7:$C$209,3,0)</f>
        <v>230</v>
      </c>
      <c r="M142" s="33">
        <f t="shared" si="44"/>
        <v>12.568306010928962</v>
      </c>
      <c r="N142" s="5">
        <f>VLOOKUP($B142,'Data Vlaue (Cr)'!$C:$FB,67)</f>
        <v>2440</v>
      </c>
      <c r="O142" s="5">
        <f>VLOOKUP($B142,'Data Vlaue (Cr)'!$C:$FB,68)</f>
        <v>376</v>
      </c>
      <c r="P142" s="5">
        <f>(N142-O142)/N142*100</f>
        <v>84.590163934426229</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Realty</v>
      </c>
      <c r="B143" s="79" t="str">
        <f>'Data shares'!C138</f>
        <v>NBCC</v>
      </c>
      <c r="C143" s="4">
        <f>VLOOKUP($B143,'Data shares'!$C:$FB,7)</f>
        <v>116.05</v>
      </c>
      <c r="D143" s="82">
        <f>VLOOKUP($B143,'Data shares'!$C:$FB,98)</f>
        <v>165113000</v>
      </c>
      <c r="E143" s="165">
        <f>VLOOKUP(B143,'Snapshot (Volume)'!$A$7:$G$168,7,0)</f>
        <v>158489500</v>
      </c>
      <c r="F143" s="165">
        <f>D143-E143</f>
        <v>6623500</v>
      </c>
      <c r="G143" s="166">
        <f>F143/E143</f>
        <v>4.1791412049378668E-2</v>
      </c>
      <c r="H143" s="165">
        <f>VLOOKUP($B143,'Data shares'!$C:$FB,66)</f>
        <v>94594500</v>
      </c>
      <c r="I143" s="165">
        <f>VLOOKUP($B143,'Data shares'!$C:$FB,67)</f>
        <v>48743500</v>
      </c>
      <c r="J143" s="81">
        <f>(H143-I143)/I143*100</f>
        <v>94.065875450060005</v>
      </c>
      <c r="K143" s="5">
        <f>VLOOKUP($B143,'Data Vlaue (Cr)'!$C:$FB,99)</f>
        <v>1921</v>
      </c>
      <c r="L143" s="81">
        <f>VLOOKUP(B143,'OI(Value)'!$A$7:$C$209,3,0)</f>
        <v>77</v>
      </c>
      <c r="M143" s="33">
        <f t="shared" si="44"/>
        <v>4.0083289953149404</v>
      </c>
      <c r="N143" s="5">
        <f>VLOOKUP($B143,'Data Vlaue (Cr)'!$C:$FB,67)</f>
        <v>1100</v>
      </c>
      <c r="O143" s="5">
        <f>VLOOKUP($B143,'Data Vlaue (Cr)'!$C:$FB,68)</f>
        <v>567</v>
      </c>
      <c r="P143" s="5">
        <f>(N143-O143)/N143*100</f>
        <v>48.454545454545453</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FMCG</v>
      </c>
      <c r="B144" s="79" t="str">
        <f>'Data shares'!C139</f>
        <v>NESTLEIND</v>
      </c>
      <c r="C144" s="4">
        <f>VLOOKUP($B144,'Data shares'!$C:$FB,7)</f>
        <v>1314.8</v>
      </c>
      <c r="D144" s="82">
        <f>VLOOKUP($B144,'Data shares'!$C:$FB,98)</f>
        <v>23736000</v>
      </c>
      <c r="E144" s="165">
        <f>VLOOKUP(B144,'Snapshot (Volume)'!$A$7:$G$168,7,0)</f>
        <v>23412500</v>
      </c>
      <c r="F144" s="165">
        <f>D144-E144</f>
        <v>323500</v>
      </c>
      <c r="G144" s="166">
        <f>F144/E144</f>
        <v>1.3817405232247731E-2</v>
      </c>
      <c r="H144" s="165">
        <f>VLOOKUP($B144,'Data shares'!$C:$FB,66)</f>
        <v>7166500</v>
      </c>
      <c r="I144" s="165">
        <f>VLOOKUP($B144,'Data shares'!$C:$FB,67)</f>
        <v>9131000</v>
      </c>
      <c r="J144" s="81">
        <f>(H144-I144)/I144*100</f>
        <v>-21.514620523491406</v>
      </c>
      <c r="K144" s="5">
        <f>VLOOKUP($B144,'Data Vlaue (Cr)'!$C:$FB,99)</f>
        <v>3133</v>
      </c>
      <c r="L144" s="81">
        <f>VLOOKUP(B144,'OI(Value)'!$A$7:$C$209,3,0)</f>
        <v>43</v>
      </c>
      <c r="M144" s="33">
        <f t="shared" si="44"/>
        <v>1.3724864347270986</v>
      </c>
      <c r="N144" s="5">
        <f>VLOOKUP($B144,'Data Vlaue (Cr)'!$C:$FB,67)</f>
        <v>946</v>
      </c>
      <c r="O144" s="5">
        <f>VLOOKUP($B144,'Data Vlaue (Cr)'!$C:$FB,68)</f>
        <v>1205</v>
      </c>
      <c r="P144" s="5">
        <f>(N144-O144)/N144*100</f>
        <v>-27.378435517970402</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Power</v>
      </c>
      <c r="B145" s="79" t="str">
        <f>'Data shares'!C140</f>
        <v>NHPC</v>
      </c>
      <c r="C145" s="4">
        <f>VLOOKUP($B145,'Data shares'!$C:$FB,7)</f>
        <v>83.66</v>
      </c>
      <c r="D145" s="82">
        <f>VLOOKUP($B145,'Data shares'!$C:$FB,98)</f>
        <v>118457600</v>
      </c>
      <c r="E145" s="165">
        <f>VLOOKUP(B145,'Snapshot (Volume)'!$A$7:$G$168,7,0)</f>
        <v>120768000</v>
      </c>
      <c r="F145" s="165">
        <f t="shared" ref="F145:F152" si="49">D145-E145</f>
        <v>-2310400</v>
      </c>
      <c r="G145" s="166">
        <f t="shared" ref="G145:G153" si="50">F145/E145</f>
        <v>-1.9130895601483837E-2</v>
      </c>
      <c r="H145" s="165">
        <f>VLOOKUP($B145,'Data shares'!$C:$FB,66)</f>
        <v>49075200</v>
      </c>
      <c r="I145" s="165">
        <f>VLOOKUP($B145,'Data shares'!$C:$FB,67)</f>
        <v>37760000</v>
      </c>
      <c r="J145" s="81">
        <f t="shared" ref="J145:J153" si="51">(H145-I145)/I145*100</f>
        <v>29.966101694915253</v>
      </c>
      <c r="K145" s="5">
        <f>VLOOKUP($B145,'Data Vlaue (Cr)'!$C:$FB,99)</f>
        <v>992</v>
      </c>
      <c r="L145" s="81">
        <f>VLOOKUP(B145,'OI(Value)'!$A$7:$C$209,3,0)</f>
        <v>-19</v>
      </c>
      <c r="M145" s="33">
        <f t="shared" ref="M145:M153" si="52">L145/K145*100</f>
        <v>-1.9153225806451613</v>
      </c>
      <c r="N145" s="5">
        <f>VLOOKUP($B145,'Data Vlaue (Cr)'!$C:$FB,67)</f>
        <v>411</v>
      </c>
      <c r="O145" s="5">
        <f>VLOOKUP($B145,'Data Vlaue (Cr)'!$C:$FB,68)</f>
        <v>316</v>
      </c>
      <c r="P145" s="5">
        <f t="shared" ref="P145:P152" si="53">(N145-O145)/N145*100</f>
        <v>23.114355231143552</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Index</v>
      </c>
      <c r="B146" s="79" t="str">
        <f>'Data shares'!C141</f>
        <v>NIFTY</v>
      </c>
      <c r="C146" s="4">
        <f>VLOOKUP($B146,'Data shares'!$C:$FB,7)</f>
        <v>26140.75</v>
      </c>
      <c r="D146" s="82">
        <f>VLOOKUP($B146,'Data shares'!$C:$FB,98)</f>
        <v>416738020</v>
      </c>
      <c r="E146" s="165">
        <f>VLOOKUP(B146,'Snapshot (Volume)'!$A$7:$G$168,7,0)</f>
        <v>635015005</v>
      </c>
      <c r="F146" s="165">
        <f t="shared" si="49"/>
        <v>-218276985</v>
      </c>
      <c r="G146" s="166">
        <f t="shared" si="50"/>
        <v>-0.34373516102977758</v>
      </c>
      <c r="H146" s="165">
        <f>VLOOKUP($B146,'Data shares'!$C:$FB,66)</f>
        <v>4372173455</v>
      </c>
      <c r="I146" s="165">
        <f>VLOOKUP($B146,'Data shares'!$C:$FB,67)</f>
        <v>21851945700</v>
      </c>
      <c r="J146" s="81">
        <f t="shared" si="51"/>
        <v>-79.991834525746597</v>
      </c>
      <c r="K146" s="5">
        <f>VLOOKUP($B146,'Data Vlaue (Cr)'!$C:$FB,99)</f>
        <v>1093325</v>
      </c>
      <c r="L146" s="81">
        <f>VLOOKUP(B146,'OI(Value)'!$A$7:$C$209,3,0)</f>
        <v>-572656</v>
      </c>
      <c r="M146" s="33">
        <f t="shared" si="52"/>
        <v>-52.377472389271261</v>
      </c>
      <c r="N146" s="5">
        <f>VLOOKUP($B146,'Data Vlaue (Cr)'!$C:$FB,67)</f>
        <v>11470528</v>
      </c>
      <c r="O146" s="5">
        <f>VLOOKUP($B146,'Data Vlaue (Cr)'!$C:$FB,68)</f>
        <v>57329235</v>
      </c>
      <c r="P146" s="5">
        <f t="shared" si="53"/>
        <v>-399.79595533876034</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Index</v>
      </c>
      <c r="B147" s="79" t="str">
        <f>'Data shares'!C142</f>
        <v>NIFTYNXT50</v>
      </c>
      <c r="C147" s="4">
        <f>VLOOKUP($B147,'Data shares'!$C:$FB,7)</f>
        <v>70690.600000000006</v>
      </c>
      <c r="D147" s="82">
        <f>VLOOKUP($B147,'Data shares'!$C:$FB,98)</f>
        <v>30425</v>
      </c>
      <c r="E147" s="165">
        <f>VLOOKUP(B147,'Snapshot (Volume)'!$A$7:$G$168,7,0)</f>
        <v>28600</v>
      </c>
      <c r="F147" s="165">
        <f t="shared" si="49"/>
        <v>1825</v>
      </c>
      <c r="G147" s="166">
        <f t="shared" si="50"/>
        <v>6.3811188811188815E-2</v>
      </c>
      <c r="H147" s="165">
        <f>VLOOKUP($B147,'Data shares'!$C:$FB,66)</f>
        <v>15825</v>
      </c>
      <c r="I147" s="165">
        <f>VLOOKUP($B147,'Data shares'!$C:$FB,67)</f>
        <v>17025</v>
      </c>
      <c r="J147" s="81">
        <f t="shared" si="51"/>
        <v>-7.0484581497797363</v>
      </c>
      <c r="K147" s="5">
        <f>VLOOKUP($B147,'Data Vlaue (Cr)'!$C:$FB,99)</f>
        <v>216</v>
      </c>
      <c r="L147" s="81">
        <f>VLOOKUP(B147,'OI(Value)'!$A$7:$C$209,3,0)</f>
        <v>13</v>
      </c>
      <c r="M147" s="33">
        <f t="shared" si="52"/>
        <v>6.0185185185185182</v>
      </c>
      <c r="N147" s="5">
        <f>VLOOKUP($B147,'Data Vlaue (Cr)'!$C:$FB,67)</f>
        <v>112</v>
      </c>
      <c r="O147" s="5">
        <f>VLOOKUP($B147,'Data Vlaue (Cr)'!$C:$FB,68)</f>
        <v>121</v>
      </c>
      <c r="P147" s="5">
        <f t="shared" si="53"/>
        <v>-8.0357142857142865</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Metals</v>
      </c>
      <c r="B148" s="79" t="str">
        <f>'Data shares'!C143</f>
        <v>NMDC</v>
      </c>
      <c r="C148" s="4">
        <f>VLOOKUP($B148,'Data shares'!$C:$FB,7)</f>
        <v>86.16</v>
      </c>
      <c r="D148" s="82">
        <f>VLOOKUP($B148,'Data shares'!$C:$FB,98)</f>
        <v>527296500</v>
      </c>
      <c r="E148" s="165">
        <f>VLOOKUP(B148,'Snapshot (Volume)'!$A$7:$G$168,7,0)</f>
        <v>523671750</v>
      </c>
      <c r="F148" s="165">
        <f t="shared" si="49"/>
        <v>3624750</v>
      </c>
      <c r="G148" s="166">
        <f t="shared" si="50"/>
        <v>6.9217978628787974E-3</v>
      </c>
      <c r="H148" s="165">
        <f>VLOOKUP($B148,'Data shares'!$C:$FB,66)</f>
        <v>405013500</v>
      </c>
      <c r="I148" s="165">
        <f>VLOOKUP($B148,'Data shares'!$C:$FB,67)</f>
        <v>136599750</v>
      </c>
      <c r="J148" s="81">
        <f t="shared" si="51"/>
        <v>196.49651628205763</v>
      </c>
      <c r="K148" s="5">
        <f>VLOOKUP($B148,'Data Vlaue (Cr)'!$C:$FB,99)</f>
        <v>4562</v>
      </c>
      <c r="L148" s="81">
        <f>VLOOKUP(B148,'OI(Value)'!$A$7:$C$209,3,0)</f>
        <v>31</v>
      </c>
      <c r="M148" s="33">
        <f t="shared" si="52"/>
        <v>0.67952652345462516</v>
      </c>
      <c r="N148" s="5">
        <f>VLOOKUP($B148,'Data Vlaue (Cr)'!$C:$FB,67)</f>
        <v>3504</v>
      </c>
      <c r="O148" s="5">
        <f>VLOOKUP($B148,'Data Vlaue (Cr)'!$C:$FB,68)</f>
        <v>1182</v>
      </c>
      <c r="P148" s="5">
        <f t="shared" si="53"/>
        <v>66.267123287671239</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Power</v>
      </c>
      <c r="B149" s="79" t="str">
        <f>'Data shares'!C144</f>
        <v>NTPC</v>
      </c>
      <c r="C149" s="4">
        <f>VLOOKUP($B149,'Data shares'!$C:$FB,7)</f>
        <v>348.85</v>
      </c>
      <c r="D149" s="82">
        <f>VLOOKUP($B149,'Data shares'!$C:$FB,98)</f>
        <v>151666500</v>
      </c>
      <c r="E149" s="165">
        <f>VLOOKUP(B149,'Snapshot (Volume)'!$A$7:$G$168,7,0)</f>
        <v>151173000</v>
      </c>
      <c r="F149" s="165">
        <f t="shared" si="49"/>
        <v>493500</v>
      </c>
      <c r="G149" s="166">
        <f t="shared" si="50"/>
        <v>3.2644718302871543E-3</v>
      </c>
      <c r="H149" s="165">
        <f>VLOOKUP($B149,'Data shares'!$C:$FB,66)</f>
        <v>44070000</v>
      </c>
      <c r="I149" s="165">
        <f>VLOOKUP($B149,'Data shares'!$C:$FB,67)</f>
        <v>67024500</v>
      </c>
      <c r="J149" s="81">
        <f t="shared" si="51"/>
        <v>-34.247924266499567</v>
      </c>
      <c r="K149" s="5">
        <f>VLOOKUP($B149,'Data Vlaue (Cr)'!$C:$FB,99)</f>
        <v>5303</v>
      </c>
      <c r="L149" s="81">
        <f>VLOOKUP(B149,'OI(Value)'!$A$7:$C$209,3,0)</f>
        <v>17</v>
      </c>
      <c r="M149" s="33">
        <f t="shared" si="52"/>
        <v>0.32057326041863099</v>
      </c>
      <c r="N149" s="5">
        <f>VLOOKUP($B149,'Data Vlaue (Cr)'!$C:$FB,67)</f>
        <v>1541</v>
      </c>
      <c r="O149" s="5">
        <f>VLOOKUP($B149,'Data Vlaue (Cr)'!$C:$FB,68)</f>
        <v>2344</v>
      </c>
      <c r="P149" s="5">
        <f t="shared" si="53"/>
        <v>-52.109020116807272</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Finance</v>
      </c>
      <c r="B150" s="79" t="str">
        <f>'Data shares'!C145</f>
        <v>NUVAMA</v>
      </c>
      <c r="C150" s="4">
        <f>VLOOKUP($B150,'Data shares'!$C:$FB,7)</f>
        <v>1478.9</v>
      </c>
      <c r="D150" s="82">
        <f>VLOOKUP($B150,'Data shares'!$C:$FB,98)</f>
        <v>4312500</v>
      </c>
      <c r="E150" s="165">
        <f>VLOOKUP(B150,'Snapshot (Volume)'!$A$7:$G$168,7,0)</f>
        <v>4339500</v>
      </c>
      <c r="F150" s="165">
        <f t="shared" si="49"/>
        <v>-27000</v>
      </c>
      <c r="G150" s="166">
        <f t="shared" si="50"/>
        <v>-6.2219149671621154E-3</v>
      </c>
      <c r="H150" s="165">
        <f>VLOOKUP($B150,'Data shares'!$C:$FB,66)</f>
        <v>1038000</v>
      </c>
      <c r="I150" s="165">
        <f>VLOOKUP($B150,'Data shares'!$C:$FB,67)</f>
        <v>1105500</v>
      </c>
      <c r="J150" s="81">
        <f t="shared" si="51"/>
        <v>-6.1058344640434195</v>
      </c>
      <c r="K150" s="5">
        <f>VLOOKUP($B150,'Data Vlaue (Cr)'!$C:$FB,99)</f>
        <v>641</v>
      </c>
      <c r="L150" s="81">
        <f>VLOOKUP(B150,'OI(Value)'!$A$7:$C$209,3,0)</f>
        <v>-4</v>
      </c>
      <c r="M150" s="33">
        <f t="shared" si="52"/>
        <v>-0.62402496099843996</v>
      </c>
      <c r="N150" s="5">
        <f>VLOOKUP($B150,'Data Vlaue (Cr)'!$C:$FB,67)</f>
        <v>154</v>
      </c>
      <c r="O150" s="5">
        <f>VLOOKUP($B150,'Data Vlaue (Cr)'!$C:$FB,68)</f>
        <v>164</v>
      </c>
      <c r="P150" s="5">
        <f t="shared" si="53"/>
        <v>-6.4935064935064926</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New_Age</v>
      </c>
      <c r="B151" s="79" t="str">
        <f>'Data shares'!C146</f>
        <v>NYKAA</v>
      </c>
      <c r="C151" s="4">
        <f>VLOOKUP($B151,'Data shares'!$C:$FB,7)</f>
        <v>266.35000000000002</v>
      </c>
      <c r="D151" s="82">
        <f>VLOOKUP($B151,'Data shares'!$C:$FB,98)</f>
        <v>63993750</v>
      </c>
      <c r="E151" s="165">
        <f>VLOOKUP(B151,'Snapshot (Volume)'!$A$7:$G$168,7,0)</f>
        <v>62515625</v>
      </c>
      <c r="F151" s="165">
        <f t="shared" si="49"/>
        <v>1478125</v>
      </c>
      <c r="G151" s="166">
        <f t="shared" si="50"/>
        <v>2.3644088977755561E-2</v>
      </c>
      <c r="H151" s="165">
        <f>VLOOKUP($B151,'Data shares'!$C:$FB,66)</f>
        <v>24359375</v>
      </c>
      <c r="I151" s="165">
        <f>VLOOKUP($B151,'Data shares'!$C:$FB,67)</f>
        <v>14309375</v>
      </c>
      <c r="J151" s="81">
        <f t="shared" si="51"/>
        <v>70.233675474994541</v>
      </c>
      <c r="K151" s="5">
        <f>VLOOKUP($B151,'Data Vlaue (Cr)'!$C:$FB,99)</f>
        <v>1712</v>
      </c>
      <c r="L151" s="81">
        <f>VLOOKUP(B151,'OI(Value)'!$A$7:$C$209,3,0)</f>
        <v>40</v>
      </c>
      <c r="M151" s="33">
        <f t="shared" si="52"/>
        <v>2.3364485981308412</v>
      </c>
      <c r="N151" s="5">
        <f>VLOOKUP($B151,'Data Vlaue (Cr)'!$C:$FB,67)</f>
        <v>652</v>
      </c>
      <c r="O151" s="5">
        <f>VLOOKUP($B151,'Data Vlaue (Cr)'!$C:$FB,68)</f>
        <v>383</v>
      </c>
      <c r="P151" s="5">
        <f t="shared" si="53"/>
        <v>41.257668711656443</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Realty</v>
      </c>
      <c r="B152" s="79" t="str">
        <f>'Data shares'!C147</f>
        <v>OBEROIRLTY</v>
      </c>
      <c r="C152" s="4">
        <f>VLOOKUP($B152,'Data shares'!$C:$FB,7)</f>
        <v>1708.7</v>
      </c>
      <c r="D152" s="82">
        <f>VLOOKUP($B152,'Data shares'!$C:$FB,98)</f>
        <v>5974850</v>
      </c>
      <c r="E152" s="165">
        <f>VLOOKUP(B152,'Snapshot (Volume)'!$A$7:$G$168,7,0)</f>
        <v>5923400</v>
      </c>
      <c r="F152" s="165">
        <f t="shared" si="49"/>
        <v>51450</v>
      </c>
      <c r="G152" s="166">
        <f t="shared" si="50"/>
        <v>8.6858898605530616E-3</v>
      </c>
      <c r="H152" s="165">
        <f>VLOOKUP($B152,'Data shares'!$C:$FB,66)</f>
        <v>1677900</v>
      </c>
      <c r="I152" s="165">
        <f>VLOOKUP($B152,'Data shares'!$C:$FB,67)</f>
        <v>1524950</v>
      </c>
      <c r="J152" s="81">
        <f t="shared" si="51"/>
        <v>10.029837043837503</v>
      </c>
      <c r="K152" s="5">
        <f>VLOOKUP($B152,'Data Vlaue (Cr)'!$C:$FB,99)</f>
        <v>1024</v>
      </c>
      <c r="L152" s="81">
        <f>VLOOKUP(B152,'OI(Value)'!$A$7:$C$209,3,0)</f>
        <v>9</v>
      </c>
      <c r="M152" s="33">
        <f t="shared" si="52"/>
        <v>0.87890625</v>
      </c>
      <c r="N152" s="5">
        <f>VLOOKUP($B152,'Data Vlaue (Cr)'!$C:$FB,67)</f>
        <v>288</v>
      </c>
      <c r="O152" s="5">
        <f>VLOOKUP($B152,'Data Vlaue (Cr)'!$C:$FB,68)</f>
        <v>261</v>
      </c>
      <c r="P152" s="5">
        <f t="shared" si="53"/>
        <v>9.375</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Technology</v>
      </c>
      <c r="B153" s="79" t="str">
        <f>'Data shares'!C148</f>
        <v>OFSS</v>
      </c>
      <c r="C153" s="4">
        <f>VLOOKUP($B153,'Data shares'!$C:$FB,7)</f>
        <v>7832.5</v>
      </c>
      <c r="D153" s="82">
        <f>VLOOKUP($B153,'Data shares'!$C:$FB,98)</f>
        <v>2218650</v>
      </c>
      <c r="E153" s="165">
        <f>VLOOKUP(B153,'Snapshot (Volume)'!$A$7:$G$168,7,0)</f>
        <v>2093850</v>
      </c>
      <c r="F153" s="165">
        <f>D153-E153</f>
        <v>124800</v>
      </c>
      <c r="G153" s="166">
        <f t="shared" si="50"/>
        <v>5.9603123432910667E-2</v>
      </c>
      <c r="H153" s="165">
        <f>VLOOKUP($B153,'Data shares'!$C:$FB,66)</f>
        <v>2667375</v>
      </c>
      <c r="I153" s="165">
        <f>VLOOKUP($B153,'Data shares'!$C:$FB,67)</f>
        <v>882600</v>
      </c>
      <c r="J153" s="81">
        <f t="shared" si="51"/>
        <v>202.21787899388173</v>
      </c>
      <c r="K153" s="5">
        <f>VLOOKUP($B153,'Data Vlaue (Cr)'!$C:$FB,99)</f>
        <v>1746</v>
      </c>
      <c r="L153" s="81">
        <f>VLOOKUP(B153,'OI(Value)'!$A$7:$C$209,3,0)</f>
        <v>98</v>
      </c>
      <c r="M153" s="33">
        <f t="shared" si="52"/>
        <v>5.6128293241695308</v>
      </c>
      <c r="N153" s="5">
        <f>VLOOKUP($B153,'Data Vlaue (Cr)'!$C:$FB,67)</f>
        <v>2099</v>
      </c>
      <c r="O153" s="5">
        <f>VLOOKUP($B153,'Data Vlaue (Cr)'!$C:$FB,68)</f>
        <v>695</v>
      </c>
      <c r="P153" s="5">
        <f>(N153-O153)/N153*100</f>
        <v>66.888994759409243</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Oil_Gas</v>
      </c>
      <c r="B154" s="79" t="str">
        <f>'Data shares'!C149</f>
        <v>OIL</v>
      </c>
      <c r="C154" s="4">
        <f>VLOOKUP($B154,'Data shares'!$C:$FB,7)</f>
        <v>418.4</v>
      </c>
      <c r="D154" s="82">
        <f>VLOOKUP($B154,'Data shares'!$C:$FB,98)</f>
        <v>21687400</v>
      </c>
      <c r="E154" s="165">
        <f>VLOOKUP(B154,'Snapshot (Volume)'!$A$7:$G$168,7,0)</f>
        <v>20529600</v>
      </c>
      <c r="F154" s="165">
        <f t="shared" ref="F154:F166" si="54">D154-E154</f>
        <v>1157800</v>
      </c>
      <c r="G154" s="166">
        <f t="shared" ref="G154:G166" si="55">F154/E154</f>
        <v>5.6396617566830336E-2</v>
      </c>
      <c r="H154" s="165">
        <f>VLOOKUP($B154,'Data shares'!$C:$FB,66)</f>
        <v>18898600</v>
      </c>
      <c r="I154" s="165">
        <f>VLOOKUP($B154,'Data shares'!$C:$FB,67)</f>
        <v>10925600</v>
      </c>
      <c r="J154" s="81">
        <f t="shared" ref="J154:J166" si="56">(H154-I154)/I154*100</f>
        <v>72.975397232188627</v>
      </c>
      <c r="K154" s="5">
        <f>VLOOKUP($B154,'Data Vlaue (Cr)'!$C:$FB,99)</f>
        <v>908</v>
      </c>
      <c r="L154" s="81">
        <f>VLOOKUP(B154,'OI(Value)'!$A$7:$C$209,3,0)</f>
        <v>48</v>
      </c>
      <c r="M154" s="33">
        <f t="shared" ref="M154:M166" si="57">L154/K154*100</f>
        <v>5.286343612334802</v>
      </c>
      <c r="N154" s="5">
        <f>VLOOKUP($B154,'Data Vlaue (Cr)'!$C:$FB,67)</f>
        <v>791</v>
      </c>
      <c r="O154" s="5">
        <f>VLOOKUP($B154,'Data Vlaue (Cr)'!$C:$FB,68)</f>
        <v>457</v>
      </c>
      <c r="P154" s="5">
        <f t="shared" ref="P154:P161" si="58">(N154-O154)/N154*100</f>
        <v>42.225031605562577</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Oil_Gas</v>
      </c>
      <c r="B155" s="79" t="str">
        <f>'Data shares'!C150</f>
        <v>ONGC</v>
      </c>
      <c r="C155" s="4">
        <f>VLOOKUP($B155,'Data shares'!$C:$FB,7)</f>
        <v>239.06</v>
      </c>
      <c r="D155" s="82">
        <f>VLOOKUP($B155,'Data shares'!$C:$FB,98)</f>
        <v>211682250</v>
      </c>
      <c r="E155" s="165">
        <f>VLOOKUP(B155,'Snapshot (Volume)'!$A$7:$G$168,7,0)</f>
        <v>219476250</v>
      </c>
      <c r="F155" s="165">
        <f t="shared" si="54"/>
        <v>-7794000</v>
      </c>
      <c r="G155" s="166">
        <f t="shared" si="55"/>
        <v>-3.5511815059716026E-2</v>
      </c>
      <c r="H155" s="165">
        <f>VLOOKUP($B155,'Data shares'!$C:$FB,66)</f>
        <v>92191500</v>
      </c>
      <c r="I155" s="165">
        <f>VLOOKUP($B155,'Data shares'!$C:$FB,67)</f>
        <v>143640000</v>
      </c>
      <c r="J155" s="81">
        <f t="shared" si="56"/>
        <v>-35.817669172932334</v>
      </c>
      <c r="K155" s="5">
        <f>VLOOKUP($B155,'Data Vlaue (Cr)'!$C:$FB,99)</f>
        <v>5071</v>
      </c>
      <c r="L155" s="81">
        <f>VLOOKUP(B155,'OI(Value)'!$A$7:$C$209,3,0)</f>
        <v>-187</v>
      </c>
      <c r="M155" s="33">
        <f t="shared" si="57"/>
        <v>-3.68763557483731</v>
      </c>
      <c r="N155" s="5">
        <f>VLOOKUP($B155,'Data Vlaue (Cr)'!$C:$FB,67)</f>
        <v>2209</v>
      </c>
      <c r="O155" s="5">
        <f>VLOOKUP($B155,'Data Vlaue (Cr)'!$C:$FB,68)</f>
        <v>3441</v>
      </c>
      <c r="P155" s="5">
        <f t="shared" si="58"/>
        <v>-55.771842462652785</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Textile</v>
      </c>
      <c r="B156" s="79" t="str">
        <f>'Data shares'!C151</f>
        <v>PAGEIND</v>
      </c>
      <c r="C156" s="4">
        <f>VLOOKUP($B156,'Data shares'!$C:$FB,7)</f>
        <v>35380</v>
      </c>
      <c r="D156" s="82">
        <f>VLOOKUP($B156,'Data shares'!$C:$FB,98)</f>
        <v>362760</v>
      </c>
      <c r="E156" s="165">
        <f>VLOOKUP(B156,'Snapshot (Volume)'!$A$7:$G$168,7,0)</f>
        <v>361830</v>
      </c>
      <c r="F156" s="165">
        <f t="shared" si="54"/>
        <v>930</v>
      </c>
      <c r="G156" s="166">
        <f t="shared" si="55"/>
        <v>2.5702678053229418E-3</v>
      </c>
      <c r="H156" s="165">
        <f>VLOOKUP($B156,'Data shares'!$C:$FB,66)</f>
        <v>148545</v>
      </c>
      <c r="I156" s="165">
        <f>VLOOKUP($B156,'Data shares'!$C:$FB,67)</f>
        <v>190050</v>
      </c>
      <c r="J156" s="81">
        <f t="shared" si="56"/>
        <v>-21.838989739542225</v>
      </c>
      <c r="K156" s="5">
        <f>VLOOKUP($B156,'Data Vlaue (Cr)'!$C:$FB,99)</f>
        <v>1290</v>
      </c>
      <c r="L156" s="81">
        <f>VLOOKUP(B156,'OI(Value)'!$A$7:$C$209,3,0)</f>
        <v>3</v>
      </c>
      <c r="M156" s="33">
        <f t="shared" si="57"/>
        <v>0.23255813953488372</v>
      </c>
      <c r="N156" s="5">
        <f>VLOOKUP($B156,'Data Vlaue (Cr)'!$C:$FB,67)</f>
        <v>528</v>
      </c>
      <c r="O156" s="5">
        <f>VLOOKUP($B156,'Data Vlaue (Cr)'!$C:$FB,68)</f>
        <v>676</v>
      </c>
      <c r="P156" s="5">
        <f t="shared" si="58"/>
        <v>-28.030303030303028</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FMCG</v>
      </c>
      <c r="B157" s="79" t="str">
        <f>'Data shares'!C152</f>
        <v>PATANJALI</v>
      </c>
      <c r="C157" s="4">
        <f>VLOOKUP($B157,'Data shares'!$C:$FB,7)</f>
        <v>576.45000000000005</v>
      </c>
      <c r="D157" s="82">
        <f>VLOOKUP($B157,'Data shares'!$C:$FB,98)</f>
        <v>48599100</v>
      </c>
      <c r="E157" s="165">
        <f>VLOOKUP(B157,'Snapshot (Volume)'!$A$7:$G$168,7,0)</f>
        <v>48099600</v>
      </c>
      <c r="F157" s="165">
        <f t="shared" si="54"/>
        <v>499500</v>
      </c>
      <c r="G157" s="166">
        <f t="shared" si="55"/>
        <v>1.0384701743881446E-2</v>
      </c>
      <c r="H157" s="165">
        <f>VLOOKUP($B157,'Data shares'!$C:$FB,66)</f>
        <v>12416400</v>
      </c>
      <c r="I157" s="165">
        <f>VLOOKUP($B157,'Data shares'!$C:$FB,67)</f>
        <v>15680700</v>
      </c>
      <c r="J157" s="81">
        <f t="shared" si="56"/>
        <v>-20.817310451701772</v>
      </c>
      <c r="K157" s="5">
        <f>VLOOKUP($B157,'Data Vlaue (Cr)'!$C:$FB,99)</f>
        <v>2813</v>
      </c>
      <c r="L157" s="81">
        <f>VLOOKUP(B157,'OI(Value)'!$A$7:$C$209,3,0)</f>
        <v>29</v>
      </c>
      <c r="M157" s="33">
        <f t="shared" si="57"/>
        <v>1.0309278350515463</v>
      </c>
      <c r="N157" s="5">
        <f>VLOOKUP($B157,'Data Vlaue (Cr)'!$C:$FB,67)</f>
        <v>719</v>
      </c>
      <c r="O157" s="5">
        <f>VLOOKUP($B157,'Data Vlaue (Cr)'!$C:$FB,68)</f>
        <v>908</v>
      </c>
      <c r="P157" s="5">
        <f t="shared" si="58"/>
        <v>-26.286509040333794</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New_Age</v>
      </c>
      <c r="B158" s="79" t="str">
        <f>'Data shares'!C153</f>
        <v>PAYTM</v>
      </c>
      <c r="C158" s="4">
        <f>VLOOKUP($B158,'Data shares'!$C:$FB,7)</f>
        <v>1318.8</v>
      </c>
      <c r="D158" s="82">
        <f>VLOOKUP($B158,'Data shares'!$C:$FB,98)</f>
        <v>24726850</v>
      </c>
      <c r="E158" s="165">
        <f>VLOOKUP(B158,'Snapshot (Volume)'!$A$7:$G$168,7,0)</f>
        <v>24004750</v>
      </c>
      <c r="F158" s="165">
        <f t="shared" si="54"/>
        <v>722100</v>
      </c>
      <c r="G158" s="166">
        <f t="shared" si="55"/>
        <v>3.0081546360616128E-2</v>
      </c>
      <c r="H158" s="165">
        <f>VLOOKUP($B158,'Data shares'!$C:$FB,66)</f>
        <v>8939975</v>
      </c>
      <c r="I158" s="165">
        <f>VLOOKUP($B158,'Data shares'!$C:$FB,67)</f>
        <v>7951075</v>
      </c>
      <c r="J158" s="81">
        <f t="shared" si="56"/>
        <v>12.437311935807422</v>
      </c>
      <c r="K158" s="5">
        <f>VLOOKUP($B158,'Data Vlaue (Cr)'!$C:$FB,99)</f>
        <v>3277</v>
      </c>
      <c r="L158" s="81">
        <f>VLOOKUP(B158,'OI(Value)'!$A$7:$C$209,3,0)</f>
        <v>96</v>
      </c>
      <c r="M158" s="33">
        <f t="shared" si="57"/>
        <v>2.9295086969789441</v>
      </c>
      <c r="N158" s="5">
        <f>VLOOKUP($B158,'Data Vlaue (Cr)'!$C:$FB,67)</f>
        <v>1185</v>
      </c>
      <c r="O158" s="5">
        <f>VLOOKUP($B158,'Data Vlaue (Cr)'!$C:$FB,68)</f>
        <v>1054</v>
      </c>
      <c r="P158" s="5">
        <f t="shared" si="58"/>
        <v>11.054852320675106</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Technology</v>
      </c>
      <c r="B159" s="79" t="str">
        <f>'Data shares'!C154</f>
        <v>PERSISTENT</v>
      </c>
      <c r="C159" s="4">
        <f>VLOOKUP($B159,'Data shares'!$C:$FB,7)</f>
        <v>6513.5</v>
      </c>
      <c r="D159" s="82">
        <f>VLOOKUP($B159,'Data shares'!$C:$FB,98)</f>
        <v>3453200</v>
      </c>
      <c r="E159" s="165">
        <f>VLOOKUP(B159,'Snapshot (Volume)'!$A$7:$G$168,7,0)</f>
        <v>3238900</v>
      </c>
      <c r="F159" s="165">
        <f t="shared" si="54"/>
        <v>214300</v>
      </c>
      <c r="G159" s="166">
        <f t="shared" si="55"/>
        <v>6.6164438543950113E-2</v>
      </c>
      <c r="H159" s="165">
        <f>VLOOKUP($B159,'Data shares'!$C:$FB,66)</f>
        <v>6821000</v>
      </c>
      <c r="I159" s="165">
        <f>VLOOKUP($B159,'Data shares'!$C:$FB,67)</f>
        <v>1436300</v>
      </c>
      <c r="J159" s="81">
        <f t="shared" si="56"/>
        <v>374.90078674371648</v>
      </c>
      <c r="K159" s="5">
        <f>VLOOKUP($B159,'Data Vlaue (Cr)'!$C:$FB,99)</f>
        <v>2258</v>
      </c>
      <c r="L159" s="81">
        <f>VLOOKUP(B159,'OI(Value)'!$A$7:$C$209,3,0)</f>
        <v>140</v>
      </c>
      <c r="M159" s="33">
        <f t="shared" si="57"/>
        <v>6.2001771479185122</v>
      </c>
      <c r="N159" s="5">
        <f>VLOOKUP($B159,'Data Vlaue (Cr)'!$C:$FB,67)</f>
        <v>4460</v>
      </c>
      <c r="O159" s="5">
        <f>VLOOKUP($B159,'Data Vlaue (Cr)'!$C:$FB,68)</f>
        <v>939</v>
      </c>
      <c r="P159" s="5">
        <f t="shared" si="58"/>
        <v>78.946188340807183</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Oil_Gas</v>
      </c>
      <c r="B160" s="79" t="str">
        <f>'Data shares'!C155</f>
        <v>PETRONET</v>
      </c>
      <c r="C160" s="4">
        <f>VLOOKUP($B160,'Data shares'!$C:$FB,7)</f>
        <v>294.35000000000002</v>
      </c>
      <c r="D160" s="82">
        <f>VLOOKUP($B160,'Data shares'!$C:$FB,98)</f>
        <v>76904400</v>
      </c>
      <c r="E160" s="165">
        <f>VLOOKUP(B160,'Snapshot (Volume)'!$A$7:$G$168,7,0)</f>
        <v>79062800</v>
      </c>
      <c r="F160" s="165">
        <f t="shared" si="54"/>
        <v>-2158400</v>
      </c>
      <c r="G160" s="166">
        <f t="shared" si="55"/>
        <v>-2.7299817360376816E-2</v>
      </c>
      <c r="H160" s="165">
        <f>VLOOKUP($B160,'Data shares'!$C:$FB,66)</f>
        <v>31410800</v>
      </c>
      <c r="I160" s="165">
        <f>VLOOKUP($B160,'Data shares'!$C:$FB,67)</f>
        <v>48294200</v>
      </c>
      <c r="J160" s="81">
        <f t="shared" si="56"/>
        <v>-34.959477535604691</v>
      </c>
      <c r="K160" s="5">
        <f>VLOOKUP($B160,'Data Vlaue (Cr)'!$C:$FB,99)</f>
        <v>2267</v>
      </c>
      <c r="L160" s="81">
        <f>VLOOKUP(B160,'OI(Value)'!$A$7:$C$209,3,0)</f>
        <v>-64</v>
      </c>
      <c r="M160" s="33">
        <f t="shared" si="57"/>
        <v>-2.8231142479047198</v>
      </c>
      <c r="N160" s="5">
        <f>VLOOKUP($B160,'Data Vlaue (Cr)'!$C:$FB,67)</f>
        <v>926</v>
      </c>
      <c r="O160" s="5">
        <f>VLOOKUP($B160,'Data Vlaue (Cr)'!$C:$FB,68)</f>
        <v>1423</v>
      </c>
      <c r="P160" s="5">
        <f t="shared" si="58"/>
        <v>-53.671706263498919</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Finance</v>
      </c>
      <c r="B161" s="79" t="str">
        <f>'Data shares'!C156</f>
        <v>PFC</v>
      </c>
      <c r="C161" s="4">
        <f>VLOOKUP($B161,'Data shares'!$C:$FB,7)</f>
        <v>376.95</v>
      </c>
      <c r="D161" s="82">
        <f>VLOOKUP($B161,'Data shares'!$C:$FB,98)</f>
        <v>146642600</v>
      </c>
      <c r="E161" s="165">
        <f>VLOOKUP(B161,'Snapshot (Volume)'!$A$7:$G$168,7,0)</f>
        <v>144765400</v>
      </c>
      <c r="F161" s="165">
        <f t="shared" si="54"/>
        <v>1877200</v>
      </c>
      <c r="G161" s="166">
        <f t="shared" si="55"/>
        <v>1.2967186910684459E-2</v>
      </c>
      <c r="H161" s="165">
        <f>VLOOKUP($B161,'Data shares'!$C:$FB,66)</f>
        <v>46658300</v>
      </c>
      <c r="I161" s="165">
        <f>VLOOKUP($B161,'Data shares'!$C:$FB,67)</f>
        <v>76131900</v>
      </c>
      <c r="J161" s="81">
        <f t="shared" si="56"/>
        <v>-38.713863702337655</v>
      </c>
      <c r="K161" s="5">
        <f>VLOOKUP($B161,'Data Vlaue (Cr)'!$C:$FB,99)</f>
        <v>5553</v>
      </c>
      <c r="L161" s="81">
        <f>VLOOKUP(B161,'OI(Value)'!$A$7:$C$209,3,0)</f>
        <v>71</v>
      </c>
      <c r="M161" s="33">
        <f t="shared" si="57"/>
        <v>1.2785881505492527</v>
      </c>
      <c r="N161" s="5">
        <f>VLOOKUP($B161,'Data Vlaue (Cr)'!$C:$FB,67)</f>
        <v>1767</v>
      </c>
      <c r="O161" s="5">
        <f>VLOOKUP($B161,'Data Vlaue (Cr)'!$C:$FB,68)</f>
        <v>2883</v>
      </c>
      <c r="P161" s="5">
        <f t="shared" si="58"/>
        <v>-63.157894736842103</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Capital_Goods</v>
      </c>
      <c r="B162" s="79" t="str">
        <f>'Data shares'!C157</f>
        <v>PGEL</v>
      </c>
      <c r="C162" s="4">
        <f>VLOOKUP($B162,'Data shares'!$C:$FB,7)</f>
        <v>622.4</v>
      </c>
      <c r="D162" s="82">
        <f>VLOOKUP($B162,'Data shares'!$C:$FB,98)</f>
        <v>22952950</v>
      </c>
      <c r="E162" s="165">
        <f>VLOOKUP(B162,'Snapshot (Volume)'!$A$7:$G$168,7,0)</f>
        <v>23239850</v>
      </c>
      <c r="F162" s="165">
        <f t="shared" si="54"/>
        <v>-286900</v>
      </c>
      <c r="G162" s="166">
        <f t="shared" si="55"/>
        <v>-1.2345174344929077E-2</v>
      </c>
      <c r="H162" s="165">
        <f>VLOOKUP($B162,'Data shares'!$C:$FB,66)</f>
        <v>12446900</v>
      </c>
      <c r="I162" s="165">
        <f>VLOOKUP($B162,'Data shares'!$C:$FB,67)</f>
        <v>19424650</v>
      </c>
      <c r="J162" s="81">
        <f t="shared" si="56"/>
        <v>-35.922140167261702</v>
      </c>
      <c r="K162" s="5">
        <f>VLOOKUP($B162,'Data Vlaue (Cr)'!$C:$FB,99)</f>
        <v>1432</v>
      </c>
      <c r="L162" s="81">
        <f>VLOOKUP(B162,'OI(Value)'!$A$7:$C$209,3,0)</f>
        <v>-18</v>
      </c>
      <c r="M162" s="33">
        <f t="shared" si="57"/>
        <v>-1.2569832402234637</v>
      </c>
      <c r="N162" s="5">
        <f>VLOOKUP($B162,'Data Vlaue (Cr)'!$C:$FB,67)</f>
        <v>777</v>
      </c>
      <c r="O162" s="5">
        <f>VLOOKUP($B162,'Data Vlaue (Cr)'!$C:$FB,68)</f>
        <v>1212</v>
      </c>
      <c r="P162" s="5">
        <f>(N162-O162)/N162*100</f>
        <v>-55.984555984555982</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Realty</v>
      </c>
      <c r="B163" s="79" t="str">
        <f>'Data shares'!C158</f>
        <v>PHOENIXLTD</v>
      </c>
      <c r="C163" s="4">
        <f>VLOOKUP($B163,'Data shares'!$C:$FB,7)</f>
        <v>1942.6</v>
      </c>
      <c r="D163" s="82">
        <f>VLOOKUP($B163,'Data shares'!$C:$FB,98)</f>
        <v>4944450</v>
      </c>
      <c r="E163" s="165">
        <f>VLOOKUP(B163,'Snapshot (Volume)'!$A$7:$G$168,7,0)</f>
        <v>4634350</v>
      </c>
      <c r="F163" s="165">
        <f t="shared" si="54"/>
        <v>310100</v>
      </c>
      <c r="G163" s="166">
        <f t="shared" si="55"/>
        <v>6.6913375122724869E-2</v>
      </c>
      <c r="H163" s="165">
        <f>VLOOKUP($B163,'Data shares'!$C:$FB,66)</f>
        <v>1450400</v>
      </c>
      <c r="I163" s="165">
        <f>VLOOKUP($B163,'Data shares'!$C:$FB,67)</f>
        <v>2983400</v>
      </c>
      <c r="J163" s="81">
        <f t="shared" si="56"/>
        <v>-51.384326607226647</v>
      </c>
      <c r="K163" s="5">
        <f>VLOOKUP($B163,'Data Vlaue (Cr)'!$C:$FB,99)</f>
        <v>962</v>
      </c>
      <c r="L163" s="81">
        <f>VLOOKUP(B163,'OI(Value)'!$A$7:$C$209,3,0)</f>
        <v>60</v>
      </c>
      <c r="M163" s="33">
        <f t="shared" si="57"/>
        <v>6.2370062370062378</v>
      </c>
      <c r="N163" s="5">
        <f>VLOOKUP($B163,'Data Vlaue (Cr)'!$C:$FB,67)</f>
        <v>282</v>
      </c>
      <c r="O163" s="5">
        <f>VLOOKUP($B163,'Data Vlaue (Cr)'!$C:$FB,68)</f>
        <v>581</v>
      </c>
      <c r="P163" s="5">
        <f>(N163-O163)/N163*100</f>
        <v>-106.02836879432624</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FMCG</v>
      </c>
      <c r="B164" s="79" t="str">
        <f>'Data shares'!C159</f>
        <v>PIDILITIND</v>
      </c>
      <c r="C164" s="4">
        <f>VLOOKUP($B164,'Data shares'!$C:$FB,7)</f>
        <v>1514.8</v>
      </c>
      <c r="D164" s="82">
        <f>VLOOKUP($B164,'Data shares'!$C:$FB,98)</f>
        <v>9749000</v>
      </c>
      <c r="E164" s="165">
        <f>VLOOKUP(B164,'Snapshot (Volume)'!$A$7:$G$168,7,0)</f>
        <v>9710000</v>
      </c>
      <c r="F164" s="165">
        <f t="shared" si="54"/>
        <v>39000</v>
      </c>
      <c r="G164" s="166">
        <f t="shared" si="55"/>
        <v>4.0164778578784758E-3</v>
      </c>
      <c r="H164" s="165">
        <f>VLOOKUP($B164,'Data shares'!$C:$FB,66)</f>
        <v>3274500</v>
      </c>
      <c r="I164" s="165">
        <f>VLOOKUP($B164,'Data shares'!$C:$FB,67)</f>
        <v>2510000</v>
      </c>
      <c r="J164" s="81">
        <f t="shared" si="56"/>
        <v>30.458167330677288</v>
      </c>
      <c r="K164" s="5">
        <f>VLOOKUP($B164,'Data Vlaue (Cr)'!$C:$FB,99)</f>
        <v>1480</v>
      </c>
      <c r="L164" s="81">
        <f>VLOOKUP(B164,'OI(Value)'!$A$7:$C$209,3,0)</f>
        <v>6</v>
      </c>
      <c r="M164" s="33">
        <f t="shared" si="57"/>
        <v>0.40540540540540543</v>
      </c>
      <c r="N164" s="5">
        <f>VLOOKUP($B164,'Data Vlaue (Cr)'!$C:$FB,67)</f>
        <v>497</v>
      </c>
      <c r="O164" s="5">
        <f>VLOOKUP($B164,'Data Vlaue (Cr)'!$C:$FB,68)</f>
        <v>381</v>
      </c>
      <c r="P164" s="5">
        <f>(N164-O164)/N164*100</f>
        <v>23.340040241448694</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shares'!B215</f>
        <v>Pharma</v>
      </c>
      <c r="B166" s="79" t="str">
        <f>'Data shares'!C215</f>
        <v>ZYDUSLIFE</v>
      </c>
      <c r="C166" s="4">
        <f>VLOOKUP($B166,'Data shares'!$C:$FB,7)</f>
        <v>927.55</v>
      </c>
      <c r="D166" s="82">
        <f>VLOOKUP($B166,'Data shares'!$C:$FB,98)</f>
        <v>17306100</v>
      </c>
      <c r="E166" s="165" t="e">
        <f>VLOOKUP(B166,'Snapshot (Volume)'!$A$7:$G$168,7,0)</f>
        <v>#N/A</v>
      </c>
      <c r="F166" s="165" t="e">
        <f t="shared" si="54"/>
        <v>#N/A</v>
      </c>
      <c r="G166" s="166" t="e">
        <f t="shared" si="55"/>
        <v>#N/A</v>
      </c>
      <c r="H166" s="165">
        <f>VLOOKUP($B166,'Data shares'!$C:$FB,66)</f>
        <v>12229200</v>
      </c>
      <c r="I166" s="165">
        <f>VLOOKUP($B166,'Data shares'!$C:$FB,67)</f>
        <v>9478800</v>
      </c>
      <c r="J166" s="81">
        <f t="shared" si="56"/>
        <v>29.016331181162176</v>
      </c>
      <c r="K166" s="5">
        <f>VLOOKUP($B166,'Data Vlaue (Cr)'!$C:$FB,99)</f>
        <v>1609</v>
      </c>
      <c r="L166" s="81">
        <f>VLOOKUP(B166,'OI(Value)'!$A$7:$C$209,3,0)</f>
        <v>90</v>
      </c>
      <c r="M166" s="33">
        <f t="shared" si="57"/>
        <v>5.5935363579863271</v>
      </c>
      <c r="N166" s="5">
        <f>VLOOKUP($B166,'Data Vlaue (Cr)'!$C:$FB,67)</f>
        <v>1137</v>
      </c>
      <c r="O166" s="5">
        <f>VLOOKUP($B166,'Data Vlaue (Cr)'!$C:$FB,68)</f>
        <v>881</v>
      </c>
      <c r="P166" s="5">
        <f>(N166-O166)/N166*100</f>
        <v>22.515391380826738</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45" activePane="bottomLeft" state="frozen"/>
      <selection pane="bottomLeft" activeCell="A146" sqref="A146"/>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46029</v>
      </c>
      <c r="C6" s="71" t="s">
        <v>333</v>
      </c>
      <c r="D6" s="71" t="s">
        <v>328</v>
      </c>
      <c r="E6" s="66">
        <f>B6</f>
        <v>46029</v>
      </c>
      <c r="F6" s="71" t="s">
        <v>333</v>
      </c>
      <c r="G6" s="71" t="s">
        <v>328</v>
      </c>
      <c r="H6" s="66">
        <f>B6</f>
        <v>46029</v>
      </c>
      <c r="I6" s="71" t="s">
        <v>333</v>
      </c>
      <c r="J6" s="71" t="s">
        <v>328</v>
      </c>
      <c r="K6" s="66">
        <f>B6</f>
        <v>46029</v>
      </c>
      <c r="L6" s="71" t="s">
        <v>333</v>
      </c>
      <c r="M6" s="71" t="s">
        <v>328</v>
      </c>
      <c r="N6" s="71" t="s">
        <v>339</v>
      </c>
      <c r="O6" s="71" t="s">
        <v>328</v>
      </c>
    </row>
    <row r="7" spans="1:15" x14ac:dyDescent="0.25">
      <c r="A7" s="100" t="str">
        <f>'OI(Value)'!A7</f>
        <v>360ONE</v>
      </c>
      <c r="B7" s="82">
        <f>VLOOKUP(A7,'Data shares'!$C$2:$CV$215,98,0)</f>
        <v>4148000</v>
      </c>
      <c r="C7" s="82">
        <f>VLOOKUP(A7,'Data shares'!$C$2:$CX$215,100,0)</f>
        <v>-113500</v>
      </c>
      <c r="D7" s="141">
        <f>VLOOKUP(A7,'Data shares'!$C$2:$CY$538,101,0)</f>
        <v>-2.6599999999999999E-2</v>
      </c>
      <c r="E7" s="86">
        <f>VLOOKUP($A7,'Data shares'!$C:$FA,74)</f>
        <v>2555000</v>
      </c>
      <c r="F7" s="86">
        <f>VLOOKUP($A7,'Data shares'!$C:$FA,76)</f>
        <v>-104500</v>
      </c>
      <c r="G7" s="87">
        <f>VLOOKUP(A7,'Data shares'!$C$2:$CA$215,77,0)</f>
        <v>-3.9300000000000002E-2</v>
      </c>
      <c r="H7" s="86">
        <f>VLOOKUP($A7,'Data shares'!$C:$FA,90)</f>
        <v>1036000</v>
      </c>
      <c r="I7" s="86">
        <f>VLOOKUP($A7,'Data shares'!$C:$FA,92)</f>
        <v>2500</v>
      </c>
      <c r="J7" s="87">
        <f>VLOOKUP($A7,'Data shares'!$C:$FA,93)</f>
        <v>2.3999999999999998E-3</v>
      </c>
      <c r="K7" s="86">
        <f>VLOOKUP($A7,'Data shares'!$C:$FA,94)</f>
        <v>557000</v>
      </c>
      <c r="L7" s="86">
        <f>VLOOKUP($A7,'Data shares'!$C:$FA,96)</f>
        <v>-11500</v>
      </c>
      <c r="M7" s="87">
        <f>VLOOKUP($A7,'Data shares'!$C:$FA,97)</f>
        <v>-2.0199999999999999E-2</v>
      </c>
      <c r="N7" s="86">
        <f>VLOOKUP($A7,'Data shares'!$C:$FA,78)</f>
        <v>2460500</v>
      </c>
      <c r="O7" s="87">
        <f>VLOOKUP($A7,'Data shares'!$C:$FA,81)</f>
        <v>-5.16E-2</v>
      </c>
    </row>
    <row r="8" spans="1:15" x14ac:dyDescent="0.25">
      <c r="A8" s="100" t="str">
        <f>'OI(Value)'!A8</f>
        <v>ABB</v>
      </c>
      <c r="B8" s="82">
        <f>VLOOKUP(A8,'Data shares'!$C$2:$CV$215,98,0)</f>
        <v>3512125</v>
      </c>
      <c r="C8" s="82">
        <f>VLOOKUP(A8,'Data shares'!$C$2:$CX$215,100,0)</f>
        <v>287125</v>
      </c>
      <c r="D8" s="141">
        <f>VLOOKUP(A8,'Data shares'!$C$2:$CY$538,101,0)</f>
        <v>8.8999999999999996E-2</v>
      </c>
      <c r="E8" s="86">
        <f>VLOOKUP($A8,'Data shares'!$C:$FA,74)</f>
        <v>2221750</v>
      </c>
      <c r="F8" s="86">
        <f>VLOOKUP($A8,'Data shares'!$C:$FA,76)</f>
        <v>30000</v>
      </c>
      <c r="G8" s="87">
        <f>VLOOKUP(A8,'Data shares'!$C$2:$CA$215,77,0)</f>
        <v>1.37E-2</v>
      </c>
      <c r="H8" s="86">
        <f>VLOOKUP($A8,'Data shares'!$C:$FA,90)</f>
        <v>782500</v>
      </c>
      <c r="I8" s="86">
        <f>VLOOKUP($A8,'Data shares'!$C:$FA,92)</f>
        <v>220250</v>
      </c>
      <c r="J8" s="87">
        <f>VLOOKUP($A8,'Data shares'!$C:$FA,93)</f>
        <v>0.39169999999999999</v>
      </c>
      <c r="K8" s="86">
        <f>VLOOKUP($A8,'Data shares'!$C:$FA,94)</f>
        <v>507875</v>
      </c>
      <c r="L8" s="86">
        <f>VLOOKUP($A8,'Data shares'!$C:$FA,96)</f>
        <v>36875</v>
      </c>
      <c r="M8" s="87">
        <f>VLOOKUP($A8,'Data shares'!$C:$FA,97)</f>
        <v>7.8299999999999995E-2</v>
      </c>
      <c r="N8" s="86">
        <f>VLOOKUP($A8,'Data shares'!$C:$FA,78)</f>
        <v>2136625</v>
      </c>
      <c r="O8" s="87">
        <f>VLOOKUP($A8,'Data shares'!$C:$FA,81)</f>
        <v>0.01</v>
      </c>
    </row>
    <row r="9" spans="1:15" x14ac:dyDescent="0.25">
      <c r="A9" s="100" t="str">
        <f>'OI(Value)'!A9</f>
        <v>ABCAPITAL</v>
      </c>
      <c r="B9" s="82">
        <f>VLOOKUP(A9,'Data shares'!$C$2:$CV$215,98,0)</f>
        <v>115382000</v>
      </c>
      <c r="C9" s="82">
        <f>VLOOKUP(A9,'Data shares'!$C$2:$CX$215,100,0)</f>
        <v>1010600</v>
      </c>
      <c r="D9" s="141">
        <f>VLOOKUP(A9,'Data shares'!$C$2:$CY$538,101,0)</f>
        <v>8.8000000000000005E-3</v>
      </c>
      <c r="E9" s="86">
        <f>VLOOKUP($A9,'Data shares'!$C:$FA,74)</f>
        <v>79933500</v>
      </c>
      <c r="F9" s="86">
        <f>VLOOKUP($A9,'Data shares'!$C:$FA,76)</f>
        <v>1143900</v>
      </c>
      <c r="G9" s="87">
        <f>VLOOKUP(A9,'Data shares'!$C$2:$CA$215,77,0)</f>
        <v>1.4500000000000001E-2</v>
      </c>
      <c r="H9" s="86">
        <f>VLOOKUP($A9,'Data shares'!$C:$FA,90)</f>
        <v>24350500</v>
      </c>
      <c r="I9" s="86">
        <f>VLOOKUP($A9,'Data shares'!$C:$FA,92)</f>
        <v>-589000</v>
      </c>
      <c r="J9" s="87">
        <f>VLOOKUP($A9,'Data shares'!$C:$FA,93)</f>
        <v>-2.3599999999999999E-2</v>
      </c>
      <c r="K9" s="86">
        <f>VLOOKUP($A9,'Data shares'!$C:$FA,94)</f>
        <v>11098000</v>
      </c>
      <c r="L9" s="86">
        <f>VLOOKUP($A9,'Data shares'!$C:$FA,96)</f>
        <v>455700</v>
      </c>
      <c r="M9" s="87">
        <f>VLOOKUP($A9,'Data shares'!$C:$FA,97)</f>
        <v>4.2799999999999998E-2</v>
      </c>
      <c r="N9" s="86">
        <f>VLOOKUP($A9,'Data shares'!$C:$FA,78)</f>
        <v>78256400</v>
      </c>
      <c r="O9" s="87">
        <f>VLOOKUP($A9,'Data shares'!$C:$FA,81)</f>
        <v>7.3000000000000001E-3</v>
      </c>
    </row>
    <row r="10" spans="1:15" x14ac:dyDescent="0.25">
      <c r="A10" s="100" t="str">
        <f>'OI(Value)'!A10</f>
        <v>ADANIENSOL</v>
      </c>
      <c r="B10" s="82">
        <f>VLOOKUP(A10,'Data shares'!$C$2:$CV$215,98,0)</f>
        <v>22863600</v>
      </c>
      <c r="C10" s="82">
        <f>VLOOKUP(A10,'Data shares'!$C$2:$CX$215,100,0)</f>
        <v>51300</v>
      </c>
      <c r="D10" s="141">
        <f>VLOOKUP(A10,'Data shares'!$C$2:$CY$538,101,0)</f>
        <v>2.2000000000000001E-3</v>
      </c>
      <c r="E10" s="86">
        <f>VLOOKUP($A10,'Data shares'!$C:$FA,74)</f>
        <v>17160525</v>
      </c>
      <c r="F10" s="86">
        <f>VLOOKUP($A10,'Data shares'!$C:$FA,76)</f>
        <v>-58050</v>
      </c>
      <c r="G10" s="87">
        <f>VLOOKUP(A10,'Data shares'!$C$2:$CA$215,77,0)</f>
        <v>-3.3999999999999998E-3</v>
      </c>
      <c r="H10" s="86">
        <f>VLOOKUP($A10,'Data shares'!$C:$FA,90)</f>
        <v>3604500</v>
      </c>
      <c r="I10" s="86">
        <f>VLOOKUP($A10,'Data shares'!$C:$FA,92)</f>
        <v>86400</v>
      </c>
      <c r="J10" s="87">
        <f>VLOOKUP($A10,'Data shares'!$C:$FA,93)</f>
        <v>2.46E-2</v>
      </c>
      <c r="K10" s="86">
        <f>VLOOKUP($A10,'Data shares'!$C:$FA,94)</f>
        <v>2098575</v>
      </c>
      <c r="L10" s="86">
        <f>VLOOKUP($A10,'Data shares'!$C:$FA,96)</f>
        <v>22950</v>
      </c>
      <c r="M10" s="87">
        <f>VLOOKUP($A10,'Data shares'!$C:$FA,97)</f>
        <v>1.11E-2</v>
      </c>
      <c r="N10" s="86">
        <f>VLOOKUP($A10,'Data shares'!$C:$FA,78)</f>
        <v>16984350</v>
      </c>
      <c r="O10" s="87">
        <f>VLOOKUP($A10,'Data shares'!$C:$FA,81)</f>
        <v>-4.1000000000000003E-3</v>
      </c>
    </row>
    <row r="11" spans="1:15" x14ac:dyDescent="0.25">
      <c r="A11" s="100" t="str">
        <f>'OI(Value)'!A11</f>
        <v>ADANIENT</v>
      </c>
      <c r="B11" s="82">
        <f>VLOOKUP(A11,'Data shares'!$C$2:$CV$215,98,0)</f>
        <v>34239981</v>
      </c>
      <c r="C11" s="82">
        <f>VLOOKUP(A11,'Data shares'!$C$2:$CX$215,100,0)</f>
        <v>372345</v>
      </c>
      <c r="D11" s="141">
        <f>VLOOKUP(A11,'Data shares'!$C$2:$CY$538,101,0)</f>
        <v>1.0999999999999999E-2</v>
      </c>
      <c r="E11" s="86">
        <f>VLOOKUP($A11,'Data shares'!$C:$FA,74)</f>
        <v>21326871</v>
      </c>
      <c r="F11" s="86">
        <f>VLOOKUP($A11,'Data shares'!$C:$FA,76)</f>
        <v>16068</v>
      </c>
      <c r="G11" s="87">
        <f>VLOOKUP(A11,'Data shares'!$C$2:$CA$215,77,0)</f>
        <v>8.0000000000000004E-4</v>
      </c>
      <c r="H11" s="86">
        <f>VLOOKUP($A11,'Data shares'!$C:$FA,90)</f>
        <v>6997305</v>
      </c>
      <c r="I11" s="86">
        <f>VLOOKUP($A11,'Data shares'!$C:$FA,92)</f>
        <v>260487</v>
      </c>
      <c r="J11" s="87">
        <f>VLOOKUP($A11,'Data shares'!$C:$FA,93)</f>
        <v>3.8699999999999998E-2</v>
      </c>
      <c r="K11" s="86">
        <f>VLOOKUP($A11,'Data shares'!$C:$FA,94)</f>
        <v>5915805</v>
      </c>
      <c r="L11" s="86">
        <f>VLOOKUP($A11,'Data shares'!$C:$FA,96)</f>
        <v>95790</v>
      </c>
      <c r="M11" s="87">
        <f>VLOOKUP($A11,'Data shares'!$C:$FA,97)</f>
        <v>1.6500000000000001E-2</v>
      </c>
      <c r="N11" s="86">
        <f>VLOOKUP($A11,'Data shares'!$C:$FA,78)</f>
        <v>20316441</v>
      </c>
      <c r="O11" s="87">
        <f>VLOOKUP($A11,'Data shares'!$C:$FA,81)</f>
        <v>-2E-3</v>
      </c>
    </row>
    <row r="12" spans="1:15" x14ac:dyDescent="0.25">
      <c r="A12" s="100" t="str">
        <f>'OI(Value)'!A12</f>
        <v>ADANIGREEN</v>
      </c>
      <c r="B12" s="82">
        <f>VLOOKUP(A12,'Data shares'!$C$2:$CV$215,98,0)</f>
        <v>34364400</v>
      </c>
      <c r="C12" s="82">
        <f>VLOOKUP(A12,'Data shares'!$C$2:$CX$215,100,0)</f>
        <v>264600</v>
      </c>
      <c r="D12" s="141">
        <f>VLOOKUP(A12,'Data shares'!$C$2:$CY$538,101,0)</f>
        <v>7.7999999999999996E-3</v>
      </c>
      <c r="E12" s="86">
        <f>VLOOKUP($A12,'Data shares'!$C:$FA,74)</f>
        <v>23673000</v>
      </c>
      <c r="F12" s="86">
        <f>VLOOKUP($A12,'Data shares'!$C:$FA,76)</f>
        <v>-25200</v>
      </c>
      <c r="G12" s="87">
        <f>VLOOKUP(A12,'Data shares'!$C$2:$CA$215,77,0)</f>
        <v>-1.1000000000000001E-3</v>
      </c>
      <c r="H12" s="86">
        <f>VLOOKUP($A12,'Data shares'!$C:$FA,90)</f>
        <v>6669000</v>
      </c>
      <c r="I12" s="86">
        <f>VLOOKUP($A12,'Data shares'!$C:$FA,92)</f>
        <v>204000</v>
      </c>
      <c r="J12" s="87">
        <f>VLOOKUP($A12,'Data shares'!$C:$FA,93)</f>
        <v>3.1600000000000003E-2</v>
      </c>
      <c r="K12" s="86">
        <f>VLOOKUP($A12,'Data shares'!$C:$FA,94)</f>
        <v>4022400</v>
      </c>
      <c r="L12" s="86">
        <f>VLOOKUP($A12,'Data shares'!$C:$FA,96)</f>
        <v>85800</v>
      </c>
      <c r="M12" s="87">
        <f>VLOOKUP($A12,'Data shares'!$C:$FA,97)</f>
        <v>2.18E-2</v>
      </c>
      <c r="N12" s="86">
        <f>VLOOKUP($A12,'Data shares'!$C:$FA,78)</f>
        <v>23122200</v>
      </c>
      <c r="O12" s="87">
        <f>VLOOKUP($A12,'Data shares'!$C:$FA,81)</f>
        <v>-3.2000000000000002E-3</v>
      </c>
    </row>
    <row r="13" spans="1:15" x14ac:dyDescent="0.25">
      <c r="A13" s="100" t="str">
        <f>'OI(Value)'!A13</f>
        <v>ADANIPORTS</v>
      </c>
      <c r="B13" s="82">
        <f>VLOOKUP(A13,'Data shares'!$C$2:$CV$215,98,0)</f>
        <v>36952150</v>
      </c>
      <c r="C13" s="82">
        <f>VLOOKUP(A13,'Data shares'!$C$2:$CX$215,100,0)</f>
        <v>903925</v>
      </c>
      <c r="D13" s="141">
        <f>VLOOKUP(A13,'Data shares'!$C$2:$CY$538,101,0)</f>
        <v>2.5100000000000001E-2</v>
      </c>
      <c r="E13" s="86">
        <f>VLOOKUP($A13,'Data shares'!$C:$FA,74)</f>
        <v>25905550</v>
      </c>
      <c r="F13" s="86">
        <f>VLOOKUP($A13,'Data shares'!$C:$FA,76)</f>
        <v>557650</v>
      </c>
      <c r="G13" s="87">
        <f>VLOOKUP(A13,'Data shares'!$C$2:$CA$215,77,0)</f>
        <v>2.1999999999999999E-2</v>
      </c>
      <c r="H13" s="86">
        <f>VLOOKUP($A13,'Data shares'!$C:$FA,90)</f>
        <v>6432925</v>
      </c>
      <c r="I13" s="86">
        <f>VLOOKUP($A13,'Data shares'!$C:$FA,92)</f>
        <v>334400</v>
      </c>
      <c r="J13" s="87">
        <f>VLOOKUP($A13,'Data shares'!$C:$FA,93)</f>
        <v>5.4800000000000001E-2</v>
      </c>
      <c r="K13" s="86">
        <f>VLOOKUP($A13,'Data shares'!$C:$FA,94)</f>
        <v>4613675</v>
      </c>
      <c r="L13" s="86">
        <f>VLOOKUP($A13,'Data shares'!$C:$FA,96)</f>
        <v>11875</v>
      </c>
      <c r="M13" s="87">
        <f>VLOOKUP($A13,'Data shares'!$C:$FA,97)</f>
        <v>2.5999999999999999E-3</v>
      </c>
      <c r="N13" s="86">
        <f>VLOOKUP($A13,'Data shares'!$C:$FA,78)</f>
        <v>25053400</v>
      </c>
      <c r="O13" s="87">
        <f>VLOOKUP($A13,'Data shares'!$C:$FA,81)</f>
        <v>1.95E-2</v>
      </c>
    </row>
    <row r="14" spans="1:15" x14ac:dyDescent="0.25">
      <c r="A14" s="100" t="str">
        <f>'OI(Value)'!A14</f>
        <v>ALKEM</v>
      </c>
      <c r="B14" s="82">
        <f>VLOOKUP(A14,'Data shares'!$C$2:$CV$215,98,0)</f>
        <v>1866750</v>
      </c>
      <c r="C14" s="82">
        <f>VLOOKUP(A14,'Data shares'!$C$2:$CX$215,100,0)</f>
        <v>82000</v>
      </c>
      <c r="D14" s="141">
        <f>VLOOKUP(A14,'Data shares'!$C$2:$CY$538,101,0)</f>
        <v>4.5900000000000003E-2</v>
      </c>
      <c r="E14" s="86">
        <f>VLOOKUP($A14,'Data shares'!$C:$FA,74)</f>
        <v>1505750</v>
      </c>
      <c r="F14" s="86">
        <f>VLOOKUP($A14,'Data shares'!$C:$FA,76)</f>
        <v>4875</v>
      </c>
      <c r="G14" s="87">
        <f>VLOOKUP(A14,'Data shares'!$C$2:$CA$215,77,0)</f>
        <v>3.2000000000000002E-3</v>
      </c>
      <c r="H14" s="86">
        <f>VLOOKUP($A14,'Data shares'!$C:$FA,90)</f>
        <v>211250</v>
      </c>
      <c r="I14" s="86">
        <f>VLOOKUP($A14,'Data shares'!$C:$FA,92)</f>
        <v>51750</v>
      </c>
      <c r="J14" s="87">
        <f>VLOOKUP($A14,'Data shares'!$C:$FA,93)</f>
        <v>0.32450000000000001</v>
      </c>
      <c r="K14" s="86">
        <f>VLOOKUP($A14,'Data shares'!$C:$FA,94)</f>
        <v>149750</v>
      </c>
      <c r="L14" s="86">
        <f>VLOOKUP($A14,'Data shares'!$C:$FA,96)</f>
        <v>25375</v>
      </c>
      <c r="M14" s="87">
        <f>VLOOKUP($A14,'Data shares'!$C:$FA,97)</f>
        <v>0.20399999999999999</v>
      </c>
      <c r="N14" s="86">
        <f>VLOOKUP($A14,'Data shares'!$C:$FA,78)</f>
        <v>1492000</v>
      </c>
      <c r="O14" s="87">
        <f>VLOOKUP($A14,'Data shares'!$C:$FA,81)</f>
        <v>3.2000000000000002E-3</v>
      </c>
    </row>
    <row r="15" spans="1:15" x14ac:dyDescent="0.25">
      <c r="A15" s="100" t="str">
        <f>'OI(Value)'!A15</f>
        <v>AMBER</v>
      </c>
      <c r="B15" s="82">
        <f>VLOOKUP(A15,'Data shares'!$C$2:$CV$215,98,0)</f>
        <v>1729300</v>
      </c>
      <c r="C15" s="82">
        <f>VLOOKUP(A15,'Data shares'!$C$2:$CX$215,100,0)</f>
        <v>50400</v>
      </c>
      <c r="D15" s="141">
        <f>VLOOKUP(A15,'Data shares'!$C$2:$CY$538,101,0)</f>
        <v>0.03</v>
      </c>
      <c r="E15" s="86">
        <f>VLOOKUP($A15,'Data shares'!$C:$FA,74)</f>
        <v>939600</v>
      </c>
      <c r="F15" s="86">
        <f>VLOOKUP($A15,'Data shares'!$C:$FA,76)</f>
        <v>7700</v>
      </c>
      <c r="G15" s="87">
        <f>VLOOKUP(A15,'Data shares'!$C$2:$CA$215,77,0)</f>
        <v>8.3000000000000001E-3</v>
      </c>
      <c r="H15" s="86">
        <f>VLOOKUP($A15,'Data shares'!$C:$FA,90)</f>
        <v>459800</v>
      </c>
      <c r="I15" s="86">
        <f>VLOOKUP($A15,'Data shares'!$C:$FA,92)</f>
        <v>42600</v>
      </c>
      <c r="J15" s="87">
        <f>VLOOKUP($A15,'Data shares'!$C:$FA,93)</f>
        <v>0.1021</v>
      </c>
      <c r="K15" s="86">
        <f>VLOOKUP($A15,'Data shares'!$C:$FA,94)</f>
        <v>329900</v>
      </c>
      <c r="L15" s="86">
        <f>VLOOKUP($A15,'Data shares'!$C:$FA,96)</f>
        <v>100</v>
      </c>
      <c r="M15" s="87">
        <f>VLOOKUP($A15,'Data shares'!$C:$FA,97)</f>
        <v>2.9999999999999997E-4</v>
      </c>
      <c r="N15" s="86">
        <f>VLOOKUP($A15,'Data shares'!$C:$FA,78)</f>
        <v>878700</v>
      </c>
      <c r="O15" s="87">
        <f>VLOOKUP($A15,'Data shares'!$C:$FA,81)</f>
        <v>2.2000000000000001E-3</v>
      </c>
    </row>
    <row r="16" spans="1:15" x14ac:dyDescent="0.25">
      <c r="A16" s="100" t="str">
        <f>'OI(Value)'!A16</f>
        <v>AMBUJACEM</v>
      </c>
      <c r="B16" s="82">
        <f>VLOOKUP(A16,'Data shares'!$C$2:$CV$215,98,0)</f>
        <v>74105850</v>
      </c>
      <c r="C16" s="82">
        <f>VLOOKUP(A16,'Data shares'!$C$2:$CX$215,100,0)</f>
        <v>179550</v>
      </c>
      <c r="D16" s="141">
        <f>VLOOKUP(A16,'Data shares'!$C$2:$CY$538,101,0)</f>
        <v>2.3999999999999998E-3</v>
      </c>
      <c r="E16" s="86">
        <f>VLOOKUP($A16,'Data shares'!$C:$FA,74)</f>
        <v>51768150</v>
      </c>
      <c r="F16" s="86">
        <f>VLOOKUP($A16,'Data shares'!$C:$FA,76)</f>
        <v>207900</v>
      </c>
      <c r="G16" s="87">
        <f>VLOOKUP(A16,'Data shares'!$C$2:$CA$215,77,0)</f>
        <v>4.0000000000000001E-3</v>
      </c>
      <c r="H16" s="86">
        <f>VLOOKUP($A16,'Data shares'!$C:$FA,90)</f>
        <v>11747400</v>
      </c>
      <c r="I16" s="86">
        <f>VLOOKUP($A16,'Data shares'!$C:$FA,92)</f>
        <v>-25200</v>
      </c>
      <c r="J16" s="87">
        <f>VLOOKUP($A16,'Data shares'!$C:$FA,93)</f>
        <v>-2.0999999999999999E-3</v>
      </c>
      <c r="K16" s="86">
        <f>VLOOKUP($A16,'Data shares'!$C:$FA,94)</f>
        <v>10590300</v>
      </c>
      <c r="L16" s="86">
        <f>VLOOKUP($A16,'Data shares'!$C:$FA,96)</f>
        <v>-3150</v>
      </c>
      <c r="M16" s="87">
        <f>VLOOKUP($A16,'Data shares'!$C:$FA,97)</f>
        <v>-2.9999999999999997E-4</v>
      </c>
      <c r="N16" s="86">
        <f>VLOOKUP($A16,'Data shares'!$C:$FA,78)</f>
        <v>50736000</v>
      </c>
      <c r="O16" s="87">
        <f>VLOOKUP($A16,'Data shares'!$C:$FA,81)</f>
        <v>3.3E-3</v>
      </c>
    </row>
    <row r="17" spans="1:15" x14ac:dyDescent="0.25">
      <c r="A17" s="100" t="str">
        <f>'OI(Value)'!A17</f>
        <v>ANGELONE</v>
      </c>
      <c r="B17" s="82">
        <f>VLOOKUP(A17,'Data shares'!$C$2:$CV$215,98,0)</f>
        <v>7920750</v>
      </c>
      <c r="C17" s="82">
        <f>VLOOKUP(A17,'Data shares'!$C$2:$CX$215,100,0)</f>
        <v>-127250</v>
      </c>
      <c r="D17" s="141">
        <f>VLOOKUP(A17,'Data shares'!$C$2:$CY$538,101,0)</f>
        <v>-1.5800000000000002E-2</v>
      </c>
      <c r="E17" s="86">
        <f>VLOOKUP($A17,'Data shares'!$C:$FA,74)</f>
        <v>4003500</v>
      </c>
      <c r="F17" s="86">
        <f>VLOOKUP($A17,'Data shares'!$C:$FA,76)</f>
        <v>-48250</v>
      </c>
      <c r="G17" s="87">
        <f>VLOOKUP(A17,'Data shares'!$C$2:$CA$215,77,0)</f>
        <v>-1.1900000000000001E-2</v>
      </c>
      <c r="H17" s="86">
        <f>VLOOKUP($A17,'Data shares'!$C:$FA,90)</f>
        <v>1956000</v>
      </c>
      <c r="I17" s="86">
        <f>VLOOKUP($A17,'Data shares'!$C:$FA,92)</f>
        <v>-172500</v>
      </c>
      <c r="J17" s="87">
        <f>VLOOKUP($A17,'Data shares'!$C:$FA,93)</f>
        <v>-8.1000000000000003E-2</v>
      </c>
      <c r="K17" s="86">
        <f>VLOOKUP($A17,'Data shares'!$C:$FA,94)</f>
        <v>1961250</v>
      </c>
      <c r="L17" s="86">
        <f>VLOOKUP($A17,'Data shares'!$C:$FA,96)</f>
        <v>93500</v>
      </c>
      <c r="M17" s="87">
        <f>VLOOKUP($A17,'Data shares'!$C:$FA,97)</f>
        <v>5.0099999999999999E-2</v>
      </c>
      <c r="N17" s="86">
        <f>VLOOKUP($A17,'Data shares'!$C:$FA,78)</f>
        <v>3764500</v>
      </c>
      <c r="O17" s="87">
        <f>VLOOKUP($A17,'Data shares'!$C:$FA,81)</f>
        <v>-1.6199999999999999E-2</v>
      </c>
    </row>
    <row r="18" spans="1:15" x14ac:dyDescent="0.25">
      <c r="A18" s="100" t="str">
        <f>'OI(Value)'!A18</f>
        <v>APLAPOLLO</v>
      </c>
      <c r="B18" s="82">
        <f>VLOOKUP(A18,'Data shares'!$C$2:$CV$215,98,0)</f>
        <v>11677750</v>
      </c>
      <c r="C18" s="82">
        <f>VLOOKUP(A18,'Data shares'!$C$2:$CX$215,100,0)</f>
        <v>-25550</v>
      </c>
      <c r="D18" s="141">
        <f>VLOOKUP(A18,'Data shares'!$C$2:$CY$538,101,0)</f>
        <v>-2.2000000000000001E-3</v>
      </c>
      <c r="E18" s="86">
        <f>VLOOKUP($A18,'Data shares'!$C:$FA,74)</f>
        <v>9856350</v>
      </c>
      <c r="F18" s="86">
        <f>VLOOKUP($A18,'Data shares'!$C:$FA,76)</f>
        <v>-55300</v>
      </c>
      <c r="G18" s="87">
        <f>VLOOKUP(A18,'Data shares'!$C$2:$CA$215,77,0)</f>
        <v>-5.5999999999999999E-3</v>
      </c>
      <c r="H18" s="86">
        <f>VLOOKUP($A18,'Data shares'!$C:$FA,90)</f>
        <v>1179850</v>
      </c>
      <c r="I18" s="86">
        <f>VLOOKUP($A18,'Data shares'!$C:$FA,92)</f>
        <v>18200</v>
      </c>
      <c r="J18" s="87">
        <f>VLOOKUP($A18,'Data shares'!$C:$FA,93)</f>
        <v>1.5699999999999999E-2</v>
      </c>
      <c r="K18" s="86">
        <f>VLOOKUP($A18,'Data shares'!$C:$FA,94)</f>
        <v>641550</v>
      </c>
      <c r="L18" s="86">
        <f>VLOOKUP($A18,'Data shares'!$C:$FA,96)</f>
        <v>11550</v>
      </c>
      <c r="M18" s="87">
        <f>VLOOKUP($A18,'Data shares'!$C:$FA,97)</f>
        <v>1.83E-2</v>
      </c>
      <c r="N18" s="86">
        <f>VLOOKUP($A18,'Data shares'!$C:$FA,78)</f>
        <v>9772000</v>
      </c>
      <c r="O18" s="87">
        <f>VLOOKUP($A18,'Data shares'!$C:$FA,81)</f>
        <v>-5.7000000000000002E-3</v>
      </c>
    </row>
    <row r="19" spans="1:15" x14ac:dyDescent="0.25">
      <c r="A19" s="100" t="str">
        <f>'OI(Value)'!A19</f>
        <v>APOLLOHOSP</v>
      </c>
      <c r="B19" s="82">
        <f>VLOOKUP(A19,'Data shares'!$C$2:$CV$215,98,0)</f>
        <v>5443000</v>
      </c>
      <c r="C19" s="82">
        <f>VLOOKUP(A19,'Data shares'!$C$2:$CX$215,100,0)</f>
        <v>374875</v>
      </c>
      <c r="D19" s="141">
        <f>VLOOKUP(A19,'Data shares'!$C$2:$CY$538,101,0)</f>
        <v>7.3999999999999996E-2</v>
      </c>
      <c r="E19" s="86">
        <f>VLOOKUP($A19,'Data shares'!$C:$FA,74)</f>
        <v>3050500</v>
      </c>
      <c r="F19" s="86">
        <f>VLOOKUP($A19,'Data shares'!$C:$FA,76)</f>
        <v>69750</v>
      </c>
      <c r="G19" s="87">
        <f>VLOOKUP(A19,'Data shares'!$C$2:$CA$215,77,0)</f>
        <v>2.3400000000000001E-2</v>
      </c>
      <c r="H19" s="86">
        <f>VLOOKUP($A19,'Data shares'!$C:$FA,90)</f>
        <v>1211250</v>
      </c>
      <c r="I19" s="86">
        <f>VLOOKUP($A19,'Data shares'!$C:$FA,92)</f>
        <v>85375</v>
      </c>
      <c r="J19" s="87">
        <f>VLOOKUP($A19,'Data shares'!$C:$FA,93)</f>
        <v>7.5800000000000006E-2</v>
      </c>
      <c r="K19" s="86">
        <f>VLOOKUP($A19,'Data shares'!$C:$FA,94)</f>
        <v>1181250</v>
      </c>
      <c r="L19" s="86">
        <f>VLOOKUP($A19,'Data shares'!$C:$FA,96)</f>
        <v>219750</v>
      </c>
      <c r="M19" s="87">
        <f>VLOOKUP($A19,'Data shares'!$C:$FA,97)</f>
        <v>0.22850000000000001</v>
      </c>
      <c r="N19" s="86">
        <f>VLOOKUP($A19,'Data shares'!$C:$FA,78)</f>
        <v>2986000</v>
      </c>
      <c r="O19" s="87">
        <f>VLOOKUP($A19,'Data shares'!$C:$FA,81)</f>
        <v>2.23E-2</v>
      </c>
    </row>
    <row r="20" spans="1:15" x14ac:dyDescent="0.25">
      <c r="A20" s="100" t="str">
        <f>'OI(Value)'!A20</f>
        <v>ASHOKLEY</v>
      </c>
      <c r="B20" s="82">
        <f>VLOOKUP(A20,'Data shares'!$C$2:$CV$215,98,0)</f>
        <v>277595000</v>
      </c>
      <c r="C20" s="82">
        <f>VLOOKUP(A20,'Data shares'!$C$2:$CX$215,100,0)</f>
        <v>340000</v>
      </c>
      <c r="D20" s="141">
        <f>VLOOKUP(A20,'Data shares'!$C$2:$CY$538,101,0)</f>
        <v>1.1999999999999999E-3</v>
      </c>
      <c r="E20" s="86">
        <f>VLOOKUP($A20,'Data shares'!$C:$FA,74)</f>
        <v>174185000</v>
      </c>
      <c r="F20" s="86">
        <f>VLOOKUP($A20,'Data shares'!$C:$FA,76)</f>
        <v>-375000</v>
      </c>
      <c r="G20" s="87">
        <f>VLOOKUP(A20,'Data shares'!$C$2:$CA$215,77,0)</f>
        <v>-2.0999999999999999E-3</v>
      </c>
      <c r="H20" s="86">
        <f>VLOOKUP($A20,'Data shares'!$C:$FA,90)</f>
        <v>59750000</v>
      </c>
      <c r="I20" s="86">
        <f>VLOOKUP($A20,'Data shares'!$C:$FA,92)</f>
        <v>-110000</v>
      </c>
      <c r="J20" s="87">
        <f>VLOOKUP($A20,'Data shares'!$C:$FA,93)</f>
        <v>-1.8E-3</v>
      </c>
      <c r="K20" s="86">
        <f>VLOOKUP($A20,'Data shares'!$C:$FA,94)</f>
        <v>43660000</v>
      </c>
      <c r="L20" s="86">
        <f>VLOOKUP($A20,'Data shares'!$C:$FA,96)</f>
        <v>825000</v>
      </c>
      <c r="M20" s="87">
        <f>VLOOKUP($A20,'Data shares'!$C:$FA,97)</f>
        <v>1.9300000000000001E-2</v>
      </c>
      <c r="N20" s="86">
        <f>VLOOKUP($A20,'Data shares'!$C:$FA,78)</f>
        <v>168365000</v>
      </c>
      <c r="O20" s="87">
        <f>VLOOKUP($A20,'Data shares'!$C:$FA,81)</f>
        <v>-1.38E-2</v>
      </c>
    </row>
    <row r="21" spans="1:15" x14ac:dyDescent="0.25">
      <c r="A21" s="100" t="str">
        <f>'OI(Value)'!A21</f>
        <v>ASIANPAINT</v>
      </c>
      <c r="B21" s="82">
        <f>VLOOKUP(A21,'Data shares'!$C$2:$CV$215,98,0)</f>
        <v>20824500</v>
      </c>
      <c r="C21" s="82">
        <f>VLOOKUP(A21,'Data shares'!$C$2:$CX$215,100,0)</f>
        <v>329500</v>
      </c>
      <c r="D21" s="141">
        <f>VLOOKUP(A21,'Data shares'!$C$2:$CY$538,101,0)</f>
        <v>1.61E-2</v>
      </c>
      <c r="E21" s="86">
        <f>VLOOKUP($A21,'Data shares'!$C:$FA,74)</f>
        <v>13380000</v>
      </c>
      <c r="F21" s="86">
        <f>VLOOKUP($A21,'Data shares'!$C:$FA,76)</f>
        <v>90000</v>
      </c>
      <c r="G21" s="87">
        <f>VLOOKUP(A21,'Data shares'!$C$2:$CA$215,77,0)</f>
        <v>6.7999999999999996E-3</v>
      </c>
      <c r="H21" s="86">
        <f>VLOOKUP($A21,'Data shares'!$C:$FA,90)</f>
        <v>4310500</v>
      </c>
      <c r="I21" s="86">
        <f>VLOOKUP($A21,'Data shares'!$C:$FA,92)</f>
        <v>133000</v>
      </c>
      <c r="J21" s="87">
        <f>VLOOKUP($A21,'Data shares'!$C:$FA,93)</f>
        <v>3.1800000000000002E-2</v>
      </c>
      <c r="K21" s="86">
        <f>VLOOKUP($A21,'Data shares'!$C:$FA,94)</f>
        <v>3134000</v>
      </c>
      <c r="L21" s="86">
        <f>VLOOKUP($A21,'Data shares'!$C:$FA,96)</f>
        <v>106500</v>
      </c>
      <c r="M21" s="87">
        <f>VLOOKUP($A21,'Data shares'!$C:$FA,97)</f>
        <v>3.5200000000000002E-2</v>
      </c>
      <c r="N21" s="86">
        <f>VLOOKUP($A21,'Data shares'!$C:$FA,78)</f>
        <v>13093750</v>
      </c>
      <c r="O21" s="87">
        <f>VLOOKUP($A21,'Data shares'!$C:$FA,81)</f>
        <v>6.1000000000000004E-3</v>
      </c>
    </row>
    <row r="22" spans="1:15" x14ac:dyDescent="0.25">
      <c r="A22" s="100" t="str">
        <f>'OI(Value)'!A22</f>
        <v>ASTRAL</v>
      </c>
      <c r="B22" s="82">
        <f>VLOOKUP(A22,'Data shares'!$C$2:$CV$215,98,0)</f>
        <v>11444400</v>
      </c>
      <c r="C22" s="82">
        <f>VLOOKUP(A22,'Data shares'!$C$2:$CX$215,100,0)</f>
        <v>164050</v>
      </c>
      <c r="D22" s="141">
        <f>VLOOKUP(A22,'Data shares'!$C$2:$CY$538,101,0)</f>
        <v>1.4500000000000001E-2</v>
      </c>
      <c r="E22" s="86">
        <f>VLOOKUP($A22,'Data shares'!$C:$FA,74)</f>
        <v>7070725</v>
      </c>
      <c r="F22" s="86">
        <f>VLOOKUP($A22,'Data shares'!$C:$FA,76)</f>
        <v>-51850</v>
      </c>
      <c r="G22" s="87">
        <f>VLOOKUP(A22,'Data shares'!$C$2:$CA$215,77,0)</f>
        <v>-7.3000000000000001E-3</v>
      </c>
      <c r="H22" s="86">
        <f>VLOOKUP($A22,'Data shares'!$C:$FA,90)</f>
        <v>2489225</v>
      </c>
      <c r="I22" s="86">
        <f>VLOOKUP($A22,'Data shares'!$C:$FA,92)</f>
        <v>127500</v>
      </c>
      <c r="J22" s="87">
        <f>VLOOKUP($A22,'Data shares'!$C:$FA,93)</f>
        <v>5.3999999999999999E-2</v>
      </c>
      <c r="K22" s="86">
        <f>VLOOKUP($A22,'Data shares'!$C:$FA,94)</f>
        <v>1884450</v>
      </c>
      <c r="L22" s="86">
        <f>VLOOKUP($A22,'Data shares'!$C:$FA,96)</f>
        <v>88400</v>
      </c>
      <c r="M22" s="87">
        <f>VLOOKUP($A22,'Data shares'!$C:$FA,97)</f>
        <v>4.9200000000000001E-2</v>
      </c>
      <c r="N22" s="86">
        <f>VLOOKUP($A22,'Data shares'!$C:$FA,78)</f>
        <v>6658900</v>
      </c>
      <c r="O22" s="87">
        <f>VLOOKUP($A22,'Data shares'!$C:$FA,81)</f>
        <v>-1.26E-2</v>
      </c>
    </row>
    <row r="23" spans="1:15" x14ac:dyDescent="0.25">
      <c r="A23" s="100" t="str">
        <f>'OI(Value)'!A23</f>
        <v>AUBANK</v>
      </c>
      <c r="B23" s="82">
        <f>VLOOKUP(A23,'Data shares'!$C$2:$CV$215,98,0)</f>
        <v>29066000</v>
      </c>
      <c r="C23" s="82">
        <f>VLOOKUP(A23,'Data shares'!$C$2:$CX$215,100,0)</f>
        <v>222000</v>
      </c>
      <c r="D23" s="141">
        <f>VLOOKUP(A23,'Data shares'!$C$2:$CY$538,101,0)</f>
        <v>7.7000000000000002E-3</v>
      </c>
      <c r="E23" s="86">
        <f>VLOOKUP($A23,'Data shares'!$C:$FA,74)</f>
        <v>19939000</v>
      </c>
      <c r="F23" s="86">
        <f>VLOOKUP($A23,'Data shares'!$C:$FA,76)</f>
        <v>15000</v>
      </c>
      <c r="G23" s="87">
        <f>VLOOKUP(A23,'Data shares'!$C$2:$CA$215,77,0)</f>
        <v>8.0000000000000004E-4</v>
      </c>
      <c r="H23" s="86">
        <f>VLOOKUP($A23,'Data shares'!$C:$FA,90)</f>
        <v>5363000</v>
      </c>
      <c r="I23" s="86">
        <f>VLOOKUP($A23,'Data shares'!$C:$FA,92)</f>
        <v>308000</v>
      </c>
      <c r="J23" s="87">
        <f>VLOOKUP($A23,'Data shares'!$C:$FA,93)</f>
        <v>6.0900000000000003E-2</v>
      </c>
      <c r="K23" s="86">
        <f>VLOOKUP($A23,'Data shares'!$C:$FA,94)</f>
        <v>3764000</v>
      </c>
      <c r="L23" s="86">
        <f>VLOOKUP($A23,'Data shares'!$C:$FA,96)</f>
        <v>-101000</v>
      </c>
      <c r="M23" s="87">
        <f>VLOOKUP($A23,'Data shares'!$C:$FA,97)</f>
        <v>-2.6100000000000002E-2</v>
      </c>
      <c r="N23" s="86">
        <f>VLOOKUP($A23,'Data shares'!$C:$FA,78)</f>
        <v>19447000</v>
      </c>
      <c r="O23" s="87">
        <f>VLOOKUP($A23,'Data shares'!$C:$FA,81)</f>
        <v>2.0000000000000001E-4</v>
      </c>
    </row>
    <row r="24" spans="1:15" x14ac:dyDescent="0.25">
      <c r="A24" s="100" t="str">
        <f>'OI(Value)'!A24</f>
        <v>AUROPHARMA</v>
      </c>
      <c r="B24" s="82">
        <f>VLOOKUP(A24,'Data shares'!$C$2:$CV$215,98,0)</f>
        <v>30742800</v>
      </c>
      <c r="C24" s="82">
        <f>VLOOKUP(A24,'Data shares'!$C$2:$CX$215,100,0)</f>
        <v>1957450</v>
      </c>
      <c r="D24" s="141">
        <f>VLOOKUP(A24,'Data shares'!$C$2:$CY$538,101,0)</f>
        <v>6.8000000000000005E-2</v>
      </c>
      <c r="E24" s="86">
        <f>VLOOKUP($A24,'Data shares'!$C:$FA,74)</f>
        <v>22461450</v>
      </c>
      <c r="F24" s="86">
        <f>VLOOKUP($A24,'Data shares'!$C:$FA,76)</f>
        <v>272250</v>
      </c>
      <c r="G24" s="87">
        <f>VLOOKUP(A24,'Data shares'!$C$2:$CA$215,77,0)</f>
        <v>1.23E-2</v>
      </c>
      <c r="H24" s="86">
        <f>VLOOKUP($A24,'Data shares'!$C:$FA,90)</f>
        <v>5370200</v>
      </c>
      <c r="I24" s="86">
        <f>VLOOKUP($A24,'Data shares'!$C:$FA,92)</f>
        <v>1233100</v>
      </c>
      <c r="J24" s="87">
        <f>VLOOKUP($A24,'Data shares'!$C:$FA,93)</f>
        <v>0.29809999999999998</v>
      </c>
      <c r="K24" s="86">
        <f>VLOOKUP($A24,'Data shares'!$C:$FA,94)</f>
        <v>2911150</v>
      </c>
      <c r="L24" s="86">
        <f>VLOOKUP($A24,'Data shares'!$C:$FA,96)</f>
        <v>452100</v>
      </c>
      <c r="M24" s="87">
        <f>VLOOKUP($A24,'Data shares'!$C:$FA,97)</f>
        <v>0.18390000000000001</v>
      </c>
      <c r="N24" s="86">
        <f>VLOOKUP($A24,'Data shares'!$C:$FA,78)</f>
        <v>22061600</v>
      </c>
      <c r="O24" s="87">
        <f>VLOOKUP($A24,'Data shares'!$C:$FA,81)</f>
        <v>5.8999999999999999E-3</v>
      </c>
    </row>
    <row r="25" spans="1:15" x14ac:dyDescent="0.25">
      <c r="A25" s="100" t="str">
        <f>'OI(Value)'!A25</f>
        <v>AXISBANK</v>
      </c>
      <c r="B25" s="82">
        <f>VLOOKUP(A25,'Data shares'!$C$2:$CV$215,98,0)</f>
        <v>116316250</v>
      </c>
      <c r="C25" s="82">
        <f>VLOOKUP(A25,'Data shares'!$C$2:$CX$215,100,0)</f>
        <v>3190000</v>
      </c>
      <c r="D25" s="141">
        <f>VLOOKUP(A25,'Data shares'!$C$2:$CY$538,101,0)</f>
        <v>2.8199999999999999E-2</v>
      </c>
      <c r="E25" s="86">
        <f>VLOOKUP($A25,'Data shares'!$C:$FA,74)</f>
        <v>72963125</v>
      </c>
      <c r="F25" s="86">
        <f>VLOOKUP($A25,'Data shares'!$C:$FA,76)</f>
        <v>-550625</v>
      </c>
      <c r="G25" s="87">
        <f>VLOOKUP(A25,'Data shares'!$C$2:$CA$215,77,0)</f>
        <v>-7.4999999999999997E-3</v>
      </c>
      <c r="H25" s="86">
        <f>VLOOKUP($A25,'Data shares'!$C:$FA,90)</f>
        <v>28002500</v>
      </c>
      <c r="I25" s="86">
        <f>VLOOKUP($A25,'Data shares'!$C:$FA,92)</f>
        <v>2882500</v>
      </c>
      <c r="J25" s="87">
        <f>VLOOKUP($A25,'Data shares'!$C:$FA,93)</f>
        <v>0.1147</v>
      </c>
      <c r="K25" s="86">
        <f>VLOOKUP($A25,'Data shares'!$C:$FA,94)</f>
        <v>15350625</v>
      </c>
      <c r="L25" s="86">
        <f>VLOOKUP($A25,'Data shares'!$C:$FA,96)</f>
        <v>858125</v>
      </c>
      <c r="M25" s="87">
        <f>VLOOKUP($A25,'Data shares'!$C:$FA,97)</f>
        <v>5.9200000000000003E-2</v>
      </c>
      <c r="N25" s="86">
        <f>VLOOKUP($A25,'Data shares'!$C:$FA,78)</f>
        <v>72419375</v>
      </c>
      <c r="O25" s="87">
        <f>VLOOKUP($A25,'Data shares'!$C:$FA,81)</f>
        <v>-7.7999999999999996E-3</v>
      </c>
    </row>
    <row r="26" spans="1:15" x14ac:dyDescent="0.25">
      <c r="A26" s="100" t="str">
        <f>'OI(Value)'!A26</f>
        <v>BAJAJ-AUTO</v>
      </c>
      <c r="B26" s="82">
        <f>VLOOKUP(A26,'Data shares'!$C$2:$CV$215,98,0)</f>
        <v>6354000</v>
      </c>
      <c r="C26" s="82">
        <f>VLOOKUP(A26,'Data shares'!$C$2:$CX$215,100,0)</f>
        <v>380475</v>
      </c>
      <c r="D26" s="141">
        <f>VLOOKUP(A26,'Data shares'!$C$2:$CY$538,101,0)</f>
        <v>6.3700000000000007E-2</v>
      </c>
      <c r="E26" s="86">
        <f>VLOOKUP($A26,'Data shares'!$C:$FA,74)</f>
        <v>3634500</v>
      </c>
      <c r="F26" s="86">
        <f>VLOOKUP($A26,'Data shares'!$C:$FA,76)</f>
        <v>94200</v>
      </c>
      <c r="G26" s="87">
        <f>VLOOKUP(A26,'Data shares'!$C$2:$CA$215,77,0)</f>
        <v>2.6599999999999999E-2</v>
      </c>
      <c r="H26" s="86">
        <f>VLOOKUP($A26,'Data shares'!$C:$FA,90)</f>
        <v>1495500</v>
      </c>
      <c r="I26" s="86">
        <f>VLOOKUP($A26,'Data shares'!$C:$FA,92)</f>
        <v>128925</v>
      </c>
      <c r="J26" s="87">
        <f>VLOOKUP($A26,'Data shares'!$C:$FA,93)</f>
        <v>9.4299999999999995E-2</v>
      </c>
      <c r="K26" s="86">
        <f>VLOOKUP($A26,'Data shares'!$C:$FA,94)</f>
        <v>1224000</v>
      </c>
      <c r="L26" s="86">
        <f>VLOOKUP($A26,'Data shares'!$C:$FA,96)</f>
        <v>157350</v>
      </c>
      <c r="M26" s="87">
        <f>VLOOKUP($A26,'Data shares'!$C:$FA,97)</f>
        <v>0.14749999999999999</v>
      </c>
      <c r="N26" s="86">
        <f>VLOOKUP($A26,'Data shares'!$C:$FA,78)</f>
        <v>3553725</v>
      </c>
      <c r="O26" s="87">
        <f>VLOOKUP($A26,'Data shares'!$C:$FA,81)</f>
        <v>2.23E-2</v>
      </c>
    </row>
    <row r="27" spans="1:15" x14ac:dyDescent="0.25">
      <c r="A27" s="100" t="str">
        <f>'OI(Value)'!A27</f>
        <v>BAJAJFINSV</v>
      </c>
      <c r="B27" s="82">
        <f>VLOOKUP(A27,'Data shares'!$C$2:$CV$215,98,0)</f>
        <v>25300750</v>
      </c>
      <c r="C27" s="82">
        <f>VLOOKUP(A27,'Data shares'!$C$2:$CX$215,100,0)</f>
        <v>390250</v>
      </c>
      <c r="D27" s="141">
        <f>VLOOKUP(A27,'Data shares'!$C$2:$CY$538,101,0)</f>
        <v>1.5699999999999999E-2</v>
      </c>
      <c r="E27" s="86">
        <f>VLOOKUP($A27,'Data shares'!$C:$FA,74)</f>
        <v>17834750</v>
      </c>
      <c r="F27" s="86">
        <f>VLOOKUP($A27,'Data shares'!$C:$FA,76)</f>
        <v>-63250</v>
      </c>
      <c r="G27" s="87">
        <f>VLOOKUP(A27,'Data shares'!$C$2:$CA$215,77,0)</f>
        <v>-3.5000000000000001E-3</v>
      </c>
      <c r="H27" s="86">
        <f>VLOOKUP($A27,'Data shares'!$C:$FA,90)</f>
        <v>4421000</v>
      </c>
      <c r="I27" s="86">
        <f>VLOOKUP($A27,'Data shares'!$C:$FA,92)</f>
        <v>329500</v>
      </c>
      <c r="J27" s="87">
        <f>VLOOKUP($A27,'Data shares'!$C:$FA,93)</f>
        <v>8.0500000000000002E-2</v>
      </c>
      <c r="K27" s="86">
        <f>VLOOKUP($A27,'Data shares'!$C:$FA,94)</f>
        <v>3045000</v>
      </c>
      <c r="L27" s="86">
        <f>VLOOKUP($A27,'Data shares'!$C:$FA,96)</f>
        <v>124000</v>
      </c>
      <c r="M27" s="87">
        <f>VLOOKUP($A27,'Data shares'!$C:$FA,97)</f>
        <v>4.2500000000000003E-2</v>
      </c>
      <c r="N27" s="86">
        <f>VLOOKUP($A27,'Data shares'!$C:$FA,78)</f>
        <v>17561750</v>
      </c>
      <c r="O27" s="87">
        <f>VLOOKUP($A27,'Data shares'!$C:$FA,81)</f>
        <v>-4.0000000000000001E-3</v>
      </c>
    </row>
    <row r="28" spans="1:15" x14ac:dyDescent="0.25">
      <c r="A28" s="100" t="str">
        <f>'OI(Value)'!A28</f>
        <v>BAJAJHLDNG</v>
      </c>
      <c r="B28" s="82">
        <f>VLOOKUP(A28,'Data shares'!$C$2:$CV$215,98,0)</f>
        <v>189800</v>
      </c>
      <c r="C28" s="82">
        <f>VLOOKUP(A28,'Data shares'!$C$2:$CX$215,100,0)</f>
        <v>200</v>
      </c>
      <c r="D28" s="141">
        <f>VLOOKUP(A28,'Data shares'!$C$2:$CY$538,101,0)</f>
        <v>1.1000000000000001E-3</v>
      </c>
      <c r="E28" s="86">
        <f>VLOOKUP($A28,'Data shares'!$C:$FA,74)</f>
        <v>99200</v>
      </c>
      <c r="F28" s="86">
        <f>VLOOKUP($A28,'Data shares'!$C:$FA,76)</f>
        <v>2550</v>
      </c>
      <c r="G28" s="87">
        <f>VLOOKUP(A28,'Data shares'!$C$2:$CA$215,77,0)</f>
        <v>2.64E-2</v>
      </c>
      <c r="H28" s="86">
        <f>VLOOKUP($A28,'Data shares'!$C:$FA,90)</f>
        <v>62700</v>
      </c>
      <c r="I28" s="86">
        <f>VLOOKUP($A28,'Data shares'!$C:$FA,92)</f>
        <v>250</v>
      </c>
      <c r="J28" s="87">
        <f>VLOOKUP($A28,'Data shares'!$C:$FA,93)</f>
        <v>4.0000000000000001E-3</v>
      </c>
      <c r="K28" s="86">
        <f>VLOOKUP($A28,'Data shares'!$C:$FA,94)</f>
        <v>27900</v>
      </c>
      <c r="L28" s="86">
        <f>VLOOKUP($A28,'Data shares'!$C:$FA,96)</f>
        <v>-2600</v>
      </c>
      <c r="M28" s="87">
        <f>VLOOKUP($A28,'Data shares'!$C:$FA,97)</f>
        <v>-8.5199999999999998E-2</v>
      </c>
      <c r="N28" s="86">
        <f>VLOOKUP($A28,'Data shares'!$C:$FA,78)</f>
        <v>94450</v>
      </c>
      <c r="O28" s="87">
        <f>VLOOKUP($A28,'Data shares'!$C:$FA,81)</f>
        <v>2.4400000000000002E-2</v>
      </c>
    </row>
    <row r="29" spans="1:15" x14ac:dyDescent="0.25">
      <c r="A29" s="100" t="str">
        <f>'OI(Value)'!A29</f>
        <v>BAJFINANCE</v>
      </c>
      <c r="B29" s="82">
        <f>VLOOKUP(A29,'Data shares'!$C$2:$CV$215,98,0)</f>
        <v>147978000</v>
      </c>
      <c r="C29" s="82">
        <f>VLOOKUP(A29,'Data shares'!$C$2:$CX$215,100,0)</f>
        <v>3810000</v>
      </c>
      <c r="D29" s="141">
        <f>VLOOKUP(A29,'Data shares'!$C$2:$CY$538,101,0)</f>
        <v>2.64E-2</v>
      </c>
      <c r="E29" s="86">
        <f>VLOOKUP($A29,'Data shares'!$C:$FA,74)</f>
        <v>98421000</v>
      </c>
      <c r="F29" s="86">
        <f>VLOOKUP($A29,'Data shares'!$C:$FA,76)</f>
        <v>1202250</v>
      </c>
      <c r="G29" s="87">
        <f>VLOOKUP(A29,'Data shares'!$C$2:$CA$215,77,0)</f>
        <v>1.24E-2</v>
      </c>
      <c r="H29" s="86">
        <f>VLOOKUP($A29,'Data shares'!$C:$FA,90)</f>
        <v>29601750</v>
      </c>
      <c r="I29" s="86">
        <f>VLOOKUP($A29,'Data shares'!$C:$FA,92)</f>
        <v>1730250</v>
      </c>
      <c r="J29" s="87">
        <f>VLOOKUP($A29,'Data shares'!$C:$FA,93)</f>
        <v>6.2100000000000002E-2</v>
      </c>
      <c r="K29" s="86">
        <f>VLOOKUP($A29,'Data shares'!$C:$FA,94)</f>
        <v>19955250</v>
      </c>
      <c r="L29" s="86">
        <f>VLOOKUP($A29,'Data shares'!$C:$FA,96)</f>
        <v>877500</v>
      </c>
      <c r="M29" s="87">
        <f>VLOOKUP($A29,'Data shares'!$C:$FA,97)</f>
        <v>4.5999999999999999E-2</v>
      </c>
      <c r="N29" s="86">
        <f>VLOOKUP($A29,'Data shares'!$C:$FA,78)</f>
        <v>96140250</v>
      </c>
      <c r="O29" s="87">
        <f>VLOOKUP($A29,'Data shares'!$C:$FA,81)</f>
        <v>8.6E-3</v>
      </c>
    </row>
    <row r="30" spans="1:15" x14ac:dyDescent="0.25">
      <c r="A30" s="100" t="str">
        <f>'OI(Value)'!A30</f>
        <v>BANDHANBNK</v>
      </c>
      <c r="B30" s="82">
        <f>VLOOKUP(A30,'Data shares'!$C$2:$CV$215,98,0)</f>
        <v>196675200</v>
      </c>
      <c r="C30" s="82">
        <f>VLOOKUP(A30,'Data shares'!$C$2:$CX$215,100,0)</f>
        <v>3344400</v>
      </c>
      <c r="D30" s="141">
        <f>VLOOKUP(A30,'Data shares'!$C$2:$CY$538,101,0)</f>
        <v>1.7299999999999999E-2</v>
      </c>
      <c r="E30" s="86">
        <f>VLOOKUP($A30,'Data shares'!$C:$FA,74)</f>
        <v>131626800</v>
      </c>
      <c r="F30" s="86">
        <f>VLOOKUP($A30,'Data shares'!$C:$FA,76)</f>
        <v>1501200</v>
      </c>
      <c r="G30" s="87">
        <f>VLOOKUP(A30,'Data shares'!$C$2:$CA$215,77,0)</f>
        <v>1.15E-2</v>
      </c>
      <c r="H30" s="86">
        <f>VLOOKUP($A30,'Data shares'!$C:$FA,90)</f>
        <v>33829200</v>
      </c>
      <c r="I30" s="86">
        <f>VLOOKUP($A30,'Data shares'!$C:$FA,92)</f>
        <v>561600</v>
      </c>
      <c r="J30" s="87">
        <f>VLOOKUP($A30,'Data shares'!$C:$FA,93)</f>
        <v>1.6899999999999998E-2</v>
      </c>
      <c r="K30" s="86">
        <f>VLOOKUP($A30,'Data shares'!$C:$FA,94)</f>
        <v>31219200</v>
      </c>
      <c r="L30" s="86">
        <f>VLOOKUP($A30,'Data shares'!$C:$FA,96)</f>
        <v>1281600</v>
      </c>
      <c r="M30" s="87">
        <f>VLOOKUP($A30,'Data shares'!$C:$FA,97)</f>
        <v>4.2799999999999998E-2</v>
      </c>
      <c r="N30" s="86">
        <f>VLOOKUP($A30,'Data shares'!$C:$FA,78)</f>
        <v>124365600</v>
      </c>
      <c r="O30" s="87">
        <f>VLOOKUP($A30,'Data shares'!$C:$FA,81)</f>
        <v>9.7999999999999997E-3</v>
      </c>
    </row>
    <row r="31" spans="1:15" x14ac:dyDescent="0.25">
      <c r="A31" s="100" t="str">
        <f>'OI(Value)'!A31</f>
        <v>BANKBARODA</v>
      </c>
      <c r="B31" s="82">
        <f>VLOOKUP(A31,'Data shares'!$C$2:$CV$215,98,0)</f>
        <v>164118825</v>
      </c>
      <c r="C31" s="82">
        <f>VLOOKUP(A31,'Data shares'!$C$2:$CX$215,100,0)</f>
        <v>13221000</v>
      </c>
      <c r="D31" s="141">
        <f>VLOOKUP(A31,'Data shares'!$C$2:$CY$538,101,0)</f>
        <v>8.7599999999999997E-2</v>
      </c>
      <c r="E31" s="86">
        <f>VLOOKUP($A31,'Data shares'!$C:$FA,74)</f>
        <v>81265275</v>
      </c>
      <c r="F31" s="86">
        <f>VLOOKUP($A31,'Data shares'!$C:$FA,76)</f>
        <v>-2067975</v>
      </c>
      <c r="G31" s="87">
        <f>VLOOKUP(A31,'Data shares'!$C$2:$CA$215,77,0)</f>
        <v>-2.4799999999999999E-2</v>
      </c>
      <c r="H31" s="86">
        <f>VLOOKUP($A31,'Data shares'!$C:$FA,90)</f>
        <v>50862825</v>
      </c>
      <c r="I31" s="86">
        <f>VLOOKUP($A31,'Data shares'!$C:$FA,92)</f>
        <v>13364325</v>
      </c>
      <c r="J31" s="87">
        <f>VLOOKUP($A31,'Data shares'!$C:$FA,93)</f>
        <v>0.35639999999999999</v>
      </c>
      <c r="K31" s="86">
        <f>VLOOKUP($A31,'Data shares'!$C:$FA,94)</f>
        <v>31990725</v>
      </c>
      <c r="L31" s="86">
        <f>VLOOKUP($A31,'Data shares'!$C:$FA,96)</f>
        <v>1924650</v>
      </c>
      <c r="M31" s="87">
        <f>VLOOKUP($A31,'Data shares'!$C:$FA,97)</f>
        <v>6.4000000000000001E-2</v>
      </c>
      <c r="N31" s="86">
        <f>VLOOKUP($A31,'Data shares'!$C:$FA,78)</f>
        <v>79048125</v>
      </c>
      <c r="O31" s="87">
        <f>VLOOKUP($A31,'Data shares'!$C:$FA,81)</f>
        <v>-2.6100000000000002E-2</v>
      </c>
    </row>
    <row r="32" spans="1:15" x14ac:dyDescent="0.25">
      <c r="A32" s="100" t="str">
        <f>'OI(Value)'!A32</f>
        <v>BANKINDIA</v>
      </c>
      <c r="B32" s="82">
        <f>VLOOKUP(A32,'Data shares'!$C$2:$CV$215,98,0)</f>
        <v>86273200</v>
      </c>
      <c r="C32" s="82">
        <f>VLOOKUP(A32,'Data shares'!$C$2:$CX$215,100,0)</f>
        <v>2251600</v>
      </c>
      <c r="D32" s="141">
        <f>VLOOKUP(A32,'Data shares'!$C$2:$CY$538,101,0)</f>
        <v>2.6800000000000001E-2</v>
      </c>
      <c r="E32" s="86">
        <f>VLOOKUP($A32,'Data shares'!$C:$FA,74)</f>
        <v>52369200</v>
      </c>
      <c r="F32" s="86">
        <f>VLOOKUP($A32,'Data shares'!$C:$FA,76)</f>
        <v>707200</v>
      </c>
      <c r="G32" s="87">
        <f>VLOOKUP(A32,'Data shares'!$C$2:$CA$215,77,0)</f>
        <v>1.37E-2</v>
      </c>
      <c r="H32" s="86">
        <f>VLOOKUP($A32,'Data shares'!$C:$FA,90)</f>
        <v>18366400</v>
      </c>
      <c r="I32" s="86">
        <f>VLOOKUP($A32,'Data shares'!$C:$FA,92)</f>
        <v>1118000</v>
      </c>
      <c r="J32" s="87">
        <f>VLOOKUP($A32,'Data shares'!$C:$FA,93)</f>
        <v>6.4799999999999996E-2</v>
      </c>
      <c r="K32" s="86">
        <f>VLOOKUP($A32,'Data shares'!$C:$FA,94)</f>
        <v>15537600</v>
      </c>
      <c r="L32" s="86">
        <f>VLOOKUP($A32,'Data shares'!$C:$FA,96)</f>
        <v>426400</v>
      </c>
      <c r="M32" s="87">
        <f>VLOOKUP($A32,'Data shares'!$C:$FA,97)</f>
        <v>2.8199999999999999E-2</v>
      </c>
      <c r="N32" s="86">
        <f>VLOOKUP($A32,'Data shares'!$C:$FA,78)</f>
        <v>50809200</v>
      </c>
      <c r="O32" s="87">
        <f>VLOOKUP($A32,'Data shares'!$C:$FA,81)</f>
        <v>1.1599999999999999E-2</v>
      </c>
    </row>
    <row r="33" spans="1:15" x14ac:dyDescent="0.25">
      <c r="A33" s="100" t="str">
        <f>'OI(Value)'!A33</f>
        <v>BANKNIFTY</v>
      </c>
      <c r="B33" s="82">
        <f>VLOOKUP(A33,'Data shares'!$C$2:$CV$215,98,0)</f>
        <v>28568300</v>
      </c>
      <c r="C33" s="82">
        <f>VLOOKUP(A33,'Data shares'!$C$2:$CX$215,100,0)</f>
        <v>274920</v>
      </c>
      <c r="D33" s="141">
        <f>VLOOKUP(A33,'Data shares'!$C$2:$CY$538,101,0)</f>
        <v>9.7000000000000003E-3</v>
      </c>
      <c r="E33" s="86">
        <f>VLOOKUP($A33,'Data shares'!$C:$FA,74)</f>
        <v>1406130</v>
      </c>
      <c r="F33" s="86">
        <f>VLOOKUP($A33,'Data shares'!$C:$FA,76)</f>
        <v>-161070</v>
      </c>
      <c r="G33" s="87">
        <f>VLOOKUP(A33,'Data shares'!$C$2:$CA$215,77,0)</f>
        <v>-0.1028</v>
      </c>
      <c r="H33" s="86">
        <f>VLOOKUP($A33,'Data shares'!$C:$FA,90)</f>
        <v>12968860</v>
      </c>
      <c r="I33" s="86">
        <f>VLOOKUP($A33,'Data shares'!$C:$FA,92)</f>
        <v>539955</v>
      </c>
      <c r="J33" s="87">
        <f>VLOOKUP($A33,'Data shares'!$C:$FA,93)</f>
        <v>4.3400000000000001E-2</v>
      </c>
      <c r="K33" s="86">
        <f>VLOOKUP($A33,'Data shares'!$C:$FA,94)</f>
        <v>14193310</v>
      </c>
      <c r="L33" s="86">
        <f>VLOOKUP($A33,'Data shares'!$C:$FA,96)</f>
        <v>-103965</v>
      </c>
      <c r="M33" s="87">
        <f>VLOOKUP($A33,'Data shares'!$C:$FA,97)</f>
        <v>-7.3000000000000001E-3</v>
      </c>
      <c r="N33" s="86">
        <f>VLOOKUP($A33,'Data shares'!$C:$FA,78)</f>
        <v>1278960</v>
      </c>
      <c r="O33" s="87">
        <f>VLOOKUP($A33,'Data shares'!$C:$FA,81)</f>
        <v>-0.1099</v>
      </c>
    </row>
    <row r="34" spans="1:15" x14ac:dyDescent="0.25">
      <c r="A34" s="100" t="str">
        <f>'OI(Value)'!A34</f>
        <v>BDL</v>
      </c>
      <c r="B34" s="82">
        <f>VLOOKUP(A34,'Data shares'!$C$2:$CV$215,98,0)</f>
        <v>11521300</v>
      </c>
      <c r="C34" s="82">
        <f>VLOOKUP(A34,'Data shares'!$C$2:$CX$215,100,0)</f>
        <v>9100</v>
      </c>
      <c r="D34" s="141">
        <f>VLOOKUP(A34,'Data shares'!$C$2:$CY$538,101,0)</f>
        <v>8.0000000000000004E-4</v>
      </c>
      <c r="E34" s="86">
        <f>VLOOKUP($A34,'Data shares'!$C:$FA,74)</f>
        <v>5087950</v>
      </c>
      <c r="F34" s="86">
        <f>VLOOKUP($A34,'Data shares'!$C:$FA,76)</f>
        <v>-170450</v>
      </c>
      <c r="G34" s="87">
        <f>VLOOKUP(A34,'Data shares'!$C$2:$CA$215,77,0)</f>
        <v>-3.2399999999999998E-2</v>
      </c>
      <c r="H34" s="86">
        <f>VLOOKUP($A34,'Data shares'!$C:$FA,90)</f>
        <v>3663800</v>
      </c>
      <c r="I34" s="86">
        <f>VLOOKUP($A34,'Data shares'!$C:$FA,92)</f>
        <v>243600</v>
      </c>
      <c r="J34" s="87">
        <f>VLOOKUP($A34,'Data shares'!$C:$FA,93)</f>
        <v>7.1199999999999999E-2</v>
      </c>
      <c r="K34" s="86">
        <f>VLOOKUP($A34,'Data shares'!$C:$FA,94)</f>
        <v>2769550</v>
      </c>
      <c r="L34" s="86">
        <f>VLOOKUP($A34,'Data shares'!$C:$FA,96)</f>
        <v>-64050</v>
      </c>
      <c r="M34" s="87">
        <f>VLOOKUP($A34,'Data shares'!$C:$FA,97)</f>
        <v>-2.2599999999999999E-2</v>
      </c>
      <c r="N34" s="86">
        <f>VLOOKUP($A34,'Data shares'!$C:$FA,78)</f>
        <v>4539850</v>
      </c>
      <c r="O34" s="87">
        <f>VLOOKUP($A34,'Data shares'!$C:$FA,81)</f>
        <v>-3.9100000000000003E-2</v>
      </c>
    </row>
    <row r="35" spans="1:15" x14ac:dyDescent="0.25">
      <c r="A35" s="100" t="str">
        <f>'OI(Value)'!A35</f>
        <v>BEL</v>
      </c>
      <c r="B35" s="82">
        <f>VLOOKUP(A35,'Data shares'!$C$2:$CV$215,98,0)</f>
        <v>202141950</v>
      </c>
      <c r="C35" s="82">
        <f>VLOOKUP(A35,'Data shares'!$C$2:$CX$215,100,0)</f>
        <v>1596000</v>
      </c>
      <c r="D35" s="141">
        <f>VLOOKUP(A35,'Data shares'!$C$2:$CY$538,101,0)</f>
        <v>8.0000000000000002E-3</v>
      </c>
      <c r="E35" s="86">
        <f>VLOOKUP($A35,'Data shares'!$C:$FA,74)</f>
        <v>120405375</v>
      </c>
      <c r="F35" s="86">
        <f>VLOOKUP($A35,'Data shares'!$C:$FA,76)</f>
        <v>183825</v>
      </c>
      <c r="G35" s="87">
        <f>VLOOKUP(A35,'Data shares'!$C$2:$CA$215,77,0)</f>
        <v>1.5E-3</v>
      </c>
      <c r="H35" s="86">
        <f>VLOOKUP($A35,'Data shares'!$C:$FA,90)</f>
        <v>49035675</v>
      </c>
      <c r="I35" s="86">
        <f>VLOOKUP($A35,'Data shares'!$C:$FA,92)</f>
        <v>1065900</v>
      </c>
      <c r="J35" s="87">
        <f>VLOOKUP($A35,'Data shares'!$C:$FA,93)</f>
        <v>2.2200000000000001E-2</v>
      </c>
      <c r="K35" s="86">
        <f>VLOOKUP($A35,'Data shares'!$C:$FA,94)</f>
        <v>32700900</v>
      </c>
      <c r="L35" s="86">
        <f>VLOOKUP($A35,'Data shares'!$C:$FA,96)</f>
        <v>346275</v>
      </c>
      <c r="M35" s="87">
        <f>VLOOKUP($A35,'Data shares'!$C:$FA,97)</f>
        <v>1.0699999999999999E-2</v>
      </c>
      <c r="N35" s="86">
        <f>VLOOKUP($A35,'Data shares'!$C:$FA,78)</f>
        <v>114477375</v>
      </c>
      <c r="O35" s="87">
        <f>VLOOKUP($A35,'Data shares'!$C:$FA,81)</f>
        <v>8.9999999999999998E-4</v>
      </c>
    </row>
    <row r="36" spans="1:15" x14ac:dyDescent="0.25">
      <c r="A36" s="100" t="str">
        <f>'OI(Value)'!A36</f>
        <v>BHARATFORG</v>
      </c>
      <c r="B36" s="82">
        <f>VLOOKUP(A36,'Data shares'!$C$2:$CV$215,98,0)</f>
        <v>12495500</v>
      </c>
      <c r="C36" s="82">
        <f>VLOOKUP(A36,'Data shares'!$C$2:$CX$215,100,0)</f>
        <v>-439000</v>
      </c>
      <c r="D36" s="141">
        <f>VLOOKUP(A36,'Data shares'!$C$2:$CY$538,101,0)</f>
        <v>-3.39E-2</v>
      </c>
      <c r="E36" s="86">
        <f>VLOOKUP($A36,'Data shares'!$C:$FA,74)</f>
        <v>7597500</v>
      </c>
      <c r="F36" s="86">
        <f>VLOOKUP($A36,'Data shares'!$C:$FA,76)</f>
        <v>-401500</v>
      </c>
      <c r="G36" s="87">
        <f>VLOOKUP(A36,'Data shares'!$C$2:$CA$215,77,0)</f>
        <v>-5.0200000000000002E-2</v>
      </c>
      <c r="H36" s="86">
        <f>VLOOKUP($A36,'Data shares'!$C:$FA,90)</f>
        <v>2975500</v>
      </c>
      <c r="I36" s="86">
        <f>VLOOKUP($A36,'Data shares'!$C:$FA,92)</f>
        <v>35000</v>
      </c>
      <c r="J36" s="87">
        <f>VLOOKUP($A36,'Data shares'!$C:$FA,93)</f>
        <v>1.1900000000000001E-2</v>
      </c>
      <c r="K36" s="86">
        <f>VLOOKUP($A36,'Data shares'!$C:$FA,94)</f>
        <v>1922500</v>
      </c>
      <c r="L36" s="86">
        <f>VLOOKUP($A36,'Data shares'!$C:$FA,96)</f>
        <v>-72500</v>
      </c>
      <c r="M36" s="87">
        <f>VLOOKUP($A36,'Data shares'!$C:$FA,97)</f>
        <v>-3.6299999999999999E-2</v>
      </c>
      <c r="N36" s="86">
        <f>VLOOKUP($A36,'Data shares'!$C:$FA,78)</f>
        <v>7442500</v>
      </c>
      <c r="O36" s="87">
        <f>VLOOKUP($A36,'Data shares'!$C:$FA,81)</f>
        <v>-5.1900000000000002E-2</v>
      </c>
    </row>
    <row r="37" spans="1:15" x14ac:dyDescent="0.25">
      <c r="A37" s="100" t="str">
        <f>'OI(Value)'!A37</f>
        <v>BHARTIARTL</v>
      </c>
      <c r="B37" s="82">
        <f>VLOOKUP(A37,'Data shares'!$C$2:$CV$215,98,0)</f>
        <v>64173925</v>
      </c>
      <c r="C37" s="82">
        <f>VLOOKUP(A37,'Data shares'!$C$2:$CX$215,100,0)</f>
        <v>1500525</v>
      </c>
      <c r="D37" s="141">
        <f>VLOOKUP(A37,'Data shares'!$C$2:$CY$538,101,0)</f>
        <v>2.3900000000000001E-2</v>
      </c>
      <c r="E37" s="86">
        <f>VLOOKUP($A37,'Data shares'!$C:$FA,74)</f>
        <v>49459850</v>
      </c>
      <c r="F37" s="86">
        <f>VLOOKUP($A37,'Data shares'!$C:$FA,76)</f>
        <v>183350</v>
      </c>
      <c r="G37" s="87">
        <f>VLOOKUP(A37,'Data shares'!$C$2:$CA$215,77,0)</f>
        <v>3.7000000000000002E-3</v>
      </c>
      <c r="H37" s="86">
        <f>VLOOKUP($A37,'Data shares'!$C:$FA,90)</f>
        <v>9284350</v>
      </c>
      <c r="I37" s="86">
        <f>VLOOKUP($A37,'Data shares'!$C:$FA,92)</f>
        <v>1095825</v>
      </c>
      <c r="J37" s="87">
        <f>VLOOKUP($A37,'Data shares'!$C:$FA,93)</f>
        <v>0.1338</v>
      </c>
      <c r="K37" s="86">
        <f>VLOOKUP($A37,'Data shares'!$C:$FA,94)</f>
        <v>5429725</v>
      </c>
      <c r="L37" s="86">
        <f>VLOOKUP($A37,'Data shares'!$C:$FA,96)</f>
        <v>221350</v>
      </c>
      <c r="M37" s="87">
        <f>VLOOKUP($A37,'Data shares'!$C:$FA,97)</f>
        <v>4.2500000000000003E-2</v>
      </c>
      <c r="N37" s="86">
        <f>VLOOKUP($A37,'Data shares'!$C:$FA,78)</f>
        <v>47088175</v>
      </c>
      <c r="O37" s="87">
        <f>VLOOKUP($A37,'Data shares'!$C:$FA,81)</f>
        <v>2.3E-3</v>
      </c>
    </row>
    <row r="38" spans="1:15" x14ac:dyDescent="0.25">
      <c r="A38" s="100" t="str">
        <f>'OI(Value)'!A38</f>
        <v>BHEL</v>
      </c>
      <c r="B38" s="82">
        <f>VLOOKUP(A38,'Data shares'!$C$2:$CV$215,98,0)</f>
        <v>139174875</v>
      </c>
      <c r="C38" s="82">
        <f>VLOOKUP(A38,'Data shares'!$C$2:$CX$215,100,0)</f>
        <v>3362625</v>
      </c>
      <c r="D38" s="141">
        <f>VLOOKUP(A38,'Data shares'!$C$2:$CY$538,101,0)</f>
        <v>2.4799999999999999E-2</v>
      </c>
      <c r="E38" s="86">
        <f>VLOOKUP($A38,'Data shares'!$C:$FA,74)</f>
        <v>75736500</v>
      </c>
      <c r="F38" s="86">
        <f>VLOOKUP($A38,'Data shares'!$C:$FA,76)</f>
        <v>28875</v>
      </c>
      <c r="G38" s="87">
        <f>VLOOKUP(A38,'Data shares'!$C$2:$CA$215,77,0)</f>
        <v>4.0000000000000002E-4</v>
      </c>
      <c r="H38" s="86">
        <f>VLOOKUP($A38,'Data shares'!$C:$FA,90)</f>
        <v>37432500</v>
      </c>
      <c r="I38" s="86">
        <f>VLOOKUP($A38,'Data shares'!$C:$FA,92)</f>
        <v>1627500</v>
      </c>
      <c r="J38" s="87">
        <f>VLOOKUP($A38,'Data shares'!$C:$FA,93)</f>
        <v>4.5499999999999999E-2</v>
      </c>
      <c r="K38" s="86">
        <f>VLOOKUP($A38,'Data shares'!$C:$FA,94)</f>
        <v>26005875</v>
      </c>
      <c r="L38" s="86">
        <f>VLOOKUP($A38,'Data shares'!$C:$FA,96)</f>
        <v>1706250</v>
      </c>
      <c r="M38" s="87">
        <f>VLOOKUP($A38,'Data shares'!$C:$FA,97)</f>
        <v>7.0199999999999999E-2</v>
      </c>
      <c r="N38" s="86">
        <f>VLOOKUP($A38,'Data shares'!$C:$FA,78)</f>
        <v>73381875</v>
      </c>
      <c r="O38" s="87">
        <f>VLOOKUP($A38,'Data shares'!$C:$FA,81)</f>
        <v>-1E-3</v>
      </c>
    </row>
    <row r="39" spans="1:15" x14ac:dyDescent="0.25">
      <c r="A39" s="100" t="str">
        <f>'OI(Value)'!A39</f>
        <v>BIOCON</v>
      </c>
      <c r="B39" s="82">
        <f>VLOOKUP(A39,'Data shares'!$C$2:$CV$215,98,0)</f>
        <v>77155000</v>
      </c>
      <c r="C39" s="82">
        <f>VLOOKUP(A39,'Data shares'!$C$2:$CX$215,100,0)</f>
        <v>5780000</v>
      </c>
      <c r="D39" s="141">
        <f>VLOOKUP(A39,'Data shares'!$C$2:$CY$538,101,0)</f>
        <v>8.1000000000000003E-2</v>
      </c>
      <c r="E39" s="86">
        <f>VLOOKUP($A39,'Data shares'!$C:$FA,74)</f>
        <v>47197500</v>
      </c>
      <c r="F39" s="86">
        <f>VLOOKUP($A39,'Data shares'!$C:$FA,76)</f>
        <v>2017500</v>
      </c>
      <c r="G39" s="87">
        <f>VLOOKUP(A39,'Data shares'!$C$2:$CA$215,77,0)</f>
        <v>4.4699999999999997E-2</v>
      </c>
      <c r="H39" s="86">
        <f>VLOOKUP($A39,'Data shares'!$C:$FA,90)</f>
        <v>19415000</v>
      </c>
      <c r="I39" s="86">
        <f>VLOOKUP($A39,'Data shares'!$C:$FA,92)</f>
        <v>2647500</v>
      </c>
      <c r="J39" s="87">
        <f>VLOOKUP($A39,'Data shares'!$C:$FA,93)</f>
        <v>0.15790000000000001</v>
      </c>
      <c r="K39" s="86">
        <f>VLOOKUP($A39,'Data shares'!$C:$FA,94)</f>
        <v>10542500</v>
      </c>
      <c r="L39" s="86">
        <f>VLOOKUP($A39,'Data shares'!$C:$FA,96)</f>
        <v>1115000</v>
      </c>
      <c r="M39" s="87">
        <f>VLOOKUP($A39,'Data shares'!$C:$FA,97)</f>
        <v>0.1183</v>
      </c>
      <c r="N39" s="86">
        <f>VLOOKUP($A39,'Data shares'!$C:$FA,78)</f>
        <v>45630000</v>
      </c>
      <c r="O39" s="87">
        <f>VLOOKUP($A39,'Data shares'!$C:$FA,81)</f>
        <v>3.6400000000000002E-2</v>
      </c>
    </row>
    <row r="40" spans="1:15" x14ac:dyDescent="0.25">
      <c r="A40" s="100" t="str">
        <f>'OI(Value)'!A40</f>
        <v>BLUESTARCO</v>
      </c>
      <c r="B40" s="82">
        <f>VLOOKUP(A40,'Data shares'!$C$2:$CV$215,98,0)</f>
        <v>3553550</v>
      </c>
      <c r="C40" s="82">
        <f>VLOOKUP(A40,'Data shares'!$C$2:$CX$215,100,0)</f>
        <v>233025</v>
      </c>
      <c r="D40" s="141">
        <f>VLOOKUP(A40,'Data shares'!$C$2:$CY$538,101,0)</f>
        <v>7.0199999999999999E-2</v>
      </c>
      <c r="E40" s="86">
        <f>VLOOKUP($A40,'Data shares'!$C:$FA,74)</f>
        <v>2485275</v>
      </c>
      <c r="F40" s="86">
        <f>VLOOKUP($A40,'Data shares'!$C:$FA,76)</f>
        <v>1300</v>
      </c>
      <c r="G40" s="87">
        <f>VLOOKUP(A40,'Data shares'!$C$2:$CA$215,77,0)</f>
        <v>5.0000000000000001E-4</v>
      </c>
      <c r="H40" s="86">
        <f>VLOOKUP($A40,'Data shares'!$C:$FA,90)</f>
        <v>607425</v>
      </c>
      <c r="I40" s="86">
        <f>VLOOKUP($A40,'Data shares'!$C:$FA,92)</f>
        <v>136175</v>
      </c>
      <c r="J40" s="87">
        <f>VLOOKUP($A40,'Data shares'!$C:$FA,93)</f>
        <v>0.28899999999999998</v>
      </c>
      <c r="K40" s="86">
        <f>VLOOKUP($A40,'Data shares'!$C:$FA,94)</f>
        <v>460850</v>
      </c>
      <c r="L40" s="86">
        <f>VLOOKUP($A40,'Data shares'!$C:$FA,96)</f>
        <v>95550</v>
      </c>
      <c r="M40" s="87">
        <f>VLOOKUP($A40,'Data shares'!$C:$FA,97)</f>
        <v>0.2616</v>
      </c>
      <c r="N40" s="86">
        <f>VLOOKUP($A40,'Data shares'!$C:$FA,78)</f>
        <v>2373475</v>
      </c>
      <c r="O40" s="87">
        <f>VLOOKUP($A40,'Data shares'!$C:$FA,81)</f>
        <v>-3.4299999999999997E-2</v>
      </c>
    </row>
    <row r="41" spans="1:15" x14ac:dyDescent="0.25">
      <c r="A41" s="100" t="str">
        <f>'OI(Value)'!A41</f>
        <v>BOSCHLTD</v>
      </c>
      <c r="B41" s="82">
        <f>VLOOKUP(A41,'Data shares'!$C$2:$CV$215,98,0)</f>
        <v>615850</v>
      </c>
      <c r="C41" s="82">
        <f>VLOOKUP(A41,'Data shares'!$C$2:$CX$215,100,0)</f>
        <v>-4475</v>
      </c>
      <c r="D41" s="141">
        <f>VLOOKUP(A41,'Data shares'!$C$2:$CY$538,101,0)</f>
        <v>-7.1999999999999998E-3</v>
      </c>
      <c r="E41" s="86">
        <f>VLOOKUP($A41,'Data shares'!$C:$FA,74)</f>
        <v>197500</v>
      </c>
      <c r="F41" s="86">
        <f>VLOOKUP($A41,'Data shares'!$C:$FA,76)</f>
        <v>6325</v>
      </c>
      <c r="G41" s="87">
        <f>VLOOKUP(A41,'Data shares'!$C$2:$CA$215,77,0)</f>
        <v>3.3099999999999997E-2</v>
      </c>
      <c r="H41" s="86">
        <f>VLOOKUP($A41,'Data shares'!$C:$FA,90)</f>
        <v>243175</v>
      </c>
      <c r="I41" s="86">
        <f>VLOOKUP($A41,'Data shares'!$C:$FA,92)</f>
        <v>-2125</v>
      </c>
      <c r="J41" s="87">
        <f>VLOOKUP($A41,'Data shares'!$C:$FA,93)</f>
        <v>-8.6999999999999994E-3</v>
      </c>
      <c r="K41" s="86">
        <f>VLOOKUP($A41,'Data shares'!$C:$FA,94)</f>
        <v>175175</v>
      </c>
      <c r="L41" s="86">
        <f>VLOOKUP($A41,'Data shares'!$C:$FA,96)</f>
        <v>-8675</v>
      </c>
      <c r="M41" s="87">
        <f>VLOOKUP($A41,'Data shares'!$C:$FA,97)</f>
        <v>-4.7199999999999999E-2</v>
      </c>
      <c r="N41" s="86">
        <f>VLOOKUP($A41,'Data shares'!$C:$FA,78)</f>
        <v>192925</v>
      </c>
      <c r="O41" s="87">
        <f>VLOOKUP($A41,'Data shares'!$C:$FA,81)</f>
        <v>3.1699999999999999E-2</v>
      </c>
    </row>
    <row r="42" spans="1:15" x14ac:dyDescent="0.25">
      <c r="A42" s="100" t="str">
        <f>'OI(Value)'!A42</f>
        <v>BPCL</v>
      </c>
      <c r="B42" s="82">
        <f>VLOOKUP(A42,'Data shares'!$C$2:$CV$215,98,0)</f>
        <v>54826000</v>
      </c>
      <c r="C42" s="82">
        <f>VLOOKUP(A42,'Data shares'!$C$2:$CX$215,100,0)</f>
        <v>1775525</v>
      </c>
      <c r="D42" s="141">
        <f>VLOOKUP(A42,'Data shares'!$C$2:$CY$538,101,0)</f>
        <v>3.3500000000000002E-2</v>
      </c>
      <c r="E42" s="86">
        <f>VLOOKUP($A42,'Data shares'!$C:$FA,74)</f>
        <v>29763250</v>
      </c>
      <c r="F42" s="86">
        <f>VLOOKUP($A42,'Data shares'!$C:$FA,76)</f>
        <v>165900</v>
      </c>
      <c r="G42" s="87">
        <f>VLOOKUP(A42,'Data shares'!$C$2:$CA$215,77,0)</f>
        <v>5.5999999999999999E-3</v>
      </c>
      <c r="H42" s="86">
        <f>VLOOKUP($A42,'Data shares'!$C:$FA,90)</f>
        <v>15626200</v>
      </c>
      <c r="I42" s="86">
        <f>VLOOKUP($A42,'Data shares'!$C:$FA,92)</f>
        <v>1072425</v>
      </c>
      <c r="J42" s="87">
        <f>VLOOKUP($A42,'Data shares'!$C:$FA,93)</f>
        <v>7.3700000000000002E-2</v>
      </c>
      <c r="K42" s="86">
        <f>VLOOKUP($A42,'Data shares'!$C:$FA,94)</f>
        <v>9436550</v>
      </c>
      <c r="L42" s="86">
        <f>VLOOKUP($A42,'Data shares'!$C:$FA,96)</f>
        <v>537200</v>
      </c>
      <c r="M42" s="87">
        <f>VLOOKUP($A42,'Data shares'!$C:$FA,97)</f>
        <v>6.0400000000000002E-2</v>
      </c>
      <c r="N42" s="86">
        <f>VLOOKUP($A42,'Data shares'!$C:$FA,78)</f>
        <v>28118075</v>
      </c>
      <c r="O42" s="87">
        <f>VLOOKUP($A42,'Data shares'!$C:$FA,81)</f>
        <v>2.3E-3</v>
      </c>
    </row>
    <row r="43" spans="1:15" x14ac:dyDescent="0.25">
      <c r="A43" s="100" t="str">
        <f>'OI(Value)'!A43</f>
        <v>BRITANNIA</v>
      </c>
      <c r="B43" s="82">
        <f>VLOOKUP(A43,'Data shares'!$C$2:$CV$215,98,0)</f>
        <v>4293750</v>
      </c>
      <c r="C43" s="82">
        <f>VLOOKUP(A43,'Data shares'!$C$2:$CX$215,100,0)</f>
        <v>126250</v>
      </c>
      <c r="D43" s="141">
        <f>VLOOKUP(A43,'Data shares'!$C$2:$CY$538,101,0)</f>
        <v>3.0300000000000001E-2</v>
      </c>
      <c r="E43" s="86">
        <f>VLOOKUP($A43,'Data shares'!$C:$FA,74)</f>
        <v>3007625</v>
      </c>
      <c r="F43" s="86">
        <f>VLOOKUP($A43,'Data shares'!$C:$FA,76)</f>
        <v>-32875</v>
      </c>
      <c r="G43" s="87">
        <f>VLOOKUP(A43,'Data shares'!$C$2:$CA$215,77,0)</f>
        <v>-1.0800000000000001E-2</v>
      </c>
      <c r="H43" s="86">
        <f>VLOOKUP($A43,'Data shares'!$C:$FA,90)</f>
        <v>768250</v>
      </c>
      <c r="I43" s="86">
        <f>VLOOKUP($A43,'Data shares'!$C:$FA,92)</f>
        <v>79875</v>
      </c>
      <c r="J43" s="87">
        <f>VLOOKUP($A43,'Data shares'!$C:$FA,93)</f>
        <v>0.11600000000000001</v>
      </c>
      <c r="K43" s="86">
        <f>VLOOKUP($A43,'Data shares'!$C:$FA,94)</f>
        <v>517875</v>
      </c>
      <c r="L43" s="86">
        <f>VLOOKUP($A43,'Data shares'!$C:$FA,96)</f>
        <v>79250</v>
      </c>
      <c r="M43" s="87">
        <f>VLOOKUP($A43,'Data shares'!$C:$FA,97)</f>
        <v>0.1807</v>
      </c>
      <c r="N43" s="86">
        <f>VLOOKUP($A43,'Data shares'!$C:$FA,78)</f>
        <v>2988875</v>
      </c>
      <c r="O43" s="87">
        <f>VLOOKUP($A43,'Data shares'!$C:$FA,81)</f>
        <v>-1.0699999999999999E-2</v>
      </c>
    </row>
    <row r="44" spans="1:15" x14ac:dyDescent="0.25">
      <c r="A44" s="100" t="str">
        <f>'OI(Value)'!A44</f>
        <v>BSE</v>
      </c>
      <c r="B44" s="82">
        <f>VLOOKUP(A44,'Data shares'!$C$2:$CV$215,98,0)</f>
        <v>23466750</v>
      </c>
      <c r="C44" s="82">
        <f>VLOOKUP(A44,'Data shares'!$C$2:$CX$215,100,0)</f>
        <v>-588000</v>
      </c>
      <c r="D44" s="141">
        <f>VLOOKUP(A44,'Data shares'!$C$2:$CY$538,101,0)</f>
        <v>-2.4400000000000002E-2</v>
      </c>
      <c r="E44" s="86">
        <f>VLOOKUP($A44,'Data shares'!$C:$FA,74)</f>
        <v>12354375</v>
      </c>
      <c r="F44" s="86">
        <f>VLOOKUP($A44,'Data shares'!$C:$FA,76)</f>
        <v>-73500</v>
      </c>
      <c r="G44" s="87">
        <f>VLOOKUP(A44,'Data shares'!$C$2:$CA$215,77,0)</f>
        <v>-5.8999999999999999E-3</v>
      </c>
      <c r="H44" s="86">
        <f>VLOOKUP($A44,'Data shares'!$C:$FA,90)</f>
        <v>6314250</v>
      </c>
      <c r="I44" s="86">
        <f>VLOOKUP($A44,'Data shares'!$C:$FA,92)</f>
        <v>-526500</v>
      </c>
      <c r="J44" s="87">
        <f>VLOOKUP($A44,'Data shares'!$C:$FA,93)</f>
        <v>-7.6999999999999999E-2</v>
      </c>
      <c r="K44" s="86">
        <f>VLOOKUP($A44,'Data shares'!$C:$FA,94)</f>
        <v>4798125</v>
      </c>
      <c r="L44" s="86">
        <f>VLOOKUP($A44,'Data shares'!$C:$FA,96)</f>
        <v>12000</v>
      </c>
      <c r="M44" s="87">
        <f>VLOOKUP($A44,'Data shares'!$C:$FA,97)</f>
        <v>2.5000000000000001E-3</v>
      </c>
      <c r="N44" s="86">
        <f>VLOOKUP($A44,'Data shares'!$C:$FA,78)</f>
        <v>11785125</v>
      </c>
      <c r="O44" s="87">
        <f>VLOOKUP($A44,'Data shares'!$C:$FA,81)</f>
        <v>-6.6E-3</v>
      </c>
    </row>
    <row r="45" spans="1:15" x14ac:dyDescent="0.25">
      <c r="A45" s="100" t="str">
        <f>'OI(Value)'!A45</f>
        <v>CAMS</v>
      </c>
      <c r="B45" s="82">
        <f>VLOOKUP(A45,'Data shares'!$C$2:$CV$215,98,0)</f>
        <v>13011000</v>
      </c>
      <c r="C45" s="82">
        <f>VLOOKUP(A45,'Data shares'!$C$2:$CX$215,100,0)</f>
        <v>226500</v>
      </c>
      <c r="D45" s="141">
        <f>VLOOKUP(A45,'Data shares'!$C$2:$CY$538,101,0)</f>
        <v>1.77E-2</v>
      </c>
      <c r="E45" s="86">
        <f>VLOOKUP($A45,'Data shares'!$C:$FA,74)</f>
        <v>7685250</v>
      </c>
      <c r="F45" s="86">
        <f>VLOOKUP($A45,'Data shares'!$C:$FA,76)</f>
        <v>-52500</v>
      </c>
      <c r="G45" s="87">
        <f>VLOOKUP(A45,'Data shares'!$C$2:$CA$215,77,0)</f>
        <v>-6.7999999999999996E-3</v>
      </c>
      <c r="H45" s="86">
        <f>VLOOKUP($A45,'Data shares'!$C:$FA,90)</f>
        <v>2765250</v>
      </c>
      <c r="I45" s="86">
        <f>VLOOKUP($A45,'Data shares'!$C:$FA,92)</f>
        <v>177000</v>
      </c>
      <c r="J45" s="87">
        <f>VLOOKUP($A45,'Data shares'!$C:$FA,93)</f>
        <v>6.8400000000000002E-2</v>
      </c>
      <c r="K45" s="86">
        <f>VLOOKUP($A45,'Data shares'!$C:$FA,94)</f>
        <v>2560500</v>
      </c>
      <c r="L45" s="86">
        <f>VLOOKUP($A45,'Data shares'!$C:$FA,96)</f>
        <v>102000</v>
      </c>
      <c r="M45" s="87">
        <f>VLOOKUP($A45,'Data shares'!$C:$FA,97)</f>
        <v>4.1500000000000002E-2</v>
      </c>
      <c r="N45" s="86">
        <f>VLOOKUP($A45,'Data shares'!$C:$FA,78)</f>
        <v>7187250</v>
      </c>
      <c r="O45" s="87">
        <f>VLOOKUP($A45,'Data shares'!$C:$FA,81)</f>
        <v>-1.04E-2</v>
      </c>
    </row>
    <row r="46" spans="1:15" x14ac:dyDescent="0.25">
      <c r="A46" s="100" t="str">
        <f>'OI(Value)'!A46</f>
        <v>CANBK</v>
      </c>
      <c r="B46" s="82">
        <f>VLOOKUP(A46,'Data shares'!$C$2:$CV$215,98,0)</f>
        <v>315447750</v>
      </c>
      <c r="C46" s="82">
        <f>VLOOKUP(A46,'Data shares'!$C$2:$CX$215,100,0)</f>
        <v>19676250</v>
      </c>
      <c r="D46" s="141">
        <f>VLOOKUP(A46,'Data shares'!$C$2:$CY$538,101,0)</f>
        <v>6.6500000000000004E-2</v>
      </c>
      <c r="E46" s="86">
        <f>VLOOKUP($A46,'Data shares'!$C:$FA,74)</f>
        <v>150511500</v>
      </c>
      <c r="F46" s="86">
        <f>VLOOKUP($A46,'Data shares'!$C:$FA,76)</f>
        <v>4806000</v>
      </c>
      <c r="G46" s="87">
        <f>VLOOKUP(A46,'Data shares'!$C$2:$CA$215,77,0)</f>
        <v>3.3000000000000002E-2</v>
      </c>
      <c r="H46" s="86">
        <f>VLOOKUP($A46,'Data shares'!$C:$FA,90)</f>
        <v>95154750</v>
      </c>
      <c r="I46" s="86">
        <f>VLOOKUP($A46,'Data shares'!$C:$FA,92)</f>
        <v>10968750</v>
      </c>
      <c r="J46" s="87">
        <f>VLOOKUP($A46,'Data shares'!$C:$FA,93)</f>
        <v>0.1303</v>
      </c>
      <c r="K46" s="86">
        <f>VLOOKUP($A46,'Data shares'!$C:$FA,94)</f>
        <v>69781500</v>
      </c>
      <c r="L46" s="86">
        <f>VLOOKUP($A46,'Data shares'!$C:$FA,96)</f>
        <v>3901500</v>
      </c>
      <c r="M46" s="87">
        <f>VLOOKUP($A46,'Data shares'!$C:$FA,97)</f>
        <v>5.9200000000000003E-2</v>
      </c>
      <c r="N46" s="86">
        <f>VLOOKUP($A46,'Data shares'!$C:$FA,78)</f>
        <v>141756750</v>
      </c>
      <c r="O46" s="87">
        <f>VLOOKUP($A46,'Data shares'!$C:$FA,81)</f>
        <v>3.0200000000000001E-2</v>
      </c>
    </row>
    <row r="47" spans="1:15" x14ac:dyDescent="0.25">
      <c r="A47" s="100" t="str">
        <f>'OI(Value)'!A47</f>
        <v>CDSL</v>
      </c>
      <c r="B47" s="82">
        <f>VLOOKUP(A47,'Data shares'!$C$2:$CV$215,98,0)</f>
        <v>22692650</v>
      </c>
      <c r="C47" s="82">
        <f>VLOOKUP(A47,'Data shares'!$C$2:$CX$215,100,0)</f>
        <v>-224200</v>
      </c>
      <c r="D47" s="141">
        <f>VLOOKUP(A47,'Data shares'!$C$2:$CY$538,101,0)</f>
        <v>-9.7999999999999997E-3</v>
      </c>
      <c r="E47" s="86">
        <f>VLOOKUP($A47,'Data shares'!$C:$FA,74)</f>
        <v>10926900</v>
      </c>
      <c r="F47" s="86">
        <f>VLOOKUP($A47,'Data shares'!$C:$FA,76)</f>
        <v>-285000</v>
      </c>
      <c r="G47" s="87">
        <f>VLOOKUP(A47,'Data shares'!$C$2:$CA$215,77,0)</f>
        <v>-2.5399999999999999E-2</v>
      </c>
      <c r="H47" s="86">
        <f>VLOOKUP($A47,'Data shares'!$C:$FA,90)</f>
        <v>7017650</v>
      </c>
      <c r="I47" s="86">
        <f>VLOOKUP($A47,'Data shares'!$C:$FA,92)</f>
        <v>197125</v>
      </c>
      <c r="J47" s="87">
        <f>VLOOKUP($A47,'Data shares'!$C:$FA,93)</f>
        <v>2.8899999999999999E-2</v>
      </c>
      <c r="K47" s="86">
        <f>VLOOKUP($A47,'Data shares'!$C:$FA,94)</f>
        <v>4748100</v>
      </c>
      <c r="L47" s="86">
        <f>VLOOKUP($A47,'Data shares'!$C:$FA,96)</f>
        <v>-136325</v>
      </c>
      <c r="M47" s="87">
        <f>VLOOKUP($A47,'Data shares'!$C:$FA,97)</f>
        <v>-2.7900000000000001E-2</v>
      </c>
      <c r="N47" s="86">
        <f>VLOOKUP($A47,'Data shares'!$C:$FA,78)</f>
        <v>10191125</v>
      </c>
      <c r="O47" s="87">
        <f>VLOOKUP($A47,'Data shares'!$C:$FA,81)</f>
        <v>-2.5999999999999999E-2</v>
      </c>
    </row>
    <row r="48" spans="1:15" x14ac:dyDescent="0.25">
      <c r="A48" s="100" t="str">
        <f>'OI(Value)'!A48</f>
        <v>CGPOWER</v>
      </c>
      <c r="B48" s="82">
        <f>VLOOKUP(A48,'Data shares'!$C$2:$CV$215,98,0)</f>
        <v>25033350</v>
      </c>
      <c r="C48" s="82">
        <f>VLOOKUP(A48,'Data shares'!$C$2:$CX$215,100,0)</f>
        <v>968150</v>
      </c>
      <c r="D48" s="141">
        <f>VLOOKUP(A48,'Data shares'!$C$2:$CY$538,101,0)</f>
        <v>4.02E-2</v>
      </c>
      <c r="E48" s="86">
        <f>VLOOKUP($A48,'Data shares'!$C:$FA,74)</f>
        <v>16184850</v>
      </c>
      <c r="F48" s="86">
        <f>VLOOKUP($A48,'Data shares'!$C:$FA,76)</f>
        <v>351900</v>
      </c>
      <c r="G48" s="87">
        <f>VLOOKUP(A48,'Data shares'!$C$2:$CA$215,77,0)</f>
        <v>2.2200000000000001E-2</v>
      </c>
      <c r="H48" s="86">
        <f>VLOOKUP($A48,'Data shares'!$C:$FA,90)</f>
        <v>5376250</v>
      </c>
      <c r="I48" s="86">
        <f>VLOOKUP($A48,'Data shares'!$C:$FA,92)</f>
        <v>527850</v>
      </c>
      <c r="J48" s="87">
        <f>VLOOKUP($A48,'Data shares'!$C:$FA,93)</f>
        <v>0.1089</v>
      </c>
      <c r="K48" s="86">
        <f>VLOOKUP($A48,'Data shares'!$C:$FA,94)</f>
        <v>3472250</v>
      </c>
      <c r="L48" s="86">
        <f>VLOOKUP($A48,'Data shares'!$C:$FA,96)</f>
        <v>88400</v>
      </c>
      <c r="M48" s="87">
        <f>VLOOKUP($A48,'Data shares'!$C:$FA,97)</f>
        <v>2.6100000000000002E-2</v>
      </c>
      <c r="N48" s="86">
        <f>VLOOKUP($A48,'Data shares'!$C:$FA,78)</f>
        <v>15609400</v>
      </c>
      <c r="O48" s="87">
        <f>VLOOKUP($A48,'Data shares'!$C:$FA,81)</f>
        <v>1.9900000000000001E-2</v>
      </c>
    </row>
    <row r="49" spans="1:15" x14ac:dyDescent="0.25">
      <c r="A49" s="100" t="str">
        <f>'OI(Value)'!A49</f>
        <v>CHOLAFIN</v>
      </c>
      <c r="B49" s="82">
        <f>VLOOKUP(A49,'Data shares'!$C$2:$CV$215,98,0)</f>
        <v>21136250</v>
      </c>
      <c r="C49" s="82">
        <f>VLOOKUP(A49,'Data shares'!$C$2:$CX$215,100,0)</f>
        <v>-80000</v>
      </c>
      <c r="D49" s="141">
        <f>VLOOKUP(A49,'Data shares'!$C$2:$CY$538,101,0)</f>
        <v>-3.8E-3</v>
      </c>
      <c r="E49" s="86">
        <f>VLOOKUP($A49,'Data shares'!$C:$FA,74)</f>
        <v>11300000</v>
      </c>
      <c r="F49" s="86">
        <f>VLOOKUP($A49,'Data shares'!$C:$FA,76)</f>
        <v>-203125</v>
      </c>
      <c r="G49" s="87">
        <f>VLOOKUP(A49,'Data shares'!$C$2:$CA$215,77,0)</f>
        <v>-1.77E-2</v>
      </c>
      <c r="H49" s="86">
        <f>VLOOKUP($A49,'Data shares'!$C:$FA,90)</f>
        <v>5303125</v>
      </c>
      <c r="I49" s="86">
        <f>VLOOKUP($A49,'Data shares'!$C:$FA,92)</f>
        <v>153125</v>
      </c>
      <c r="J49" s="87">
        <f>VLOOKUP($A49,'Data shares'!$C:$FA,93)</f>
        <v>2.9700000000000001E-2</v>
      </c>
      <c r="K49" s="86">
        <f>VLOOKUP($A49,'Data shares'!$C:$FA,94)</f>
        <v>4533125</v>
      </c>
      <c r="L49" s="86">
        <f>VLOOKUP($A49,'Data shares'!$C:$FA,96)</f>
        <v>-30000</v>
      </c>
      <c r="M49" s="87">
        <f>VLOOKUP($A49,'Data shares'!$C:$FA,97)</f>
        <v>-6.6E-3</v>
      </c>
      <c r="N49" s="86">
        <f>VLOOKUP($A49,'Data shares'!$C:$FA,78)</f>
        <v>11099375</v>
      </c>
      <c r="O49" s="87">
        <f>VLOOKUP($A49,'Data shares'!$C:$FA,81)</f>
        <v>-1.8200000000000001E-2</v>
      </c>
    </row>
    <row r="50" spans="1:15" x14ac:dyDescent="0.25">
      <c r="A50" s="100" t="str">
        <f>'OI(Value)'!A50</f>
        <v>CIPLA</v>
      </c>
      <c r="B50" s="82">
        <f>VLOOKUP(A50,'Data shares'!$C$2:$CV$215,98,0)</f>
        <v>23972250</v>
      </c>
      <c r="C50" s="82">
        <f>VLOOKUP(A50,'Data shares'!$C$2:$CX$215,100,0)</f>
        <v>5802375</v>
      </c>
      <c r="D50" s="141">
        <f>VLOOKUP(A50,'Data shares'!$C$2:$CY$538,101,0)</f>
        <v>0.31929999999999997</v>
      </c>
      <c r="E50" s="86">
        <f>VLOOKUP($A50,'Data shares'!$C:$FA,74)</f>
        <v>13503375</v>
      </c>
      <c r="F50" s="86">
        <f>VLOOKUP($A50,'Data shares'!$C:$FA,76)</f>
        <v>1446375</v>
      </c>
      <c r="G50" s="87">
        <f>VLOOKUP(A50,'Data shares'!$C$2:$CA$215,77,0)</f>
        <v>0.12</v>
      </c>
      <c r="H50" s="86">
        <f>VLOOKUP($A50,'Data shares'!$C:$FA,90)</f>
        <v>5962500</v>
      </c>
      <c r="I50" s="86">
        <f>VLOOKUP($A50,'Data shares'!$C:$FA,92)</f>
        <v>2488500</v>
      </c>
      <c r="J50" s="87">
        <f>VLOOKUP($A50,'Data shares'!$C:$FA,93)</f>
        <v>0.71630000000000005</v>
      </c>
      <c r="K50" s="86">
        <f>VLOOKUP($A50,'Data shares'!$C:$FA,94)</f>
        <v>4506375</v>
      </c>
      <c r="L50" s="86">
        <f>VLOOKUP($A50,'Data shares'!$C:$FA,96)</f>
        <v>1867500</v>
      </c>
      <c r="M50" s="87">
        <f>VLOOKUP($A50,'Data shares'!$C:$FA,97)</f>
        <v>0.7077</v>
      </c>
      <c r="N50" s="86">
        <f>VLOOKUP($A50,'Data shares'!$C:$FA,78)</f>
        <v>13117875</v>
      </c>
      <c r="O50" s="87">
        <f>VLOOKUP($A50,'Data shares'!$C:$FA,81)</f>
        <v>0.1021</v>
      </c>
    </row>
    <row r="51" spans="1:15" x14ac:dyDescent="0.25">
      <c r="A51" s="100" t="str">
        <f>'OI(Value)'!A51</f>
        <v>COALINDIA</v>
      </c>
      <c r="B51" s="82">
        <f>VLOOKUP(A51,'Data shares'!$C$2:$CV$215,98,0)</f>
        <v>129543300</v>
      </c>
      <c r="C51" s="82">
        <f>VLOOKUP(A51,'Data shares'!$C$2:$CX$215,100,0)</f>
        <v>1875150</v>
      </c>
      <c r="D51" s="141">
        <f>VLOOKUP(A51,'Data shares'!$C$2:$CY$538,101,0)</f>
        <v>1.47E-2</v>
      </c>
      <c r="E51" s="86">
        <f>VLOOKUP($A51,'Data shares'!$C:$FA,74)</f>
        <v>53866350</v>
      </c>
      <c r="F51" s="86">
        <f>VLOOKUP($A51,'Data shares'!$C:$FA,76)</f>
        <v>-1144800</v>
      </c>
      <c r="G51" s="87">
        <f>VLOOKUP(A51,'Data shares'!$C$2:$CA$215,77,0)</f>
        <v>-2.0799999999999999E-2</v>
      </c>
      <c r="H51" s="86">
        <f>VLOOKUP($A51,'Data shares'!$C:$FA,90)</f>
        <v>48363750</v>
      </c>
      <c r="I51" s="86">
        <f>VLOOKUP($A51,'Data shares'!$C:$FA,92)</f>
        <v>1949400</v>
      </c>
      <c r="J51" s="87">
        <f>VLOOKUP($A51,'Data shares'!$C:$FA,93)</f>
        <v>4.2000000000000003E-2</v>
      </c>
      <c r="K51" s="86">
        <f>VLOOKUP($A51,'Data shares'!$C:$FA,94)</f>
        <v>27313200</v>
      </c>
      <c r="L51" s="86">
        <f>VLOOKUP($A51,'Data shares'!$C:$FA,96)</f>
        <v>1070550</v>
      </c>
      <c r="M51" s="87">
        <f>VLOOKUP($A51,'Data shares'!$C:$FA,97)</f>
        <v>4.0800000000000003E-2</v>
      </c>
      <c r="N51" s="86">
        <f>VLOOKUP($A51,'Data shares'!$C:$FA,78)</f>
        <v>50319900</v>
      </c>
      <c r="O51" s="87">
        <f>VLOOKUP($A51,'Data shares'!$C:$FA,81)</f>
        <v>-2.2800000000000001E-2</v>
      </c>
    </row>
    <row r="52" spans="1:15" x14ac:dyDescent="0.25">
      <c r="A52" s="100" t="str">
        <f>'OI(Value)'!A52</f>
        <v>COFORGE</v>
      </c>
      <c r="B52" s="82">
        <f>VLOOKUP(A52,'Data shares'!$C$2:$CV$215,98,0)</f>
        <v>32281875</v>
      </c>
      <c r="C52" s="82">
        <f>VLOOKUP(A52,'Data shares'!$C$2:$CX$215,100,0)</f>
        <v>-1096875</v>
      </c>
      <c r="D52" s="141">
        <f>VLOOKUP(A52,'Data shares'!$C$2:$CY$538,101,0)</f>
        <v>-3.2899999999999999E-2</v>
      </c>
      <c r="E52" s="86">
        <f>VLOOKUP($A52,'Data shares'!$C:$FA,74)</f>
        <v>16648500</v>
      </c>
      <c r="F52" s="86">
        <f>VLOOKUP($A52,'Data shares'!$C:$FA,76)</f>
        <v>-415125</v>
      </c>
      <c r="G52" s="87">
        <f>VLOOKUP(A52,'Data shares'!$C$2:$CA$215,77,0)</f>
        <v>-2.4299999999999999E-2</v>
      </c>
      <c r="H52" s="86">
        <f>VLOOKUP($A52,'Data shares'!$C:$FA,90)</f>
        <v>10458750</v>
      </c>
      <c r="I52" s="86">
        <f>VLOOKUP($A52,'Data shares'!$C:$FA,92)</f>
        <v>-501750</v>
      </c>
      <c r="J52" s="87">
        <f>VLOOKUP($A52,'Data shares'!$C:$FA,93)</f>
        <v>-4.58E-2</v>
      </c>
      <c r="K52" s="86">
        <f>VLOOKUP($A52,'Data shares'!$C:$FA,94)</f>
        <v>5174625</v>
      </c>
      <c r="L52" s="86">
        <f>VLOOKUP($A52,'Data shares'!$C:$FA,96)</f>
        <v>-180000</v>
      </c>
      <c r="M52" s="87">
        <f>VLOOKUP($A52,'Data shares'!$C:$FA,97)</f>
        <v>-3.3599999999999998E-2</v>
      </c>
      <c r="N52" s="86">
        <f>VLOOKUP($A52,'Data shares'!$C:$FA,78)</f>
        <v>16043625</v>
      </c>
      <c r="O52" s="87">
        <f>VLOOKUP($A52,'Data shares'!$C:$FA,81)</f>
        <v>-2.46E-2</v>
      </c>
    </row>
    <row r="53" spans="1:15" x14ac:dyDescent="0.25">
      <c r="A53" s="100" t="str">
        <f>'OI(Value)'!A53</f>
        <v>COLPAL</v>
      </c>
      <c r="B53" s="82">
        <f>VLOOKUP(A53,'Data shares'!$C$2:$CV$215,98,0)</f>
        <v>11213775</v>
      </c>
      <c r="C53" s="82">
        <f>VLOOKUP(A53,'Data shares'!$C$2:$CX$215,100,0)</f>
        <v>309825</v>
      </c>
      <c r="D53" s="141">
        <f>VLOOKUP(A53,'Data shares'!$C$2:$CY$538,101,0)</f>
        <v>2.8400000000000002E-2</v>
      </c>
      <c r="E53" s="86">
        <f>VLOOKUP($A53,'Data shares'!$C:$FA,74)</f>
        <v>7048800</v>
      </c>
      <c r="F53" s="86">
        <f>VLOOKUP($A53,'Data shares'!$C:$FA,76)</f>
        <v>97875</v>
      </c>
      <c r="G53" s="87">
        <f>VLOOKUP(A53,'Data shares'!$C$2:$CA$215,77,0)</f>
        <v>1.41E-2</v>
      </c>
      <c r="H53" s="86">
        <f>VLOOKUP($A53,'Data shares'!$C:$FA,90)</f>
        <v>2585025</v>
      </c>
      <c r="I53" s="86">
        <f>VLOOKUP($A53,'Data shares'!$C:$FA,92)</f>
        <v>176400</v>
      </c>
      <c r="J53" s="87">
        <f>VLOOKUP($A53,'Data shares'!$C:$FA,93)</f>
        <v>7.3200000000000001E-2</v>
      </c>
      <c r="K53" s="86">
        <f>VLOOKUP($A53,'Data shares'!$C:$FA,94)</f>
        <v>1579950</v>
      </c>
      <c r="L53" s="86">
        <f>VLOOKUP($A53,'Data shares'!$C:$FA,96)</f>
        <v>35550</v>
      </c>
      <c r="M53" s="87">
        <f>VLOOKUP($A53,'Data shares'!$C:$FA,97)</f>
        <v>2.3E-2</v>
      </c>
      <c r="N53" s="86">
        <f>VLOOKUP($A53,'Data shares'!$C:$FA,78)</f>
        <v>6714000</v>
      </c>
      <c r="O53" s="87">
        <f>VLOOKUP($A53,'Data shares'!$C:$FA,81)</f>
        <v>7.4999999999999997E-3</v>
      </c>
    </row>
    <row r="54" spans="1:15" x14ac:dyDescent="0.25">
      <c r="A54" s="100" t="str">
        <f>'OI(Value)'!A54</f>
        <v>CONCOR</v>
      </c>
      <c r="B54" s="82">
        <f>VLOOKUP(A54,'Data shares'!$C$2:$CV$215,98,0)</f>
        <v>56627500</v>
      </c>
      <c r="C54" s="82">
        <f>VLOOKUP(A54,'Data shares'!$C$2:$CX$215,100,0)</f>
        <v>-250000</v>
      </c>
      <c r="D54" s="141">
        <f>VLOOKUP(A54,'Data shares'!$C$2:$CY$538,101,0)</f>
        <v>-4.4000000000000003E-3</v>
      </c>
      <c r="E54" s="86">
        <f>VLOOKUP($A54,'Data shares'!$C:$FA,74)</f>
        <v>34863750</v>
      </c>
      <c r="F54" s="86">
        <f>VLOOKUP($A54,'Data shares'!$C:$FA,76)</f>
        <v>-591250</v>
      </c>
      <c r="G54" s="87">
        <f>VLOOKUP(A54,'Data shares'!$C$2:$CA$215,77,0)</f>
        <v>-1.67E-2</v>
      </c>
      <c r="H54" s="86">
        <f>VLOOKUP($A54,'Data shares'!$C:$FA,90)</f>
        <v>13023750</v>
      </c>
      <c r="I54" s="86">
        <f>VLOOKUP($A54,'Data shares'!$C:$FA,92)</f>
        <v>138750</v>
      </c>
      <c r="J54" s="87">
        <f>VLOOKUP($A54,'Data shares'!$C:$FA,93)</f>
        <v>1.0800000000000001E-2</v>
      </c>
      <c r="K54" s="86">
        <f>VLOOKUP($A54,'Data shares'!$C:$FA,94)</f>
        <v>8740000</v>
      </c>
      <c r="L54" s="86">
        <f>VLOOKUP($A54,'Data shares'!$C:$FA,96)</f>
        <v>202500</v>
      </c>
      <c r="M54" s="87">
        <f>VLOOKUP($A54,'Data shares'!$C:$FA,97)</f>
        <v>2.3699999999999999E-2</v>
      </c>
      <c r="N54" s="86">
        <f>VLOOKUP($A54,'Data shares'!$C:$FA,78)</f>
        <v>31875000</v>
      </c>
      <c r="O54" s="87">
        <f>VLOOKUP($A54,'Data shares'!$C:$FA,81)</f>
        <v>-2.3699999999999999E-2</v>
      </c>
    </row>
    <row r="55" spans="1:15" x14ac:dyDescent="0.25">
      <c r="A55" s="100" t="str">
        <f>'OI(Value)'!A55</f>
        <v>CROMPTON</v>
      </c>
      <c r="B55" s="82">
        <f>VLOOKUP(A55,'Data shares'!$C$2:$CV$215,98,0)</f>
        <v>83824200</v>
      </c>
      <c r="C55" s="82">
        <f>VLOOKUP(A55,'Data shares'!$C$2:$CX$215,100,0)</f>
        <v>-1094400</v>
      </c>
      <c r="D55" s="141">
        <f>VLOOKUP(A55,'Data shares'!$C$2:$CY$538,101,0)</f>
        <v>-1.29E-2</v>
      </c>
      <c r="E55" s="86">
        <f>VLOOKUP($A55,'Data shares'!$C:$FA,74)</f>
        <v>56109600</v>
      </c>
      <c r="F55" s="86">
        <f>VLOOKUP($A55,'Data shares'!$C:$FA,76)</f>
        <v>-919800</v>
      </c>
      <c r="G55" s="87">
        <f>VLOOKUP(A55,'Data shares'!$C$2:$CA$215,77,0)</f>
        <v>-1.61E-2</v>
      </c>
      <c r="H55" s="86">
        <f>VLOOKUP($A55,'Data shares'!$C:$FA,90)</f>
        <v>16520400</v>
      </c>
      <c r="I55" s="86">
        <f>VLOOKUP($A55,'Data shares'!$C:$FA,92)</f>
        <v>-498600</v>
      </c>
      <c r="J55" s="87">
        <f>VLOOKUP($A55,'Data shares'!$C:$FA,93)</f>
        <v>-2.93E-2</v>
      </c>
      <c r="K55" s="86">
        <f>VLOOKUP($A55,'Data shares'!$C:$FA,94)</f>
        <v>11194200</v>
      </c>
      <c r="L55" s="86">
        <f>VLOOKUP($A55,'Data shares'!$C:$FA,96)</f>
        <v>324000</v>
      </c>
      <c r="M55" s="87">
        <f>VLOOKUP($A55,'Data shares'!$C:$FA,97)</f>
        <v>2.98E-2</v>
      </c>
      <c r="N55" s="86">
        <f>VLOOKUP($A55,'Data shares'!$C:$FA,78)</f>
        <v>53530200</v>
      </c>
      <c r="O55" s="87">
        <f>VLOOKUP($A55,'Data shares'!$C:$FA,81)</f>
        <v>-1.7000000000000001E-2</v>
      </c>
    </row>
    <row r="56" spans="1:15" x14ac:dyDescent="0.25">
      <c r="A56" s="100" t="str">
        <f>'OI(Value)'!A56</f>
        <v>CUMMINSIND</v>
      </c>
      <c r="B56" s="82">
        <f>VLOOKUP(A56,'Data shares'!$C$2:$CV$215,98,0)</f>
        <v>6087200</v>
      </c>
      <c r="C56" s="82">
        <f>VLOOKUP(A56,'Data shares'!$C$2:$CX$215,100,0)</f>
        <v>94600</v>
      </c>
      <c r="D56" s="141">
        <f>VLOOKUP(A56,'Data shares'!$C$2:$CY$538,101,0)</f>
        <v>1.5800000000000002E-2</v>
      </c>
      <c r="E56" s="86">
        <f>VLOOKUP($A56,'Data shares'!$C:$FA,74)</f>
        <v>3611200</v>
      </c>
      <c r="F56" s="86">
        <f>VLOOKUP($A56,'Data shares'!$C:$FA,76)</f>
        <v>58000</v>
      </c>
      <c r="G56" s="87">
        <f>VLOOKUP(A56,'Data shares'!$C$2:$CA$215,77,0)</f>
        <v>1.6299999999999999E-2</v>
      </c>
      <c r="H56" s="86">
        <f>VLOOKUP($A56,'Data shares'!$C:$FA,90)</f>
        <v>1582800</v>
      </c>
      <c r="I56" s="86">
        <f>VLOOKUP($A56,'Data shares'!$C:$FA,92)</f>
        <v>-12400</v>
      </c>
      <c r="J56" s="87">
        <f>VLOOKUP($A56,'Data shares'!$C:$FA,93)</f>
        <v>-7.7999999999999996E-3</v>
      </c>
      <c r="K56" s="86">
        <f>VLOOKUP($A56,'Data shares'!$C:$FA,94)</f>
        <v>893200</v>
      </c>
      <c r="L56" s="86">
        <f>VLOOKUP($A56,'Data shares'!$C:$FA,96)</f>
        <v>49000</v>
      </c>
      <c r="M56" s="87">
        <f>VLOOKUP($A56,'Data shares'!$C:$FA,97)</f>
        <v>5.8000000000000003E-2</v>
      </c>
      <c r="N56" s="86">
        <f>VLOOKUP($A56,'Data shares'!$C:$FA,78)</f>
        <v>3522400</v>
      </c>
      <c r="O56" s="87">
        <f>VLOOKUP($A56,'Data shares'!$C:$FA,81)</f>
        <v>1.49E-2</v>
      </c>
    </row>
    <row r="57" spans="1:15" x14ac:dyDescent="0.25">
      <c r="A57" s="100" t="str">
        <f>'OI(Value)'!A57</f>
        <v>DABUR</v>
      </c>
      <c r="B57" s="82">
        <f>VLOOKUP(A57,'Data shares'!$C$2:$CV$215,98,0)</f>
        <v>47967500</v>
      </c>
      <c r="C57" s="82">
        <f>VLOOKUP(A57,'Data shares'!$C$2:$CX$215,100,0)</f>
        <v>-463750</v>
      </c>
      <c r="D57" s="141">
        <f>VLOOKUP(A57,'Data shares'!$C$2:$CY$538,101,0)</f>
        <v>-9.5999999999999992E-3</v>
      </c>
      <c r="E57" s="86">
        <f>VLOOKUP($A57,'Data shares'!$C:$FA,74)</f>
        <v>22783750</v>
      </c>
      <c r="F57" s="86">
        <f>VLOOKUP($A57,'Data shares'!$C:$FA,76)</f>
        <v>-367500</v>
      </c>
      <c r="G57" s="87">
        <f>VLOOKUP(A57,'Data shares'!$C$2:$CA$215,77,0)</f>
        <v>-1.5900000000000001E-2</v>
      </c>
      <c r="H57" s="86">
        <f>VLOOKUP($A57,'Data shares'!$C:$FA,90)</f>
        <v>15272500</v>
      </c>
      <c r="I57" s="86">
        <f>VLOOKUP($A57,'Data shares'!$C:$FA,92)</f>
        <v>-60000</v>
      </c>
      <c r="J57" s="87">
        <f>VLOOKUP($A57,'Data shares'!$C:$FA,93)</f>
        <v>-3.8999999999999998E-3</v>
      </c>
      <c r="K57" s="86">
        <f>VLOOKUP($A57,'Data shares'!$C:$FA,94)</f>
        <v>9911250</v>
      </c>
      <c r="L57" s="86">
        <f>VLOOKUP($A57,'Data shares'!$C:$FA,96)</f>
        <v>-36250</v>
      </c>
      <c r="M57" s="87">
        <f>VLOOKUP($A57,'Data shares'!$C:$FA,97)</f>
        <v>-3.5999999999999999E-3</v>
      </c>
      <c r="N57" s="86">
        <f>VLOOKUP($A57,'Data shares'!$C:$FA,78)</f>
        <v>22297500</v>
      </c>
      <c r="O57" s="87">
        <f>VLOOKUP($A57,'Data shares'!$C:$FA,81)</f>
        <v>-1.6500000000000001E-2</v>
      </c>
    </row>
    <row r="58" spans="1:15" x14ac:dyDescent="0.25">
      <c r="A58" s="100" t="str">
        <f>'OI(Value)'!A58</f>
        <v>DALBHARAT</v>
      </c>
      <c r="B58" s="82">
        <f>VLOOKUP(A58,'Data shares'!$C$2:$CV$215,98,0)</f>
        <v>4249700</v>
      </c>
      <c r="C58" s="82">
        <f>VLOOKUP(A58,'Data shares'!$C$2:$CX$215,100,0)</f>
        <v>74425</v>
      </c>
      <c r="D58" s="141">
        <f>VLOOKUP(A58,'Data shares'!$C$2:$CY$538,101,0)</f>
        <v>1.78E-2</v>
      </c>
      <c r="E58" s="86">
        <f>VLOOKUP($A58,'Data shares'!$C:$FA,74)</f>
        <v>2757300</v>
      </c>
      <c r="F58" s="86">
        <f>VLOOKUP($A58,'Data shares'!$C:$FA,76)</f>
        <v>-46800</v>
      </c>
      <c r="G58" s="87">
        <f>VLOOKUP(A58,'Data shares'!$C$2:$CA$215,77,0)</f>
        <v>-1.67E-2</v>
      </c>
      <c r="H58" s="86">
        <f>VLOOKUP($A58,'Data shares'!$C:$FA,90)</f>
        <v>936975</v>
      </c>
      <c r="I58" s="86">
        <f>VLOOKUP($A58,'Data shares'!$C:$FA,92)</f>
        <v>52650</v>
      </c>
      <c r="J58" s="87">
        <f>VLOOKUP($A58,'Data shares'!$C:$FA,93)</f>
        <v>5.9499999999999997E-2</v>
      </c>
      <c r="K58" s="86">
        <f>VLOOKUP($A58,'Data shares'!$C:$FA,94)</f>
        <v>555425</v>
      </c>
      <c r="L58" s="86">
        <f>VLOOKUP($A58,'Data shares'!$C:$FA,96)</f>
        <v>68575</v>
      </c>
      <c r="M58" s="87">
        <f>VLOOKUP($A58,'Data shares'!$C:$FA,97)</f>
        <v>0.1409</v>
      </c>
      <c r="N58" s="86">
        <f>VLOOKUP($A58,'Data shares'!$C:$FA,78)</f>
        <v>2684500</v>
      </c>
      <c r="O58" s="87">
        <f>VLOOKUP($A58,'Data shares'!$C:$FA,81)</f>
        <v>-1.9099999999999999E-2</v>
      </c>
    </row>
    <row r="59" spans="1:15" x14ac:dyDescent="0.25">
      <c r="A59" s="100" t="str">
        <f>'OI(Value)'!A59</f>
        <v>DELHIVERY</v>
      </c>
      <c r="B59" s="82">
        <f>VLOOKUP(A59,'Data shares'!$C$2:$CV$215,98,0)</f>
        <v>33173025</v>
      </c>
      <c r="C59" s="82">
        <f>VLOOKUP(A59,'Data shares'!$C$2:$CX$215,100,0)</f>
        <v>2994225</v>
      </c>
      <c r="D59" s="141">
        <f>VLOOKUP(A59,'Data shares'!$C$2:$CY$538,101,0)</f>
        <v>9.9199999999999997E-2</v>
      </c>
      <c r="E59" s="86">
        <f>VLOOKUP($A59,'Data shares'!$C:$FA,74)</f>
        <v>21604900</v>
      </c>
      <c r="F59" s="86">
        <f>VLOOKUP($A59,'Data shares'!$C:$FA,76)</f>
        <v>1464950</v>
      </c>
      <c r="G59" s="87">
        <f>VLOOKUP(A59,'Data shares'!$C$2:$CA$215,77,0)</f>
        <v>7.2700000000000001E-2</v>
      </c>
      <c r="H59" s="86">
        <f>VLOOKUP($A59,'Data shares'!$C:$FA,90)</f>
        <v>6550775</v>
      </c>
      <c r="I59" s="86">
        <f>VLOOKUP($A59,'Data shares'!$C:$FA,92)</f>
        <v>1112200</v>
      </c>
      <c r="J59" s="87">
        <f>VLOOKUP($A59,'Data shares'!$C:$FA,93)</f>
        <v>0.20449999999999999</v>
      </c>
      <c r="K59" s="86">
        <f>VLOOKUP($A59,'Data shares'!$C:$FA,94)</f>
        <v>5017350</v>
      </c>
      <c r="L59" s="86">
        <f>VLOOKUP($A59,'Data shares'!$C:$FA,96)</f>
        <v>417075</v>
      </c>
      <c r="M59" s="87">
        <f>VLOOKUP($A59,'Data shares'!$C:$FA,97)</f>
        <v>9.0700000000000003E-2</v>
      </c>
      <c r="N59" s="86">
        <f>VLOOKUP($A59,'Data shares'!$C:$FA,78)</f>
        <v>21111050</v>
      </c>
      <c r="O59" s="87">
        <f>VLOOKUP($A59,'Data shares'!$C:$FA,81)</f>
        <v>7.0000000000000007E-2</v>
      </c>
    </row>
    <row r="60" spans="1:15" x14ac:dyDescent="0.25">
      <c r="A60" s="100" t="str">
        <f>'OI(Value)'!A60</f>
        <v>DIVISLAB</v>
      </c>
      <c r="B60" s="82">
        <f>VLOOKUP(A60,'Data shares'!$C$2:$CV$215,98,0)</f>
        <v>5454800</v>
      </c>
      <c r="C60" s="82">
        <f>VLOOKUP(A60,'Data shares'!$C$2:$CX$215,100,0)</f>
        <v>135400</v>
      </c>
      <c r="D60" s="141">
        <f>VLOOKUP(A60,'Data shares'!$C$2:$CY$538,101,0)</f>
        <v>2.5499999999999998E-2</v>
      </c>
      <c r="E60" s="86">
        <f>VLOOKUP($A60,'Data shares'!$C:$FA,74)</f>
        <v>3417300</v>
      </c>
      <c r="F60" s="86">
        <f>VLOOKUP($A60,'Data shares'!$C:$FA,76)</f>
        <v>-44600</v>
      </c>
      <c r="G60" s="87">
        <f>VLOOKUP(A60,'Data shares'!$C$2:$CA$215,77,0)</f>
        <v>-1.29E-2</v>
      </c>
      <c r="H60" s="86">
        <f>VLOOKUP($A60,'Data shares'!$C:$FA,90)</f>
        <v>1244400</v>
      </c>
      <c r="I60" s="86">
        <f>VLOOKUP($A60,'Data shares'!$C:$FA,92)</f>
        <v>124100</v>
      </c>
      <c r="J60" s="87">
        <f>VLOOKUP($A60,'Data shares'!$C:$FA,93)</f>
        <v>0.1108</v>
      </c>
      <c r="K60" s="86">
        <f>VLOOKUP($A60,'Data shares'!$C:$FA,94)</f>
        <v>793100</v>
      </c>
      <c r="L60" s="86">
        <f>VLOOKUP($A60,'Data shares'!$C:$FA,96)</f>
        <v>55900</v>
      </c>
      <c r="M60" s="87">
        <f>VLOOKUP($A60,'Data shares'!$C:$FA,97)</f>
        <v>7.5800000000000006E-2</v>
      </c>
      <c r="N60" s="86">
        <f>VLOOKUP($A60,'Data shares'!$C:$FA,78)</f>
        <v>3357400</v>
      </c>
      <c r="O60" s="87">
        <f>VLOOKUP($A60,'Data shares'!$C:$FA,81)</f>
        <v>-1.34E-2</v>
      </c>
    </row>
    <row r="61" spans="1:15" x14ac:dyDescent="0.25">
      <c r="A61" s="100" t="str">
        <f>'OI(Value)'!A61</f>
        <v>DIXON</v>
      </c>
      <c r="B61" s="82">
        <f>VLOOKUP(A61,'Data shares'!$C$2:$CV$215,98,0)</f>
        <v>7844950</v>
      </c>
      <c r="C61" s="82">
        <f>VLOOKUP(A61,'Data shares'!$C$2:$CX$215,100,0)</f>
        <v>219700</v>
      </c>
      <c r="D61" s="141">
        <f>VLOOKUP(A61,'Data shares'!$C$2:$CY$538,101,0)</f>
        <v>2.8799999999999999E-2</v>
      </c>
      <c r="E61" s="86">
        <f>VLOOKUP($A61,'Data shares'!$C:$FA,74)</f>
        <v>3027500</v>
      </c>
      <c r="F61" s="86">
        <f>VLOOKUP($A61,'Data shares'!$C:$FA,76)</f>
        <v>500</v>
      </c>
      <c r="G61" s="87">
        <f>VLOOKUP(A61,'Data shares'!$C$2:$CA$215,77,0)</f>
        <v>2.0000000000000001E-4</v>
      </c>
      <c r="H61" s="86">
        <f>VLOOKUP($A61,'Data shares'!$C:$FA,90)</f>
        <v>3022950</v>
      </c>
      <c r="I61" s="86">
        <f>VLOOKUP($A61,'Data shares'!$C:$FA,92)</f>
        <v>110800</v>
      </c>
      <c r="J61" s="87">
        <f>VLOOKUP($A61,'Data shares'!$C:$FA,93)</f>
        <v>3.7999999999999999E-2</v>
      </c>
      <c r="K61" s="86">
        <f>VLOOKUP($A61,'Data shares'!$C:$FA,94)</f>
        <v>1794500</v>
      </c>
      <c r="L61" s="86">
        <f>VLOOKUP($A61,'Data shares'!$C:$FA,96)</f>
        <v>108400</v>
      </c>
      <c r="M61" s="87">
        <f>VLOOKUP($A61,'Data shares'!$C:$FA,97)</f>
        <v>6.4299999999999996E-2</v>
      </c>
      <c r="N61" s="86">
        <f>VLOOKUP($A61,'Data shares'!$C:$FA,78)</f>
        <v>2791800</v>
      </c>
      <c r="O61" s="87">
        <f>VLOOKUP($A61,'Data shares'!$C:$FA,81)</f>
        <v>-6.6E-3</v>
      </c>
    </row>
    <row r="62" spans="1:15" x14ac:dyDescent="0.25">
      <c r="A62" s="100" t="str">
        <f>'OI(Value)'!A62</f>
        <v>DLF</v>
      </c>
      <c r="B62" s="82">
        <f>VLOOKUP(A62,'Data shares'!$C$2:$CV$215,98,0)</f>
        <v>76230000</v>
      </c>
      <c r="C62" s="82">
        <f>VLOOKUP(A62,'Data shares'!$C$2:$CX$215,100,0)</f>
        <v>1074150</v>
      </c>
      <c r="D62" s="141">
        <f>VLOOKUP(A62,'Data shares'!$C$2:$CY$538,101,0)</f>
        <v>1.43E-2</v>
      </c>
      <c r="E62" s="86">
        <f>VLOOKUP($A62,'Data shares'!$C:$FA,74)</f>
        <v>50216925</v>
      </c>
      <c r="F62" s="86">
        <f>VLOOKUP($A62,'Data shares'!$C:$FA,76)</f>
        <v>173250</v>
      </c>
      <c r="G62" s="87">
        <f>VLOOKUP(A62,'Data shares'!$C$2:$CA$215,77,0)</f>
        <v>3.5000000000000001E-3</v>
      </c>
      <c r="H62" s="86">
        <f>VLOOKUP($A62,'Data shares'!$C:$FA,90)</f>
        <v>14850825</v>
      </c>
      <c r="I62" s="86">
        <f>VLOOKUP($A62,'Data shares'!$C:$FA,92)</f>
        <v>889350</v>
      </c>
      <c r="J62" s="87">
        <f>VLOOKUP($A62,'Data shares'!$C:$FA,93)</f>
        <v>6.3700000000000007E-2</v>
      </c>
      <c r="K62" s="86">
        <f>VLOOKUP($A62,'Data shares'!$C:$FA,94)</f>
        <v>11162250</v>
      </c>
      <c r="L62" s="86">
        <f>VLOOKUP($A62,'Data shares'!$C:$FA,96)</f>
        <v>11550</v>
      </c>
      <c r="M62" s="87">
        <f>VLOOKUP($A62,'Data shares'!$C:$FA,97)</f>
        <v>1E-3</v>
      </c>
      <c r="N62" s="86">
        <f>VLOOKUP($A62,'Data shares'!$C:$FA,78)</f>
        <v>48862275</v>
      </c>
      <c r="O62" s="87">
        <f>VLOOKUP($A62,'Data shares'!$C:$FA,81)</f>
        <v>-8.9999999999999998E-4</v>
      </c>
    </row>
    <row r="63" spans="1:15" x14ac:dyDescent="0.25">
      <c r="A63" s="100" t="str">
        <f>'OI(Value)'!A63</f>
        <v>DMART</v>
      </c>
      <c r="B63" s="82">
        <f>VLOOKUP(A63,'Data shares'!$C$2:$CV$215,98,0)</f>
        <v>9147750</v>
      </c>
      <c r="C63" s="82">
        <f>VLOOKUP(A63,'Data shares'!$C$2:$CX$215,100,0)</f>
        <v>125700</v>
      </c>
      <c r="D63" s="141">
        <f>VLOOKUP(A63,'Data shares'!$C$2:$CY$538,101,0)</f>
        <v>1.3899999999999999E-2</v>
      </c>
      <c r="E63" s="86">
        <f>VLOOKUP($A63,'Data shares'!$C:$FA,74)</f>
        <v>5510550</v>
      </c>
      <c r="F63" s="86">
        <f>VLOOKUP($A63,'Data shares'!$C:$FA,76)</f>
        <v>-220050</v>
      </c>
      <c r="G63" s="87">
        <f>VLOOKUP(A63,'Data shares'!$C$2:$CA$215,77,0)</f>
        <v>-3.8399999999999997E-2</v>
      </c>
      <c r="H63" s="86">
        <f>VLOOKUP($A63,'Data shares'!$C:$FA,90)</f>
        <v>2017950</v>
      </c>
      <c r="I63" s="86">
        <f>VLOOKUP($A63,'Data shares'!$C:$FA,92)</f>
        <v>195900</v>
      </c>
      <c r="J63" s="87">
        <f>VLOOKUP($A63,'Data shares'!$C:$FA,93)</f>
        <v>0.1075</v>
      </c>
      <c r="K63" s="86">
        <f>VLOOKUP($A63,'Data shares'!$C:$FA,94)</f>
        <v>1619250</v>
      </c>
      <c r="L63" s="86">
        <f>VLOOKUP($A63,'Data shares'!$C:$FA,96)</f>
        <v>149850</v>
      </c>
      <c r="M63" s="87">
        <f>VLOOKUP($A63,'Data shares'!$C:$FA,97)</f>
        <v>0.10199999999999999</v>
      </c>
      <c r="N63" s="86">
        <f>VLOOKUP($A63,'Data shares'!$C:$FA,78)</f>
        <v>5342250</v>
      </c>
      <c r="O63" s="87">
        <f>VLOOKUP($A63,'Data shares'!$C:$FA,81)</f>
        <v>-3.5099999999999999E-2</v>
      </c>
    </row>
    <row r="64" spans="1:15" x14ac:dyDescent="0.25">
      <c r="A64" s="100" t="str">
        <f>'OI(Value)'!A64</f>
        <v>DRREDDY</v>
      </c>
      <c r="B64" s="82">
        <f>VLOOKUP(A64,'Data shares'!$C$2:$CV$215,98,0)</f>
        <v>22489375</v>
      </c>
      <c r="C64" s="82">
        <f>VLOOKUP(A64,'Data shares'!$C$2:$CX$215,100,0)</f>
        <v>1046875</v>
      </c>
      <c r="D64" s="141">
        <f>VLOOKUP(A64,'Data shares'!$C$2:$CY$538,101,0)</f>
        <v>4.8800000000000003E-2</v>
      </c>
      <c r="E64" s="86">
        <f>VLOOKUP($A64,'Data shares'!$C:$FA,74)</f>
        <v>13533750</v>
      </c>
      <c r="F64" s="86">
        <f>VLOOKUP($A64,'Data shares'!$C:$FA,76)</f>
        <v>596875</v>
      </c>
      <c r="G64" s="87">
        <f>VLOOKUP(A64,'Data shares'!$C$2:$CA$215,77,0)</f>
        <v>4.6100000000000002E-2</v>
      </c>
      <c r="H64" s="86">
        <f>VLOOKUP($A64,'Data shares'!$C:$FA,90)</f>
        <v>5410625</v>
      </c>
      <c r="I64" s="86">
        <f>VLOOKUP($A64,'Data shares'!$C:$FA,92)</f>
        <v>378125</v>
      </c>
      <c r="J64" s="87">
        <f>VLOOKUP($A64,'Data shares'!$C:$FA,93)</f>
        <v>7.51E-2</v>
      </c>
      <c r="K64" s="86">
        <f>VLOOKUP($A64,'Data shares'!$C:$FA,94)</f>
        <v>3545000</v>
      </c>
      <c r="L64" s="86">
        <f>VLOOKUP($A64,'Data shares'!$C:$FA,96)</f>
        <v>71875</v>
      </c>
      <c r="M64" s="87">
        <f>VLOOKUP($A64,'Data shares'!$C:$FA,97)</f>
        <v>2.07E-2</v>
      </c>
      <c r="N64" s="86">
        <f>VLOOKUP($A64,'Data shares'!$C:$FA,78)</f>
        <v>13331875</v>
      </c>
      <c r="O64" s="87">
        <f>VLOOKUP($A64,'Data shares'!$C:$FA,81)</f>
        <v>4.41E-2</v>
      </c>
    </row>
    <row r="65" spans="1:15" x14ac:dyDescent="0.25">
      <c r="A65" s="100" t="str">
        <f>'OI(Value)'!A65</f>
        <v>EICHERMOT</v>
      </c>
      <c r="B65" s="82">
        <f>VLOOKUP(A65,'Data shares'!$C$2:$CV$215,98,0)</f>
        <v>5769000</v>
      </c>
      <c r="C65" s="82">
        <f>VLOOKUP(A65,'Data shares'!$C$2:$CX$215,100,0)</f>
        <v>287900</v>
      </c>
      <c r="D65" s="141">
        <f>VLOOKUP(A65,'Data shares'!$C$2:$CY$538,101,0)</f>
        <v>5.2499999999999998E-2</v>
      </c>
      <c r="E65" s="86">
        <f>VLOOKUP($A65,'Data shares'!$C:$FA,74)</f>
        <v>3045800</v>
      </c>
      <c r="F65" s="86">
        <f>VLOOKUP($A65,'Data shares'!$C:$FA,76)</f>
        <v>28900</v>
      </c>
      <c r="G65" s="87">
        <f>VLOOKUP(A65,'Data shares'!$C$2:$CA$215,77,0)</f>
        <v>9.5999999999999992E-3</v>
      </c>
      <c r="H65" s="86">
        <f>VLOOKUP($A65,'Data shares'!$C:$FA,90)</f>
        <v>1292600</v>
      </c>
      <c r="I65" s="86">
        <f>VLOOKUP($A65,'Data shares'!$C:$FA,92)</f>
        <v>87400</v>
      </c>
      <c r="J65" s="87">
        <f>VLOOKUP($A65,'Data shares'!$C:$FA,93)</f>
        <v>7.2499999999999995E-2</v>
      </c>
      <c r="K65" s="86">
        <f>VLOOKUP($A65,'Data shares'!$C:$FA,94)</f>
        <v>1430600</v>
      </c>
      <c r="L65" s="86">
        <f>VLOOKUP($A65,'Data shares'!$C:$FA,96)</f>
        <v>171600</v>
      </c>
      <c r="M65" s="87">
        <f>VLOOKUP($A65,'Data shares'!$C:$FA,97)</f>
        <v>0.1363</v>
      </c>
      <c r="N65" s="86">
        <f>VLOOKUP($A65,'Data shares'!$C:$FA,78)</f>
        <v>2974200</v>
      </c>
      <c r="O65" s="87">
        <f>VLOOKUP($A65,'Data shares'!$C:$FA,81)</f>
        <v>7.7000000000000002E-3</v>
      </c>
    </row>
    <row r="66" spans="1:15" x14ac:dyDescent="0.25">
      <c r="A66" s="100" t="str">
        <f>'OI(Value)'!A66</f>
        <v>ETERNAL</v>
      </c>
      <c r="B66" s="82">
        <f>VLOOKUP(A66,'Data shares'!$C$2:$CV$215,98,0)</f>
        <v>368954050</v>
      </c>
      <c r="C66" s="82">
        <f>VLOOKUP(A66,'Data shares'!$C$2:$CX$215,100,0)</f>
        <v>12869475</v>
      </c>
      <c r="D66" s="141">
        <f>VLOOKUP(A66,'Data shares'!$C$2:$CY$538,101,0)</f>
        <v>3.61E-2</v>
      </c>
      <c r="E66" s="86">
        <f>VLOOKUP($A66,'Data shares'!$C:$FA,74)</f>
        <v>288393125</v>
      </c>
      <c r="F66" s="86">
        <f>VLOOKUP($A66,'Data shares'!$C:$FA,76)</f>
        <v>7973400</v>
      </c>
      <c r="G66" s="87">
        <f>VLOOKUP(A66,'Data shares'!$C$2:$CA$215,77,0)</f>
        <v>2.8400000000000002E-2</v>
      </c>
      <c r="H66" s="86">
        <f>VLOOKUP($A66,'Data shares'!$C:$FA,90)</f>
        <v>46538175</v>
      </c>
      <c r="I66" s="86">
        <f>VLOOKUP($A66,'Data shares'!$C:$FA,92)</f>
        <v>3171900</v>
      </c>
      <c r="J66" s="87">
        <f>VLOOKUP($A66,'Data shares'!$C:$FA,93)</f>
        <v>7.3099999999999998E-2</v>
      </c>
      <c r="K66" s="86">
        <f>VLOOKUP($A66,'Data shares'!$C:$FA,94)</f>
        <v>34022750</v>
      </c>
      <c r="L66" s="86">
        <f>VLOOKUP($A66,'Data shares'!$C:$FA,96)</f>
        <v>1724175</v>
      </c>
      <c r="M66" s="87">
        <f>VLOOKUP($A66,'Data shares'!$C:$FA,97)</f>
        <v>5.3400000000000003E-2</v>
      </c>
      <c r="N66" s="86">
        <f>VLOOKUP($A66,'Data shares'!$C:$FA,78)</f>
        <v>282750150</v>
      </c>
      <c r="O66" s="87">
        <f>VLOOKUP($A66,'Data shares'!$C:$FA,81)</f>
        <v>2.7699999999999999E-2</v>
      </c>
    </row>
    <row r="67" spans="1:15" x14ac:dyDescent="0.25">
      <c r="A67" s="100" t="str">
        <f>'OI(Value)'!A67</f>
        <v>EXIDEIND</v>
      </c>
      <c r="B67" s="82">
        <f>VLOOKUP(A67,'Data shares'!$C$2:$CV$215,98,0)</f>
        <v>57565800</v>
      </c>
      <c r="C67" s="82">
        <f>VLOOKUP(A67,'Data shares'!$C$2:$CX$215,100,0)</f>
        <v>4366800</v>
      </c>
      <c r="D67" s="141">
        <f>VLOOKUP(A67,'Data shares'!$C$2:$CY$538,101,0)</f>
        <v>8.2100000000000006E-2</v>
      </c>
      <c r="E67" s="86">
        <f>VLOOKUP($A67,'Data shares'!$C:$FA,74)</f>
        <v>32976000</v>
      </c>
      <c r="F67" s="86">
        <f>VLOOKUP($A67,'Data shares'!$C:$FA,76)</f>
        <v>1213200</v>
      </c>
      <c r="G67" s="87">
        <f>VLOOKUP(A67,'Data shares'!$C$2:$CA$215,77,0)</f>
        <v>3.8199999999999998E-2</v>
      </c>
      <c r="H67" s="86">
        <f>VLOOKUP($A67,'Data shares'!$C:$FA,90)</f>
        <v>15026400</v>
      </c>
      <c r="I67" s="86">
        <f>VLOOKUP($A67,'Data shares'!$C:$FA,92)</f>
        <v>1918800</v>
      </c>
      <c r="J67" s="87">
        <f>VLOOKUP($A67,'Data shares'!$C:$FA,93)</f>
        <v>0.1464</v>
      </c>
      <c r="K67" s="86">
        <f>VLOOKUP($A67,'Data shares'!$C:$FA,94)</f>
        <v>9563400</v>
      </c>
      <c r="L67" s="86">
        <f>VLOOKUP($A67,'Data shares'!$C:$FA,96)</f>
        <v>1234800</v>
      </c>
      <c r="M67" s="87">
        <f>VLOOKUP($A67,'Data shares'!$C:$FA,97)</f>
        <v>0.14829999999999999</v>
      </c>
      <c r="N67" s="86">
        <f>VLOOKUP($A67,'Data shares'!$C:$FA,78)</f>
        <v>30625200</v>
      </c>
      <c r="O67" s="87">
        <f>VLOOKUP($A67,'Data shares'!$C:$FA,81)</f>
        <v>2.35E-2</v>
      </c>
    </row>
    <row r="68" spans="1:15" x14ac:dyDescent="0.25">
      <c r="A68" s="100" t="str">
        <f>'OI(Value)'!A68</f>
        <v>FEDERALBNK</v>
      </c>
      <c r="B68" s="82">
        <f>VLOOKUP(A68,'Data shares'!$C$2:$CV$215,98,0)</f>
        <v>112550000</v>
      </c>
      <c r="C68" s="82">
        <f>VLOOKUP(A68,'Data shares'!$C$2:$CX$215,100,0)</f>
        <v>1100000</v>
      </c>
      <c r="D68" s="141">
        <f>VLOOKUP(A68,'Data shares'!$C$2:$CY$538,101,0)</f>
        <v>9.9000000000000008E-3</v>
      </c>
      <c r="E68" s="86">
        <f>VLOOKUP($A68,'Data shares'!$C:$FA,74)</f>
        <v>56180000</v>
      </c>
      <c r="F68" s="86">
        <f>VLOOKUP($A68,'Data shares'!$C:$FA,76)</f>
        <v>-1470000</v>
      </c>
      <c r="G68" s="87">
        <f>VLOOKUP(A68,'Data shares'!$C$2:$CA$215,77,0)</f>
        <v>-2.5499999999999998E-2</v>
      </c>
      <c r="H68" s="86">
        <f>VLOOKUP($A68,'Data shares'!$C:$FA,90)</f>
        <v>32000000</v>
      </c>
      <c r="I68" s="86">
        <f>VLOOKUP($A68,'Data shares'!$C:$FA,92)</f>
        <v>1185000</v>
      </c>
      <c r="J68" s="87">
        <f>VLOOKUP($A68,'Data shares'!$C:$FA,93)</f>
        <v>3.85E-2</v>
      </c>
      <c r="K68" s="86">
        <f>VLOOKUP($A68,'Data shares'!$C:$FA,94)</f>
        <v>24370000</v>
      </c>
      <c r="L68" s="86">
        <f>VLOOKUP($A68,'Data shares'!$C:$FA,96)</f>
        <v>1385000</v>
      </c>
      <c r="M68" s="87">
        <f>VLOOKUP($A68,'Data shares'!$C:$FA,97)</f>
        <v>6.0299999999999999E-2</v>
      </c>
      <c r="N68" s="86">
        <f>VLOOKUP($A68,'Data shares'!$C:$FA,78)</f>
        <v>53090000</v>
      </c>
      <c r="O68" s="87">
        <f>VLOOKUP($A68,'Data shares'!$C:$FA,81)</f>
        <v>-3.09E-2</v>
      </c>
    </row>
    <row r="69" spans="1:15" x14ac:dyDescent="0.25">
      <c r="A69" s="100" t="str">
        <f>'OI(Value)'!A69</f>
        <v>FINNIFTY</v>
      </c>
      <c r="B69" s="82">
        <f>VLOOKUP(A69,'Data shares'!$C$2:$CV$215,98,0)</f>
        <v>909240</v>
      </c>
      <c r="C69" s="82">
        <f>VLOOKUP(A69,'Data shares'!$C$2:$CX$215,100,0)</f>
        <v>-70140</v>
      </c>
      <c r="D69" s="141">
        <f>VLOOKUP(A69,'Data shares'!$C$2:$CY$538,101,0)</f>
        <v>-7.1599999999999997E-2</v>
      </c>
      <c r="E69" s="86">
        <f>VLOOKUP($A69,'Data shares'!$C:$FA,74)</f>
        <v>32040</v>
      </c>
      <c r="F69" s="86">
        <f>VLOOKUP($A69,'Data shares'!$C:$FA,76)</f>
        <v>60</v>
      </c>
      <c r="G69" s="87">
        <f>VLOOKUP(A69,'Data shares'!$C$2:$CA$215,77,0)</f>
        <v>1.9E-3</v>
      </c>
      <c r="H69" s="86">
        <f>VLOOKUP($A69,'Data shares'!$C:$FA,90)</f>
        <v>499980</v>
      </c>
      <c r="I69" s="86">
        <f>VLOOKUP($A69,'Data shares'!$C:$FA,92)</f>
        <v>-41700</v>
      </c>
      <c r="J69" s="87">
        <f>VLOOKUP($A69,'Data shares'!$C:$FA,93)</f>
        <v>-7.6999999999999999E-2</v>
      </c>
      <c r="K69" s="86">
        <f>VLOOKUP($A69,'Data shares'!$C:$FA,94)</f>
        <v>377220</v>
      </c>
      <c r="L69" s="86">
        <f>VLOOKUP($A69,'Data shares'!$C:$FA,96)</f>
        <v>-28500</v>
      </c>
      <c r="M69" s="87">
        <f>VLOOKUP($A69,'Data shares'!$C:$FA,97)</f>
        <v>-7.0199999999999999E-2</v>
      </c>
      <c r="N69" s="86">
        <f>VLOOKUP($A69,'Data shares'!$C:$FA,78)</f>
        <v>31860</v>
      </c>
      <c r="O69" s="87">
        <f>VLOOKUP($A69,'Data shares'!$C:$FA,81)</f>
        <v>1.9E-3</v>
      </c>
    </row>
    <row r="70" spans="1:15" x14ac:dyDescent="0.25">
      <c r="A70" s="100" t="str">
        <f>'OI(Value)'!A70</f>
        <v>FORTIS</v>
      </c>
      <c r="B70" s="82">
        <f>VLOOKUP(A70,'Data shares'!$C$2:$CV$215,98,0)</f>
        <v>16774875</v>
      </c>
      <c r="C70" s="82">
        <f>VLOOKUP(A70,'Data shares'!$C$2:$CX$215,100,0)</f>
        <v>281325</v>
      </c>
      <c r="D70" s="141">
        <f>VLOOKUP(A70,'Data shares'!$C$2:$CY$538,101,0)</f>
        <v>1.7100000000000001E-2</v>
      </c>
      <c r="E70" s="86">
        <f>VLOOKUP($A70,'Data shares'!$C:$FA,74)</f>
        <v>11459150</v>
      </c>
      <c r="F70" s="86">
        <f>VLOOKUP($A70,'Data shares'!$C:$FA,76)</f>
        <v>-93775</v>
      </c>
      <c r="G70" s="87">
        <f>VLOOKUP(A70,'Data shares'!$C$2:$CA$215,77,0)</f>
        <v>-8.0999999999999996E-3</v>
      </c>
      <c r="H70" s="86">
        <f>VLOOKUP($A70,'Data shares'!$C:$FA,90)</f>
        <v>3214700</v>
      </c>
      <c r="I70" s="86">
        <f>VLOOKUP($A70,'Data shares'!$C:$FA,92)</f>
        <v>209250</v>
      </c>
      <c r="J70" s="87">
        <f>VLOOKUP($A70,'Data shares'!$C:$FA,93)</f>
        <v>6.9599999999999995E-2</v>
      </c>
      <c r="K70" s="86">
        <f>VLOOKUP($A70,'Data shares'!$C:$FA,94)</f>
        <v>2101025</v>
      </c>
      <c r="L70" s="86">
        <f>VLOOKUP($A70,'Data shares'!$C:$FA,96)</f>
        <v>165850</v>
      </c>
      <c r="M70" s="87">
        <f>VLOOKUP($A70,'Data shares'!$C:$FA,97)</f>
        <v>8.5699999999999998E-2</v>
      </c>
      <c r="N70" s="86">
        <f>VLOOKUP($A70,'Data shares'!$C:$FA,78)</f>
        <v>11254550</v>
      </c>
      <c r="O70" s="87">
        <f>VLOOKUP($A70,'Data shares'!$C:$FA,81)</f>
        <v>-9.1999999999999998E-3</v>
      </c>
    </row>
    <row r="71" spans="1:15" x14ac:dyDescent="0.25">
      <c r="A71" s="100" t="str">
        <f>'OI(Value)'!A71</f>
        <v>GAIL</v>
      </c>
      <c r="B71" s="82">
        <f>VLOOKUP(A71,'Data shares'!$C$2:$CV$215,98,0)</f>
        <v>159856200</v>
      </c>
      <c r="C71" s="82">
        <f>VLOOKUP(A71,'Data shares'!$C$2:$CX$215,100,0)</f>
        <v>8139600</v>
      </c>
      <c r="D71" s="141">
        <f>VLOOKUP(A71,'Data shares'!$C$2:$CY$538,101,0)</f>
        <v>5.3699999999999998E-2</v>
      </c>
      <c r="E71" s="86">
        <f>VLOOKUP($A71,'Data shares'!$C:$FA,74)</f>
        <v>90666450</v>
      </c>
      <c r="F71" s="86">
        <f>VLOOKUP($A71,'Data shares'!$C:$FA,76)</f>
        <v>3420900</v>
      </c>
      <c r="G71" s="87">
        <f>VLOOKUP(A71,'Data shares'!$C$2:$CA$215,77,0)</f>
        <v>3.9199999999999999E-2</v>
      </c>
      <c r="H71" s="86">
        <f>VLOOKUP($A71,'Data shares'!$C:$FA,90)</f>
        <v>37047150</v>
      </c>
      <c r="I71" s="86">
        <f>VLOOKUP($A71,'Data shares'!$C:$FA,92)</f>
        <v>2916900</v>
      </c>
      <c r="J71" s="87">
        <f>VLOOKUP($A71,'Data shares'!$C:$FA,93)</f>
        <v>8.5500000000000007E-2</v>
      </c>
      <c r="K71" s="86">
        <f>VLOOKUP($A71,'Data shares'!$C:$FA,94)</f>
        <v>32142600</v>
      </c>
      <c r="L71" s="86">
        <f>VLOOKUP($A71,'Data shares'!$C:$FA,96)</f>
        <v>1801800</v>
      </c>
      <c r="M71" s="87">
        <f>VLOOKUP($A71,'Data shares'!$C:$FA,97)</f>
        <v>5.9400000000000001E-2</v>
      </c>
      <c r="N71" s="86">
        <f>VLOOKUP($A71,'Data shares'!$C:$FA,78)</f>
        <v>85661100</v>
      </c>
      <c r="O71" s="87">
        <f>VLOOKUP($A71,'Data shares'!$C:$FA,81)</f>
        <v>3.0499999999999999E-2</v>
      </c>
    </row>
    <row r="72" spans="1:15" x14ac:dyDescent="0.25">
      <c r="A72" s="100" t="str">
        <f>'OI(Value)'!A72</f>
        <v>GLENMARK</v>
      </c>
      <c r="B72" s="82">
        <f>VLOOKUP(A72,'Data shares'!$C$2:$CV$215,98,0)</f>
        <v>16148250</v>
      </c>
      <c r="C72" s="82">
        <f>VLOOKUP(A72,'Data shares'!$C$2:$CX$215,100,0)</f>
        <v>979500</v>
      </c>
      <c r="D72" s="141">
        <f>VLOOKUP(A72,'Data shares'!$C$2:$CY$538,101,0)</f>
        <v>6.4600000000000005E-2</v>
      </c>
      <c r="E72" s="86">
        <f>VLOOKUP($A72,'Data shares'!$C:$FA,74)</f>
        <v>11320125</v>
      </c>
      <c r="F72" s="86">
        <f>VLOOKUP($A72,'Data shares'!$C:$FA,76)</f>
        <v>-129750</v>
      </c>
      <c r="G72" s="87">
        <f>VLOOKUP(A72,'Data shares'!$C$2:$CA$215,77,0)</f>
        <v>-1.1299999999999999E-2</v>
      </c>
      <c r="H72" s="86">
        <f>VLOOKUP($A72,'Data shares'!$C:$FA,90)</f>
        <v>3172500</v>
      </c>
      <c r="I72" s="86">
        <f>VLOOKUP($A72,'Data shares'!$C:$FA,92)</f>
        <v>799125</v>
      </c>
      <c r="J72" s="87">
        <f>VLOOKUP($A72,'Data shares'!$C:$FA,93)</f>
        <v>0.3367</v>
      </c>
      <c r="K72" s="86">
        <f>VLOOKUP($A72,'Data shares'!$C:$FA,94)</f>
        <v>1655625</v>
      </c>
      <c r="L72" s="86">
        <f>VLOOKUP($A72,'Data shares'!$C:$FA,96)</f>
        <v>310125</v>
      </c>
      <c r="M72" s="87">
        <f>VLOOKUP($A72,'Data shares'!$C:$FA,97)</f>
        <v>0.23050000000000001</v>
      </c>
      <c r="N72" s="86">
        <f>VLOOKUP($A72,'Data shares'!$C:$FA,78)</f>
        <v>11259375</v>
      </c>
      <c r="O72" s="87">
        <f>VLOOKUP($A72,'Data shares'!$C:$FA,81)</f>
        <v>-1.18E-2</v>
      </c>
    </row>
    <row r="73" spans="1:15" x14ac:dyDescent="0.25">
      <c r="A73" s="100" t="str">
        <f>'OI(Value)'!A73</f>
        <v>GMRAIRPORT</v>
      </c>
      <c r="B73" s="82">
        <f>VLOOKUP(A73,'Data shares'!$C$2:$CV$215,98,0)</f>
        <v>320780250</v>
      </c>
      <c r="C73" s="82">
        <f>VLOOKUP(A73,'Data shares'!$C$2:$CX$215,100,0)</f>
        <v>9688275</v>
      </c>
      <c r="D73" s="141">
        <f>VLOOKUP(A73,'Data shares'!$C$2:$CY$538,101,0)</f>
        <v>3.1099999999999999E-2</v>
      </c>
      <c r="E73" s="86">
        <f>VLOOKUP($A73,'Data shares'!$C:$FA,74)</f>
        <v>172101150</v>
      </c>
      <c r="F73" s="86">
        <f>VLOOKUP($A73,'Data shares'!$C:$FA,76)</f>
        <v>2573775</v>
      </c>
      <c r="G73" s="87">
        <f>VLOOKUP(A73,'Data shares'!$C$2:$CA$215,77,0)</f>
        <v>1.52E-2</v>
      </c>
      <c r="H73" s="86">
        <f>VLOOKUP($A73,'Data shares'!$C:$FA,90)</f>
        <v>95159925</v>
      </c>
      <c r="I73" s="86">
        <f>VLOOKUP($A73,'Data shares'!$C:$FA,92)</f>
        <v>5210325</v>
      </c>
      <c r="J73" s="87">
        <f>VLOOKUP($A73,'Data shares'!$C:$FA,93)</f>
        <v>5.79E-2</v>
      </c>
      <c r="K73" s="86">
        <f>VLOOKUP($A73,'Data shares'!$C:$FA,94)</f>
        <v>53519175</v>
      </c>
      <c r="L73" s="86">
        <f>VLOOKUP($A73,'Data shares'!$C:$FA,96)</f>
        <v>1904175</v>
      </c>
      <c r="M73" s="87">
        <f>VLOOKUP($A73,'Data shares'!$C:$FA,97)</f>
        <v>3.6900000000000002E-2</v>
      </c>
      <c r="N73" s="86">
        <f>VLOOKUP($A73,'Data shares'!$C:$FA,78)</f>
        <v>167100075</v>
      </c>
      <c r="O73" s="87">
        <f>VLOOKUP($A73,'Data shares'!$C:$FA,81)</f>
        <v>1.34E-2</v>
      </c>
    </row>
    <row r="74" spans="1:15" x14ac:dyDescent="0.25">
      <c r="A74" s="100" t="str">
        <f>'OI(Value)'!A74</f>
        <v>GODREJCP</v>
      </c>
      <c r="B74" s="82">
        <f>VLOOKUP(A74,'Data shares'!$C$2:$CV$215,98,0)</f>
        <v>12452000</v>
      </c>
      <c r="C74" s="82">
        <f>VLOOKUP(A74,'Data shares'!$C$2:$CX$215,100,0)</f>
        <v>494000</v>
      </c>
      <c r="D74" s="141">
        <f>VLOOKUP(A74,'Data shares'!$C$2:$CY$538,101,0)</f>
        <v>4.1300000000000003E-2</v>
      </c>
      <c r="E74" s="86">
        <f>VLOOKUP($A74,'Data shares'!$C:$FA,74)</f>
        <v>9282500</v>
      </c>
      <c r="F74" s="86">
        <f>VLOOKUP($A74,'Data shares'!$C:$FA,76)</f>
        <v>-365500</v>
      </c>
      <c r="G74" s="87">
        <f>VLOOKUP(A74,'Data shares'!$C$2:$CA$215,77,0)</f>
        <v>-3.7900000000000003E-2</v>
      </c>
      <c r="H74" s="86">
        <f>VLOOKUP($A74,'Data shares'!$C:$FA,90)</f>
        <v>1916500</v>
      </c>
      <c r="I74" s="86">
        <f>VLOOKUP($A74,'Data shares'!$C:$FA,92)</f>
        <v>649500</v>
      </c>
      <c r="J74" s="87">
        <f>VLOOKUP($A74,'Data shares'!$C:$FA,93)</f>
        <v>0.51259999999999994</v>
      </c>
      <c r="K74" s="86">
        <f>VLOOKUP($A74,'Data shares'!$C:$FA,94)</f>
        <v>1253000</v>
      </c>
      <c r="L74" s="86">
        <f>VLOOKUP($A74,'Data shares'!$C:$FA,96)</f>
        <v>210000</v>
      </c>
      <c r="M74" s="87">
        <f>VLOOKUP($A74,'Data shares'!$C:$FA,97)</f>
        <v>0.20130000000000001</v>
      </c>
      <c r="N74" s="86">
        <f>VLOOKUP($A74,'Data shares'!$C:$FA,78)</f>
        <v>9221500</v>
      </c>
      <c r="O74" s="87">
        <f>VLOOKUP($A74,'Data shares'!$C:$FA,81)</f>
        <v>-4.0399999999999998E-2</v>
      </c>
    </row>
    <row r="75" spans="1:15" x14ac:dyDescent="0.25">
      <c r="A75" s="100" t="str">
        <f>'OI(Value)'!A75</f>
        <v>GODREJPROP</v>
      </c>
      <c r="B75" s="82">
        <f>VLOOKUP(A75,'Data shares'!$C$2:$CV$215,98,0)</f>
        <v>13688400</v>
      </c>
      <c r="C75" s="82">
        <f>VLOOKUP(A75,'Data shares'!$C$2:$CX$215,100,0)</f>
        <v>521675</v>
      </c>
      <c r="D75" s="141">
        <f>VLOOKUP(A75,'Data shares'!$C$2:$CY$538,101,0)</f>
        <v>3.9600000000000003E-2</v>
      </c>
      <c r="E75" s="86">
        <f>VLOOKUP($A75,'Data shares'!$C:$FA,74)</f>
        <v>9185825</v>
      </c>
      <c r="F75" s="86">
        <f>VLOOKUP($A75,'Data shares'!$C:$FA,76)</f>
        <v>367950</v>
      </c>
      <c r="G75" s="87">
        <f>VLOOKUP(A75,'Data shares'!$C$2:$CA$215,77,0)</f>
        <v>4.1700000000000001E-2</v>
      </c>
      <c r="H75" s="86">
        <f>VLOOKUP($A75,'Data shares'!$C:$FA,90)</f>
        <v>2265175</v>
      </c>
      <c r="I75" s="86">
        <f>VLOOKUP($A75,'Data shares'!$C:$FA,92)</f>
        <v>66550</v>
      </c>
      <c r="J75" s="87">
        <f>VLOOKUP($A75,'Data shares'!$C:$FA,93)</f>
        <v>3.0300000000000001E-2</v>
      </c>
      <c r="K75" s="86">
        <f>VLOOKUP($A75,'Data shares'!$C:$FA,94)</f>
        <v>2237400</v>
      </c>
      <c r="L75" s="86">
        <f>VLOOKUP($A75,'Data shares'!$C:$FA,96)</f>
        <v>87175</v>
      </c>
      <c r="M75" s="87">
        <f>VLOOKUP($A75,'Data shares'!$C:$FA,97)</f>
        <v>4.0500000000000001E-2</v>
      </c>
      <c r="N75" s="86">
        <f>VLOOKUP($A75,'Data shares'!$C:$FA,78)</f>
        <v>8998000</v>
      </c>
      <c r="O75" s="87">
        <f>VLOOKUP($A75,'Data shares'!$C:$FA,81)</f>
        <v>4.2700000000000002E-2</v>
      </c>
    </row>
    <row r="76" spans="1:15" x14ac:dyDescent="0.25">
      <c r="A76" s="100" t="str">
        <f>'OI(Value)'!A76</f>
        <v>GRASIM</v>
      </c>
      <c r="B76" s="82">
        <f>VLOOKUP(A76,'Data shares'!$C$2:$CV$215,98,0)</f>
        <v>18896250</v>
      </c>
      <c r="C76" s="82">
        <f>VLOOKUP(A76,'Data shares'!$C$2:$CX$215,100,0)</f>
        <v>234000</v>
      </c>
      <c r="D76" s="141">
        <f>VLOOKUP(A76,'Data shares'!$C$2:$CY$538,101,0)</f>
        <v>1.2500000000000001E-2</v>
      </c>
      <c r="E76" s="86">
        <f>VLOOKUP($A76,'Data shares'!$C:$FA,74)</f>
        <v>16261500</v>
      </c>
      <c r="F76" s="86">
        <f>VLOOKUP($A76,'Data shares'!$C:$FA,76)</f>
        <v>102000</v>
      </c>
      <c r="G76" s="87">
        <f>VLOOKUP(A76,'Data shares'!$C$2:$CA$215,77,0)</f>
        <v>6.3E-3</v>
      </c>
      <c r="H76" s="86">
        <f>VLOOKUP($A76,'Data shares'!$C:$FA,90)</f>
        <v>1295500</v>
      </c>
      <c r="I76" s="86">
        <f>VLOOKUP($A76,'Data shares'!$C:$FA,92)</f>
        <v>90750</v>
      </c>
      <c r="J76" s="87">
        <f>VLOOKUP($A76,'Data shares'!$C:$FA,93)</f>
        <v>7.5300000000000006E-2</v>
      </c>
      <c r="K76" s="86">
        <f>VLOOKUP($A76,'Data shares'!$C:$FA,94)</f>
        <v>1339250</v>
      </c>
      <c r="L76" s="86">
        <f>VLOOKUP($A76,'Data shares'!$C:$FA,96)</f>
        <v>41250</v>
      </c>
      <c r="M76" s="87">
        <f>VLOOKUP($A76,'Data shares'!$C:$FA,97)</f>
        <v>3.1800000000000002E-2</v>
      </c>
      <c r="N76" s="86">
        <f>VLOOKUP($A76,'Data shares'!$C:$FA,78)</f>
        <v>16194000</v>
      </c>
      <c r="O76" s="87">
        <f>VLOOKUP($A76,'Data shares'!$C:$FA,81)</f>
        <v>6.1999999999999998E-3</v>
      </c>
    </row>
    <row r="77" spans="1:15" x14ac:dyDescent="0.25">
      <c r="A77" s="100" t="str">
        <f>'OI(Value)'!A77</f>
        <v>HAL</v>
      </c>
      <c r="B77" s="82">
        <f>VLOOKUP(A77,'Data shares'!$C$2:$CV$215,98,0)</f>
        <v>17250000</v>
      </c>
      <c r="C77" s="82">
        <f>VLOOKUP(A77,'Data shares'!$C$2:$CX$215,100,0)</f>
        <v>293550</v>
      </c>
      <c r="D77" s="141">
        <f>VLOOKUP(A77,'Data shares'!$C$2:$CY$538,101,0)</f>
        <v>1.7299999999999999E-2</v>
      </c>
      <c r="E77" s="86">
        <f>VLOOKUP($A77,'Data shares'!$C:$FA,74)</f>
        <v>9735600</v>
      </c>
      <c r="F77" s="86">
        <f>VLOOKUP($A77,'Data shares'!$C:$FA,76)</f>
        <v>-27000</v>
      </c>
      <c r="G77" s="87">
        <f>VLOOKUP(A77,'Data shares'!$C$2:$CA$215,77,0)</f>
        <v>-2.8E-3</v>
      </c>
      <c r="H77" s="86">
        <f>VLOOKUP($A77,'Data shares'!$C:$FA,90)</f>
        <v>4431000</v>
      </c>
      <c r="I77" s="86">
        <f>VLOOKUP($A77,'Data shares'!$C:$FA,92)</f>
        <v>195000</v>
      </c>
      <c r="J77" s="87">
        <f>VLOOKUP($A77,'Data shares'!$C:$FA,93)</f>
        <v>4.5999999999999999E-2</v>
      </c>
      <c r="K77" s="86">
        <f>VLOOKUP($A77,'Data shares'!$C:$FA,94)</f>
        <v>3083400</v>
      </c>
      <c r="L77" s="86">
        <f>VLOOKUP($A77,'Data shares'!$C:$FA,96)</f>
        <v>125550</v>
      </c>
      <c r="M77" s="87">
        <f>VLOOKUP($A77,'Data shares'!$C:$FA,97)</f>
        <v>4.24E-2</v>
      </c>
      <c r="N77" s="86">
        <f>VLOOKUP($A77,'Data shares'!$C:$FA,78)</f>
        <v>8831100</v>
      </c>
      <c r="O77" s="87">
        <f>VLOOKUP($A77,'Data shares'!$C:$FA,81)</f>
        <v>-5.7000000000000002E-3</v>
      </c>
    </row>
    <row r="78" spans="1:15" x14ac:dyDescent="0.25">
      <c r="A78" s="100" t="str">
        <f>'OI(Value)'!A78</f>
        <v>HAVELLS</v>
      </c>
      <c r="B78" s="82">
        <f>VLOOKUP(A78,'Data shares'!$C$2:$CV$215,98,0)</f>
        <v>13461500</v>
      </c>
      <c r="C78" s="82">
        <f>VLOOKUP(A78,'Data shares'!$C$2:$CX$215,100,0)</f>
        <v>497000</v>
      </c>
      <c r="D78" s="141">
        <f>VLOOKUP(A78,'Data shares'!$C$2:$CY$538,101,0)</f>
        <v>3.8300000000000001E-2</v>
      </c>
      <c r="E78" s="86">
        <f>VLOOKUP($A78,'Data shares'!$C:$FA,74)</f>
        <v>8732500</v>
      </c>
      <c r="F78" s="86">
        <f>VLOOKUP($A78,'Data shares'!$C:$FA,76)</f>
        <v>231000</v>
      </c>
      <c r="G78" s="87">
        <f>VLOOKUP(A78,'Data shares'!$C$2:$CA$215,77,0)</f>
        <v>2.7199999999999998E-2</v>
      </c>
      <c r="H78" s="86">
        <f>VLOOKUP($A78,'Data shares'!$C:$FA,90)</f>
        <v>2491500</v>
      </c>
      <c r="I78" s="86">
        <f>VLOOKUP($A78,'Data shares'!$C:$FA,92)</f>
        <v>94500</v>
      </c>
      <c r="J78" s="87">
        <f>VLOOKUP($A78,'Data shares'!$C:$FA,93)</f>
        <v>3.9399999999999998E-2</v>
      </c>
      <c r="K78" s="86">
        <f>VLOOKUP($A78,'Data shares'!$C:$FA,94)</f>
        <v>2237500</v>
      </c>
      <c r="L78" s="86">
        <f>VLOOKUP($A78,'Data shares'!$C:$FA,96)</f>
        <v>171500</v>
      </c>
      <c r="M78" s="87">
        <f>VLOOKUP($A78,'Data shares'!$C:$FA,97)</f>
        <v>8.3000000000000004E-2</v>
      </c>
      <c r="N78" s="86">
        <f>VLOOKUP($A78,'Data shares'!$C:$FA,78)</f>
        <v>8506000</v>
      </c>
      <c r="O78" s="87">
        <f>VLOOKUP($A78,'Data shares'!$C:$FA,81)</f>
        <v>2.75E-2</v>
      </c>
    </row>
    <row r="79" spans="1:15" x14ac:dyDescent="0.25">
      <c r="A79" s="100" t="str">
        <f>'OI(Value)'!A79</f>
        <v>HCLTECH</v>
      </c>
      <c r="B79" s="82">
        <f>VLOOKUP(A79,'Data shares'!$C$2:$CV$215,98,0)</f>
        <v>29560650</v>
      </c>
      <c r="C79" s="82">
        <f>VLOOKUP(A79,'Data shares'!$C$2:$CX$215,100,0)</f>
        <v>3784200</v>
      </c>
      <c r="D79" s="141">
        <f>VLOOKUP(A79,'Data shares'!$C$2:$CY$538,101,0)</f>
        <v>0.14680000000000001</v>
      </c>
      <c r="E79" s="86">
        <f>VLOOKUP($A79,'Data shares'!$C:$FA,74)</f>
        <v>17554600</v>
      </c>
      <c r="F79" s="86">
        <f>VLOOKUP($A79,'Data shares'!$C:$FA,76)</f>
        <v>1118250</v>
      </c>
      <c r="G79" s="87">
        <f>VLOOKUP(A79,'Data shares'!$C$2:$CA$215,77,0)</f>
        <v>6.8000000000000005E-2</v>
      </c>
      <c r="H79" s="86">
        <f>VLOOKUP($A79,'Data shares'!$C:$FA,90)</f>
        <v>8170400</v>
      </c>
      <c r="I79" s="86">
        <f>VLOOKUP($A79,'Data shares'!$C:$FA,92)</f>
        <v>2151800</v>
      </c>
      <c r="J79" s="87">
        <f>VLOOKUP($A79,'Data shares'!$C:$FA,93)</f>
        <v>0.35749999999999998</v>
      </c>
      <c r="K79" s="86">
        <f>VLOOKUP($A79,'Data shares'!$C:$FA,94)</f>
        <v>3835650</v>
      </c>
      <c r="L79" s="86">
        <f>VLOOKUP($A79,'Data shares'!$C:$FA,96)</f>
        <v>514150</v>
      </c>
      <c r="M79" s="87">
        <f>VLOOKUP($A79,'Data shares'!$C:$FA,97)</f>
        <v>0.15479999999999999</v>
      </c>
      <c r="N79" s="86">
        <f>VLOOKUP($A79,'Data shares'!$C:$FA,78)</f>
        <v>17290700</v>
      </c>
      <c r="O79" s="87">
        <f>VLOOKUP($A79,'Data shares'!$C:$FA,81)</f>
        <v>6.9199999999999998E-2</v>
      </c>
    </row>
    <row r="80" spans="1:15" x14ac:dyDescent="0.25">
      <c r="A80" s="100" t="str">
        <f>'OI(Value)'!A80</f>
        <v>HDFCAMC</v>
      </c>
      <c r="B80" s="82">
        <f>VLOOKUP(A80,'Data shares'!$C$2:$CV$215,98,0)</f>
        <v>9477300</v>
      </c>
      <c r="C80" s="82">
        <f>VLOOKUP(A80,'Data shares'!$C$2:$CX$215,100,0)</f>
        <v>456900</v>
      </c>
      <c r="D80" s="141">
        <f>VLOOKUP(A80,'Data shares'!$C$2:$CY$538,101,0)</f>
        <v>5.0700000000000002E-2</v>
      </c>
      <c r="E80" s="86">
        <f>VLOOKUP($A80,'Data shares'!$C:$FA,74)</f>
        <v>6575100</v>
      </c>
      <c r="F80" s="86">
        <f>VLOOKUP($A80,'Data shares'!$C:$FA,76)</f>
        <v>76800</v>
      </c>
      <c r="G80" s="87">
        <f>VLOOKUP(A80,'Data shares'!$C$2:$CA$215,77,0)</f>
        <v>1.18E-2</v>
      </c>
      <c r="H80" s="86">
        <f>VLOOKUP($A80,'Data shares'!$C:$FA,90)</f>
        <v>1763100</v>
      </c>
      <c r="I80" s="86">
        <f>VLOOKUP($A80,'Data shares'!$C:$FA,92)</f>
        <v>278400</v>
      </c>
      <c r="J80" s="87">
        <f>VLOOKUP($A80,'Data shares'!$C:$FA,93)</f>
        <v>0.1875</v>
      </c>
      <c r="K80" s="86">
        <f>VLOOKUP($A80,'Data shares'!$C:$FA,94)</f>
        <v>1139100</v>
      </c>
      <c r="L80" s="86">
        <f>VLOOKUP($A80,'Data shares'!$C:$FA,96)</f>
        <v>101700</v>
      </c>
      <c r="M80" s="87">
        <f>VLOOKUP($A80,'Data shares'!$C:$FA,97)</f>
        <v>9.8000000000000004E-2</v>
      </c>
      <c r="N80" s="86">
        <f>VLOOKUP($A80,'Data shares'!$C:$FA,78)</f>
        <v>6445200</v>
      </c>
      <c r="O80" s="87">
        <f>VLOOKUP($A80,'Data shares'!$C:$FA,81)</f>
        <v>9.4999999999999998E-3</v>
      </c>
    </row>
    <row r="81" spans="1:15" x14ac:dyDescent="0.25">
      <c r="A81" s="100" t="str">
        <f>'OI(Value)'!A81</f>
        <v>HDFCBANK</v>
      </c>
      <c r="B81" s="82">
        <f>VLOOKUP(A81,'Data shares'!$C$2:$CV$215,98,0)</f>
        <v>322696000</v>
      </c>
      <c r="C81" s="82">
        <f>VLOOKUP(A81,'Data shares'!$C$2:$CX$215,100,0)</f>
        <v>20039800</v>
      </c>
      <c r="D81" s="141">
        <f>VLOOKUP(A81,'Data shares'!$C$2:$CY$538,101,0)</f>
        <v>6.6199999999999995E-2</v>
      </c>
      <c r="E81" s="86">
        <f>VLOOKUP($A81,'Data shares'!$C:$FA,74)</f>
        <v>225541250</v>
      </c>
      <c r="F81" s="86">
        <f>VLOOKUP($A81,'Data shares'!$C:$FA,76)</f>
        <v>3286250</v>
      </c>
      <c r="G81" s="87">
        <f>VLOOKUP(A81,'Data shares'!$C$2:$CA$215,77,0)</f>
        <v>1.4800000000000001E-2</v>
      </c>
      <c r="H81" s="86">
        <f>VLOOKUP($A81,'Data shares'!$C:$FA,90)</f>
        <v>61726500</v>
      </c>
      <c r="I81" s="86">
        <f>VLOOKUP($A81,'Data shares'!$C:$FA,92)</f>
        <v>11623150</v>
      </c>
      <c r="J81" s="87">
        <f>VLOOKUP($A81,'Data shares'!$C:$FA,93)</f>
        <v>0.23200000000000001</v>
      </c>
      <c r="K81" s="86">
        <f>VLOOKUP($A81,'Data shares'!$C:$FA,94)</f>
        <v>35428250</v>
      </c>
      <c r="L81" s="86">
        <f>VLOOKUP($A81,'Data shares'!$C:$FA,96)</f>
        <v>5130400</v>
      </c>
      <c r="M81" s="87">
        <f>VLOOKUP($A81,'Data shares'!$C:$FA,97)</f>
        <v>0.16930000000000001</v>
      </c>
      <c r="N81" s="86">
        <f>VLOOKUP($A81,'Data shares'!$C:$FA,78)</f>
        <v>216218200</v>
      </c>
      <c r="O81" s="87">
        <f>VLOOKUP($A81,'Data shares'!$C:$FA,81)</f>
        <v>-3.3999999999999998E-3</v>
      </c>
    </row>
    <row r="82" spans="1:15" x14ac:dyDescent="0.25">
      <c r="A82" s="100" t="str">
        <f>'OI(Value)'!A82</f>
        <v>HDFCLIFE</v>
      </c>
      <c r="B82" s="82">
        <f>VLOOKUP(A82,'Data shares'!$C$2:$CV$215,98,0)</f>
        <v>52770300</v>
      </c>
      <c r="C82" s="82">
        <f>VLOOKUP(A82,'Data shares'!$C$2:$CX$215,100,0)</f>
        <v>726000</v>
      </c>
      <c r="D82" s="141">
        <f>VLOOKUP(A82,'Data shares'!$C$2:$CY$538,101,0)</f>
        <v>1.3899999999999999E-2</v>
      </c>
      <c r="E82" s="86">
        <f>VLOOKUP($A82,'Data shares'!$C:$FA,74)</f>
        <v>36047000</v>
      </c>
      <c r="F82" s="86">
        <f>VLOOKUP($A82,'Data shares'!$C:$FA,76)</f>
        <v>-254100</v>
      </c>
      <c r="G82" s="87">
        <f>VLOOKUP(A82,'Data shares'!$C$2:$CA$215,77,0)</f>
        <v>-7.0000000000000001E-3</v>
      </c>
      <c r="H82" s="86">
        <f>VLOOKUP($A82,'Data shares'!$C:$FA,90)</f>
        <v>10151900</v>
      </c>
      <c r="I82" s="86">
        <f>VLOOKUP($A82,'Data shares'!$C:$FA,92)</f>
        <v>624800</v>
      </c>
      <c r="J82" s="87">
        <f>VLOOKUP($A82,'Data shares'!$C:$FA,93)</f>
        <v>6.5600000000000006E-2</v>
      </c>
      <c r="K82" s="86">
        <f>VLOOKUP($A82,'Data shares'!$C:$FA,94)</f>
        <v>6571400</v>
      </c>
      <c r="L82" s="86">
        <f>VLOOKUP($A82,'Data shares'!$C:$FA,96)</f>
        <v>355300</v>
      </c>
      <c r="M82" s="87">
        <f>VLOOKUP($A82,'Data shares'!$C:$FA,97)</f>
        <v>5.7200000000000001E-2</v>
      </c>
      <c r="N82" s="86">
        <f>VLOOKUP($A82,'Data shares'!$C:$FA,78)</f>
        <v>35619100</v>
      </c>
      <c r="O82" s="87">
        <f>VLOOKUP($A82,'Data shares'!$C:$FA,81)</f>
        <v>-7.3000000000000001E-3</v>
      </c>
    </row>
    <row r="83" spans="1:15" x14ac:dyDescent="0.25">
      <c r="A83" s="100" t="str">
        <f>'OI(Value)'!A83</f>
        <v>HEROMOTOCO</v>
      </c>
      <c r="B83" s="82">
        <f>VLOOKUP(A83,'Data shares'!$C$2:$CV$215,98,0)</f>
        <v>9596250</v>
      </c>
      <c r="C83" s="82">
        <f>VLOOKUP(A83,'Data shares'!$C$2:$CX$215,100,0)</f>
        <v>27750</v>
      </c>
      <c r="D83" s="141">
        <f>VLOOKUP(A83,'Data shares'!$C$2:$CY$538,101,0)</f>
        <v>2.8999999999999998E-3</v>
      </c>
      <c r="E83" s="86">
        <f>VLOOKUP($A83,'Data shares'!$C:$FA,74)</f>
        <v>5714400</v>
      </c>
      <c r="F83" s="86">
        <f>VLOOKUP($A83,'Data shares'!$C:$FA,76)</f>
        <v>-3000</v>
      </c>
      <c r="G83" s="87">
        <f>VLOOKUP(A83,'Data shares'!$C$2:$CA$215,77,0)</f>
        <v>-5.0000000000000001E-4</v>
      </c>
      <c r="H83" s="86">
        <f>VLOOKUP($A83,'Data shares'!$C:$FA,90)</f>
        <v>2330250</v>
      </c>
      <c r="I83" s="86">
        <f>VLOOKUP($A83,'Data shares'!$C:$FA,92)</f>
        <v>19200</v>
      </c>
      <c r="J83" s="87">
        <f>VLOOKUP($A83,'Data shares'!$C:$FA,93)</f>
        <v>8.3000000000000001E-3</v>
      </c>
      <c r="K83" s="86">
        <f>VLOOKUP($A83,'Data shares'!$C:$FA,94)</f>
        <v>1551600</v>
      </c>
      <c r="L83" s="86">
        <f>VLOOKUP($A83,'Data shares'!$C:$FA,96)</f>
        <v>11550</v>
      </c>
      <c r="M83" s="87">
        <f>VLOOKUP($A83,'Data shares'!$C:$FA,97)</f>
        <v>7.4999999999999997E-3</v>
      </c>
      <c r="N83" s="86">
        <f>VLOOKUP($A83,'Data shares'!$C:$FA,78)</f>
        <v>5605200</v>
      </c>
      <c r="O83" s="87">
        <f>VLOOKUP($A83,'Data shares'!$C:$FA,81)</f>
        <v>-6.9999999999999999E-4</v>
      </c>
    </row>
    <row r="84" spans="1:15" x14ac:dyDescent="0.25">
      <c r="A84" s="100" t="str">
        <f>'OI(Value)'!A84</f>
        <v>HINDALCO</v>
      </c>
      <c r="B84" s="82">
        <f>VLOOKUP(A84,'Data shares'!$C$2:$CV$215,98,0)</f>
        <v>88462500</v>
      </c>
      <c r="C84" s="82">
        <f>VLOOKUP(A84,'Data shares'!$C$2:$CX$215,100,0)</f>
        <v>-2780400</v>
      </c>
      <c r="D84" s="141">
        <f>VLOOKUP(A84,'Data shares'!$C$2:$CY$538,101,0)</f>
        <v>-3.0499999999999999E-2</v>
      </c>
      <c r="E84" s="86">
        <f>VLOOKUP($A84,'Data shares'!$C:$FA,74)</f>
        <v>57831200</v>
      </c>
      <c r="F84" s="86">
        <f>VLOOKUP($A84,'Data shares'!$C:$FA,76)</f>
        <v>-2675400</v>
      </c>
      <c r="G84" s="87">
        <f>VLOOKUP(A84,'Data shares'!$C$2:$CA$215,77,0)</f>
        <v>-4.4200000000000003E-2</v>
      </c>
      <c r="H84" s="86">
        <f>VLOOKUP($A84,'Data shares'!$C:$FA,90)</f>
        <v>16718100</v>
      </c>
      <c r="I84" s="86">
        <f>VLOOKUP($A84,'Data shares'!$C:$FA,92)</f>
        <v>474600</v>
      </c>
      <c r="J84" s="87">
        <f>VLOOKUP($A84,'Data shares'!$C:$FA,93)</f>
        <v>2.92E-2</v>
      </c>
      <c r="K84" s="86">
        <f>VLOOKUP($A84,'Data shares'!$C:$FA,94)</f>
        <v>13913200</v>
      </c>
      <c r="L84" s="86">
        <f>VLOOKUP($A84,'Data shares'!$C:$FA,96)</f>
        <v>-579600</v>
      </c>
      <c r="M84" s="87">
        <f>VLOOKUP($A84,'Data shares'!$C:$FA,97)</f>
        <v>-0.04</v>
      </c>
      <c r="N84" s="86">
        <f>VLOOKUP($A84,'Data shares'!$C:$FA,78)</f>
        <v>57014300</v>
      </c>
      <c r="O84" s="87">
        <f>VLOOKUP($A84,'Data shares'!$C:$FA,81)</f>
        <v>-4.4600000000000001E-2</v>
      </c>
    </row>
    <row r="85" spans="1:15" x14ac:dyDescent="0.25">
      <c r="A85" s="100" t="str">
        <f>'OI(Value)'!A85</f>
        <v>HINDPETRO</v>
      </c>
      <c r="B85" s="82">
        <f>VLOOKUP(A85,'Data shares'!$C$2:$CV$215,98,0)</f>
        <v>61268400</v>
      </c>
      <c r="C85" s="82">
        <f>VLOOKUP(A85,'Data shares'!$C$2:$CX$215,100,0)</f>
        <v>1182600</v>
      </c>
      <c r="D85" s="141">
        <f>VLOOKUP(A85,'Data shares'!$C$2:$CY$538,101,0)</f>
        <v>1.9699999999999999E-2</v>
      </c>
      <c r="E85" s="86">
        <f>VLOOKUP($A85,'Data shares'!$C:$FA,74)</f>
        <v>37711575</v>
      </c>
      <c r="F85" s="86">
        <f>VLOOKUP($A85,'Data shares'!$C:$FA,76)</f>
        <v>-172125</v>
      </c>
      <c r="G85" s="87">
        <f>VLOOKUP(A85,'Data shares'!$C$2:$CA$215,77,0)</f>
        <v>-4.4999999999999997E-3</v>
      </c>
      <c r="H85" s="86">
        <f>VLOOKUP($A85,'Data shares'!$C:$FA,90)</f>
        <v>15240150</v>
      </c>
      <c r="I85" s="86">
        <f>VLOOKUP($A85,'Data shares'!$C:$FA,92)</f>
        <v>895050</v>
      </c>
      <c r="J85" s="87">
        <f>VLOOKUP($A85,'Data shares'!$C:$FA,93)</f>
        <v>6.2399999999999997E-2</v>
      </c>
      <c r="K85" s="86">
        <f>VLOOKUP($A85,'Data shares'!$C:$FA,94)</f>
        <v>8316675</v>
      </c>
      <c r="L85" s="86">
        <f>VLOOKUP($A85,'Data shares'!$C:$FA,96)</f>
        <v>459675</v>
      </c>
      <c r="M85" s="87">
        <f>VLOOKUP($A85,'Data shares'!$C:$FA,97)</f>
        <v>5.8500000000000003E-2</v>
      </c>
      <c r="N85" s="86">
        <f>VLOOKUP($A85,'Data shares'!$C:$FA,78)</f>
        <v>36190800</v>
      </c>
      <c r="O85" s="87">
        <f>VLOOKUP($A85,'Data shares'!$C:$FA,81)</f>
        <v>-5.0000000000000001E-3</v>
      </c>
    </row>
    <row r="86" spans="1:15" x14ac:dyDescent="0.25">
      <c r="A86" s="100" t="str">
        <f>'OI(Value)'!A86</f>
        <v>HINDUNILVR</v>
      </c>
      <c r="B86" s="82">
        <f>VLOOKUP(A86,'Data shares'!$C$2:$CV$215,98,0)</f>
        <v>22739400</v>
      </c>
      <c r="C86" s="82">
        <f>VLOOKUP(A86,'Data shares'!$C$2:$CX$215,100,0)</f>
        <v>710700</v>
      </c>
      <c r="D86" s="141">
        <f>VLOOKUP(A86,'Data shares'!$C$2:$CY$538,101,0)</f>
        <v>3.2300000000000002E-2</v>
      </c>
      <c r="E86" s="86">
        <f>VLOOKUP($A86,'Data shares'!$C:$FA,74)</f>
        <v>13778700</v>
      </c>
      <c r="F86" s="86">
        <f>VLOOKUP($A86,'Data shares'!$C:$FA,76)</f>
        <v>392400</v>
      </c>
      <c r="G86" s="87">
        <f>VLOOKUP(A86,'Data shares'!$C$2:$CA$215,77,0)</f>
        <v>2.93E-2</v>
      </c>
      <c r="H86" s="86">
        <f>VLOOKUP($A86,'Data shares'!$C:$FA,90)</f>
        <v>5576100</v>
      </c>
      <c r="I86" s="86">
        <f>VLOOKUP($A86,'Data shares'!$C:$FA,92)</f>
        <v>450300</v>
      </c>
      <c r="J86" s="87">
        <f>VLOOKUP($A86,'Data shares'!$C:$FA,93)</f>
        <v>8.7800000000000003E-2</v>
      </c>
      <c r="K86" s="86">
        <f>VLOOKUP($A86,'Data shares'!$C:$FA,94)</f>
        <v>3384600</v>
      </c>
      <c r="L86" s="86">
        <f>VLOOKUP($A86,'Data shares'!$C:$FA,96)</f>
        <v>-132000</v>
      </c>
      <c r="M86" s="87">
        <f>VLOOKUP($A86,'Data shares'!$C:$FA,97)</f>
        <v>-3.7499999999999999E-2</v>
      </c>
      <c r="N86" s="86">
        <f>VLOOKUP($A86,'Data shares'!$C:$FA,78)</f>
        <v>13515000</v>
      </c>
      <c r="O86" s="87">
        <f>VLOOKUP($A86,'Data shares'!$C:$FA,81)</f>
        <v>2.8199999999999999E-2</v>
      </c>
    </row>
    <row r="87" spans="1:15" x14ac:dyDescent="0.25">
      <c r="A87" s="100" t="str">
        <f>'OI(Value)'!A87</f>
        <v>HINDZINC</v>
      </c>
      <c r="B87" s="82">
        <f>VLOOKUP(A87,'Data shares'!$C$2:$CV$215,98,0)</f>
        <v>101819550</v>
      </c>
      <c r="C87" s="82">
        <f>VLOOKUP(A87,'Data shares'!$C$2:$CX$215,100,0)</f>
        <v>6003725</v>
      </c>
      <c r="D87" s="141">
        <f>VLOOKUP(A87,'Data shares'!$C$2:$CY$538,101,0)</f>
        <v>6.2700000000000006E-2</v>
      </c>
      <c r="E87" s="86">
        <f>VLOOKUP($A87,'Data shares'!$C:$FA,74)</f>
        <v>34600125</v>
      </c>
      <c r="F87" s="86">
        <f>VLOOKUP($A87,'Data shares'!$C:$FA,76)</f>
        <v>-12250</v>
      </c>
      <c r="G87" s="87">
        <f>VLOOKUP(A87,'Data shares'!$C$2:$CA$215,77,0)</f>
        <v>-4.0000000000000002E-4</v>
      </c>
      <c r="H87" s="86">
        <f>VLOOKUP($A87,'Data shares'!$C:$FA,90)</f>
        <v>41692875</v>
      </c>
      <c r="I87" s="86">
        <f>VLOOKUP($A87,'Data shares'!$C:$FA,92)</f>
        <v>5005350</v>
      </c>
      <c r="J87" s="87">
        <f>VLOOKUP($A87,'Data shares'!$C:$FA,93)</f>
        <v>0.13639999999999999</v>
      </c>
      <c r="K87" s="86">
        <f>VLOOKUP($A87,'Data shares'!$C:$FA,94)</f>
        <v>25526550</v>
      </c>
      <c r="L87" s="86">
        <f>VLOOKUP($A87,'Data shares'!$C:$FA,96)</f>
        <v>1010625</v>
      </c>
      <c r="M87" s="87">
        <f>VLOOKUP($A87,'Data shares'!$C:$FA,97)</f>
        <v>4.1200000000000001E-2</v>
      </c>
      <c r="N87" s="86">
        <f>VLOOKUP($A87,'Data shares'!$C:$FA,78)</f>
        <v>31831625</v>
      </c>
      <c r="O87" s="87">
        <f>VLOOKUP($A87,'Data shares'!$C:$FA,81)</f>
        <v>-2.3E-3</v>
      </c>
    </row>
    <row r="88" spans="1:15" x14ac:dyDescent="0.25">
      <c r="A88" s="100" t="str">
        <f>'OI(Value)'!A88</f>
        <v>HUDCO</v>
      </c>
      <c r="B88" s="82">
        <f>VLOOKUP(A88,'Data shares'!$C$2:$CV$215,98,0)</f>
        <v>74242350</v>
      </c>
      <c r="C88" s="82">
        <f>VLOOKUP(A88,'Data shares'!$C$2:$CX$215,100,0)</f>
        <v>1542900</v>
      </c>
      <c r="D88" s="141">
        <f>VLOOKUP(A88,'Data shares'!$C$2:$CY$538,101,0)</f>
        <v>2.12E-2</v>
      </c>
      <c r="E88" s="86">
        <f>VLOOKUP($A88,'Data shares'!$C:$FA,74)</f>
        <v>39843450</v>
      </c>
      <c r="F88" s="86">
        <f>VLOOKUP($A88,'Data shares'!$C:$FA,76)</f>
        <v>-233100</v>
      </c>
      <c r="G88" s="87">
        <f>VLOOKUP(A88,'Data shares'!$C$2:$CA$215,77,0)</f>
        <v>-5.7999999999999996E-3</v>
      </c>
      <c r="H88" s="86">
        <f>VLOOKUP($A88,'Data shares'!$C:$FA,90)</f>
        <v>19988325</v>
      </c>
      <c r="I88" s="86">
        <f>VLOOKUP($A88,'Data shares'!$C:$FA,92)</f>
        <v>1404150</v>
      </c>
      <c r="J88" s="87">
        <f>VLOOKUP($A88,'Data shares'!$C:$FA,93)</f>
        <v>7.5600000000000001E-2</v>
      </c>
      <c r="K88" s="86">
        <f>VLOOKUP($A88,'Data shares'!$C:$FA,94)</f>
        <v>14410575</v>
      </c>
      <c r="L88" s="86">
        <f>VLOOKUP($A88,'Data shares'!$C:$FA,96)</f>
        <v>371850</v>
      </c>
      <c r="M88" s="87">
        <f>VLOOKUP($A88,'Data shares'!$C:$FA,97)</f>
        <v>2.6499999999999999E-2</v>
      </c>
      <c r="N88" s="86">
        <f>VLOOKUP($A88,'Data shares'!$C:$FA,78)</f>
        <v>38264475</v>
      </c>
      <c r="O88" s="87">
        <f>VLOOKUP($A88,'Data shares'!$C:$FA,81)</f>
        <v>-7.9000000000000008E-3</v>
      </c>
    </row>
    <row r="89" spans="1:15" x14ac:dyDescent="0.25">
      <c r="A89" s="100" t="str">
        <f>'OI(Value)'!A89</f>
        <v>ICICIBANK</v>
      </c>
      <c r="B89" s="82">
        <f>VLOOKUP(A89,'Data shares'!$C$2:$CV$215,98,0)</f>
        <v>171324300</v>
      </c>
      <c r="C89" s="82">
        <f>VLOOKUP(A89,'Data shares'!$C$2:$CX$215,100,0)</f>
        <v>-2735600</v>
      </c>
      <c r="D89" s="141">
        <f>VLOOKUP(A89,'Data shares'!$C$2:$CY$538,101,0)</f>
        <v>-1.5699999999999999E-2</v>
      </c>
      <c r="E89" s="86">
        <f>VLOOKUP($A89,'Data shares'!$C:$FA,74)</f>
        <v>113465800</v>
      </c>
      <c r="F89" s="86">
        <f>VLOOKUP($A89,'Data shares'!$C:$FA,76)</f>
        <v>-5842200</v>
      </c>
      <c r="G89" s="87">
        <f>VLOOKUP(A89,'Data shares'!$C$2:$CA$215,77,0)</f>
        <v>-4.9000000000000002E-2</v>
      </c>
      <c r="H89" s="86">
        <f>VLOOKUP($A89,'Data shares'!$C:$FA,90)</f>
        <v>33915000</v>
      </c>
      <c r="I89" s="86">
        <f>VLOOKUP($A89,'Data shares'!$C:$FA,92)</f>
        <v>2800000</v>
      </c>
      <c r="J89" s="87">
        <f>VLOOKUP($A89,'Data shares'!$C:$FA,93)</f>
        <v>0.09</v>
      </c>
      <c r="K89" s="86">
        <f>VLOOKUP($A89,'Data shares'!$C:$FA,94)</f>
        <v>23943500</v>
      </c>
      <c r="L89" s="86">
        <f>VLOOKUP($A89,'Data shares'!$C:$FA,96)</f>
        <v>306600</v>
      </c>
      <c r="M89" s="87">
        <f>VLOOKUP($A89,'Data shares'!$C:$FA,97)</f>
        <v>1.2999999999999999E-2</v>
      </c>
      <c r="N89" s="86">
        <f>VLOOKUP($A89,'Data shares'!$C:$FA,78)</f>
        <v>110413100</v>
      </c>
      <c r="O89" s="87">
        <f>VLOOKUP($A89,'Data shares'!$C:$FA,81)</f>
        <v>-5.4100000000000002E-2</v>
      </c>
    </row>
    <row r="90" spans="1:15" x14ac:dyDescent="0.25">
      <c r="A90" s="100" t="str">
        <f>'OI(Value)'!A90</f>
        <v>ICICIGI</v>
      </c>
      <c r="B90" s="82">
        <f>VLOOKUP(A90,'Data shares'!$C$2:$CV$215,98,0)</f>
        <v>7012525</v>
      </c>
      <c r="C90" s="82">
        <f>VLOOKUP(A90,'Data shares'!$C$2:$CX$215,100,0)</f>
        <v>153725</v>
      </c>
      <c r="D90" s="141">
        <f>VLOOKUP(A90,'Data shares'!$C$2:$CY$538,101,0)</f>
        <v>2.24E-2</v>
      </c>
      <c r="E90" s="86">
        <f>VLOOKUP($A90,'Data shares'!$C:$FA,74)</f>
        <v>5159050</v>
      </c>
      <c r="F90" s="86">
        <f>VLOOKUP($A90,'Data shares'!$C:$FA,76)</f>
        <v>-5850</v>
      </c>
      <c r="G90" s="87">
        <f>VLOOKUP(A90,'Data shares'!$C$2:$CA$215,77,0)</f>
        <v>-1.1000000000000001E-3</v>
      </c>
      <c r="H90" s="86">
        <f>VLOOKUP($A90,'Data shares'!$C:$FA,90)</f>
        <v>993850</v>
      </c>
      <c r="I90" s="86">
        <f>VLOOKUP($A90,'Data shares'!$C:$FA,92)</f>
        <v>118625</v>
      </c>
      <c r="J90" s="87">
        <f>VLOOKUP($A90,'Data shares'!$C:$FA,93)</f>
        <v>0.13550000000000001</v>
      </c>
      <c r="K90" s="86">
        <f>VLOOKUP($A90,'Data shares'!$C:$FA,94)</f>
        <v>859625</v>
      </c>
      <c r="L90" s="86">
        <f>VLOOKUP($A90,'Data shares'!$C:$FA,96)</f>
        <v>40950</v>
      </c>
      <c r="M90" s="87">
        <f>VLOOKUP($A90,'Data shares'!$C:$FA,97)</f>
        <v>0.05</v>
      </c>
      <c r="N90" s="86">
        <f>VLOOKUP($A90,'Data shares'!$C:$FA,78)</f>
        <v>5129150</v>
      </c>
      <c r="O90" s="87">
        <f>VLOOKUP($A90,'Data shares'!$C:$FA,81)</f>
        <v>-1.2999999999999999E-3</v>
      </c>
    </row>
    <row r="91" spans="1:15" x14ac:dyDescent="0.25">
      <c r="A91" s="100" t="str">
        <f>'OI(Value)'!A91</f>
        <v>ICICIPRULI</v>
      </c>
      <c r="B91" s="82">
        <f>VLOOKUP(A91,'Data shares'!$C$2:$CV$215,98,0)</f>
        <v>21451675</v>
      </c>
      <c r="C91" s="82">
        <f>VLOOKUP(A91,'Data shares'!$C$2:$CX$215,100,0)</f>
        <v>-267325</v>
      </c>
      <c r="D91" s="141">
        <f>VLOOKUP(A91,'Data shares'!$C$2:$CY$538,101,0)</f>
        <v>-1.23E-2</v>
      </c>
      <c r="E91" s="86">
        <f>VLOOKUP($A91,'Data shares'!$C:$FA,74)</f>
        <v>16150500</v>
      </c>
      <c r="F91" s="86">
        <f>VLOOKUP($A91,'Data shares'!$C:$FA,76)</f>
        <v>-592000</v>
      </c>
      <c r="G91" s="87">
        <f>VLOOKUP(A91,'Data shares'!$C$2:$CA$215,77,0)</f>
        <v>-3.5400000000000001E-2</v>
      </c>
      <c r="H91" s="86">
        <f>VLOOKUP($A91,'Data shares'!$C:$FA,90)</f>
        <v>2730600</v>
      </c>
      <c r="I91" s="86">
        <f>VLOOKUP($A91,'Data shares'!$C:$FA,92)</f>
        <v>211825</v>
      </c>
      <c r="J91" s="87">
        <f>VLOOKUP($A91,'Data shares'!$C:$FA,93)</f>
        <v>8.4099999999999994E-2</v>
      </c>
      <c r="K91" s="86">
        <f>VLOOKUP($A91,'Data shares'!$C:$FA,94)</f>
        <v>2570575</v>
      </c>
      <c r="L91" s="86">
        <f>VLOOKUP($A91,'Data shares'!$C:$FA,96)</f>
        <v>112850</v>
      </c>
      <c r="M91" s="87">
        <f>VLOOKUP($A91,'Data shares'!$C:$FA,97)</f>
        <v>4.5900000000000003E-2</v>
      </c>
      <c r="N91" s="86">
        <f>VLOOKUP($A91,'Data shares'!$C:$FA,78)</f>
        <v>16049675</v>
      </c>
      <c r="O91" s="87">
        <f>VLOOKUP($A91,'Data shares'!$C:$FA,81)</f>
        <v>-3.6400000000000002E-2</v>
      </c>
    </row>
    <row r="92" spans="1:15" x14ac:dyDescent="0.25">
      <c r="A92" s="100" t="str">
        <f>'OI(Value)'!A92</f>
        <v>IDEA</v>
      </c>
      <c r="B92" s="82">
        <f>VLOOKUP(A92,'Data shares'!$C$2:$CV$215,98,0)</f>
        <v>11269677675</v>
      </c>
      <c r="C92" s="82">
        <f>VLOOKUP(A92,'Data shares'!$C$2:$CX$215,100,0)</f>
        <v>13294350</v>
      </c>
      <c r="D92" s="141">
        <f>VLOOKUP(A92,'Data shares'!$C$2:$CY$538,101,0)</f>
        <v>1.1999999999999999E-3</v>
      </c>
      <c r="E92" s="86">
        <f>VLOOKUP($A92,'Data shares'!$C:$FA,74)</f>
        <v>7169728725</v>
      </c>
      <c r="F92" s="86">
        <f>VLOOKUP($A92,'Data shares'!$C:$FA,76)</f>
        <v>-5432100</v>
      </c>
      <c r="G92" s="87">
        <f>VLOOKUP(A92,'Data shares'!$C$2:$CA$215,77,0)</f>
        <v>-8.0000000000000004E-4</v>
      </c>
      <c r="H92" s="86">
        <f>VLOOKUP($A92,'Data shares'!$C:$FA,90)</f>
        <v>2552729625</v>
      </c>
      <c r="I92" s="86">
        <f>VLOOKUP($A92,'Data shares'!$C:$FA,92)</f>
        <v>38596500</v>
      </c>
      <c r="J92" s="87">
        <f>VLOOKUP($A92,'Data shares'!$C:$FA,93)</f>
        <v>1.54E-2</v>
      </c>
      <c r="K92" s="86">
        <f>VLOOKUP($A92,'Data shares'!$C:$FA,94)</f>
        <v>1547219325</v>
      </c>
      <c r="L92" s="86">
        <f>VLOOKUP($A92,'Data shares'!$C:$FA,96)</f>
        <v>-19870050</v>
      </c>
      <c r="M92" s="87">
        <f>VLOOKUP($A92,'Data shares'!$C:$FA,97)</f>
        <v>-1.2699999999999999E-2</v>
      </c>
      <c r="N92" s="86">
        <f>VLOOKUP($A92,'Data shares'!$C:$FA,78)</f>
        <v>6747382950</v>
      </c>
      <c r="O92" s="87">
        <f>VLOOKUP($A92,'Data shares'!$C:$FA,81)</f>
        <v>-2.0999999999999999E-3</v>
      </c>
    </row>
    <row r="93" spans="1:15" x14ac:dyDescent="0.25">
      <c r="A93" s="100" t="str">
        <f>'OI(Value)'!A93</f>
        <v>IDFCFIRSTB</v>
      </c>
      <c r="B93" s="82">
        <f>VLOOKUP(A93,'Data shares'!$C$2:$CV$215,98,0)</f>
        <v>506090375</v>
      </c>
      <c r="C93" s="82">
        <f>VLOOKUP(A93,'Data shares'!$C$2:$CX$215,100,0)</f>
        <v>14895650</v>
      </c>
      <c r="D93" s="141">
        <f>VLOOKUP(A93,'Data shares'!$C$2:$CY$538,101,0)</f>
        <v>3.0300000000000001E-2</v>
      </c>
      <c r="E93" s="86">
        <f>VLOOKUP($A93,'Data shares'!$C:$FA,74)</f>
        <v>323187375</v>
      </c>
      <c r="F93" s="86">
        <f>VLOOKUP($A93,'Data shares'!$C:$FA,76)</f>
        <v>8505175</v>
      </c>
      <c r="G93" s="87">
        <f>VLOOKUP(A93,'Data shares'!$C$2:$CA$215,77,0)</f>
        <v>2.7E-2</v>
      </c>
      <c r="H93" s="86">
        <f>VLOOKUP($A93,'Data shares'!$C:$FA,90)</f>
        <v>117542075</v>
      </c>
      <c r="I93" s="86">
        <f>VLOOKUP($A93,'Data shares'!$C:$FA,92)</f>
        <v>4043900</v>
      </c>
      <c r="J93" s="87">
        <f>VLOOKUP($A93,'Data shares'!$C:$FA,93)</f>
        <v>3.56E-2</v>
      </c>
      <c r="K93" s="86">
        <f>VLOOKUP($A93,'Data shares'!$C:$FA,94)</f>
        <v>65360925</v>
      </c>
      <c r="L93" s="86">
        <f>VLOOKUP($A93,'Data shares'!$C:$FA,96)</f>
        <v>2346575</v>
      </c>
      <c r="M93" s="87">
        <f>VLOOKUP($A93,'Data shares'!$C:$FA,97)</f>
        <v>3.7199999999999997E-2</v>
      </c>
      <c r="N93" s="86">
        <f>VLOOKUP($A93,'Data shares'!$C:$FA,78)</f>
        <v>306677875</v>
      </c>
      <c r="O93" s="87">
        <f>VLOOKUP($A93,'Data shares'!$C:$FA,81)</f>
        <v>2.3699999999999999E-2</v>
      </c>
    </row>
    <row r="94" spans="1:15" x14ac:dyDescent="0.25">
      <c r="A94" s="100" t="str">
        <f>'OI(Value)'!A94</f>
        <v>IEX</v>
      </c>
      <c r="B94" s="82">
        <f>VLOOKUP(A94,'Data shares'!$C$2:$CV$215,98,0)</f>
        <v>233850000</v>
      </c>
      <c r="C94" s="82">
        <f>VLOOKUP(A94,'Data shares'!$C$2:$CX$215,100,0)</f>
        <v>11580000</v>
      </c>
      <c r="D94" s="141">
        <f>VLOOKUP(A94,'Data shares'!$C$2:$CY$538,101,0)</f>
        <v>5.21E-2</v>
      </c>
      <c r="E94" s="86">
        <f>VLOOKUP($A94,'Data shares'!$C:$FA,74)</f>
        <v>81183750</v>
      </c>
      <c r="F94" s="86">
        <f>VLOOKUP($A94,'Data shares'!$C:$FA,76)</f>
        <v>1095000</v>
      </c>
      <c r="G94" s="87">
        <f>VLOOKUP(A94,'Data shares'!$C$2:$CA$215,77,0)</f>
        <v>1.37E-2</v>
      </c>
      <c r="H94" s="86">
        <f>VLOOKUP($A94,'Data shares'!$C:$FA,90)</f>
        <v>90648750</v>
      </c>
      <c r="I94" s="86">
        <f>VLOOKUP($A94,'Data shares'!$C:$FA,92)</f>
        <v>986250</v>
      </c>
      <c r="J94" s="87">
        <f>VLOOKUP($A94,'Data shares'!$C:$FA,93)</f>
        <v>1.0999999999999999E-2</v>
      </c>
      <c r="K94" s="86">
        <f>VLOOKUP($A94,'Data shares'!$C:$FA,94)</f>
        <v>62017500</v>
      </c>
      <c r="L94" s="86">
        <f>VLOOKUP($A94,'Data shares'!$C:$FA,96)</f>
        <v>9498750</v>
      </c>
      <c r="M94" s="87">
        <f>VLOOKUP($A94,'Data shares'!$C:$FA,97)</f>
        <v>0.18090000000000001</v>
      </c>
      <c r="N94" s="86">
        <f>VLOOKUP($A94,'Data shares'!$C:$FA,78)</f>
        <v>75333750</v>
      </c>
      <c r="O94" s="87">
        <f>VLOOKUP($A94,'Data shares'!$C:$FA,81)</f>
        <v>1.2E-2</v>
      </c>
    </row>
    <row r="95" spans="1:15" x14ac:dyDescent="0.25">
      <c r="A95" s="100" t="str">
        <f>'OI(Value)'!A95</f>
        <v>IIFL</v>
      </c>
      <c r="B95" s="82">
        <f>VLOOKUP(A95,'Data shares'!$C$2:$CV$215,98,0)</f>
        <v>21425250</v>
      </c>
      <c r="C95" s="82">
        <f>VLOOKUP(A95,'Data shares'!$C$2:$CX$215,100,0)</f>
        <v>552750</v>
      </c>
      <c r="D95" s="141">
        <f>VLOOKUP(A95,'Data shares'!$C$2:$CY$538,101,0)</f>
        <v>2.6499999999999999E-2</v>
      </c>
      <c r="E95" s="86">
        <f>VLOOKUP($A95,'Data shares'!$C:$FA,74)</f>
        <v>11163900</v>
      </c>
      <c r="F95" s="86">
        <f>VLOOKUP($A95,'Data shares'!$C:$FA,76)</f>
        <v>249150</v>
      </c>
      <c r="G95" s="87">
        <f>VLOOKUP(A95,'Data shares'!$C$2:$CA$215,77,0)</f>
        <v>2.2800000000000001E-2</v>
      </c>
      <c r="H95" s="86">
        <f>VLOOKUP($A95,'Data shares'!$C:$FA,90)</f>
        <v>5720550</v>
      </c>
      <c r="I95" s="86">
        <f>VLOOKUP($A95,'Data shares'!$C:$FA,92)</f>
        <v>717750</v>
      </c>
      <c r="J95" s="87">
        <f>VLOOKUP($A95,'Data shares'!$C:$FA,93)</f>
        <v>0.14349999999999999</v>
      </c>
      <c r="K95" s="86">
        <f>VLOOKUP($A95,'Data shares'!$C:$FA,94)</f>
        <v>4540800</v>
      </c>
      <c r="L95" s="86">
        <f>VLOOKUP($A95,'Data shares'!$C:$FA,96)</f>
        <v>-414150</v>
      </c>
      <c r="M95" s="87">
        <f>VLOOKUP($A95,'Data shares'!$C:$FA,97)</f>
        <v>-8.3599999999999994E-2</v>
      </c>
      <c r="N95" s="86">
        <f>VLOOKUP($A95,'Data shares'!$C:$FA,78)</f>
        <v>11163900</v>
      </c>
      <c r="O95" s="87">
        <f>VLOOKUP($A95,'Data shares'!$C:$FA,81)</f>
        <v>2.2800000000000001E-2</v>
      </c>
    </row>
    <row r="96" spans="1:15" x14ac:dyDescent="0.25">
      <c r="A96" s="100" t="str">
        <f>'OI(Value)'!A96</f>
        <v>INDHOTEL</v>
      </c>
      <c r="B96" s="82">
        <f>VLOOKUP(A96,'Data shares'!$C$2:$CV$215,98,0)</f>
        <v>45365000</v>
      </c>
      <c r="C96" s="82">
        <f>VLOOKUP(A96,'Data shares'!$C$2:$CX$215,100,0)</f>
        <v>4791000</v>
      </c>
      <c r="D96" s="141">
        <f>VLOOKUP(A96,'Data shares'!$C$2:$CY$538,101,0)</f>
        <v>0.1181</v>
      </c>
      <c r="E96" s="86">
        <f>VLOOKUP($A96,'Data shares'!$C:$FA,74)</f>
        <v>29166000</v>
      </c>
      <c r="F96" s="86">
        <f>VLOOKUP($A96,'Data shares'!$C:$FA,76)</f>
        <v>2022000</v>
      </c>
      <c r="G96" s="87">
        <f>VLOOKUP(A96,'Data shares'!$C$2:$CA$215,77,0)</f>
        <v>7.4499999999999997E-2</v>
      </c>
      <c r="H96" s="86">
        <f>VLOOKUP($A96,'Data shares'!$C:$FA,90)</f>
        <v>10009000</v>
      </c>
      <c r="I96" s="86">
        <f>VLOOKUP($A96,'Data shares'!$C:$FA,92)</f>
        <v>1659000</v>
      </c>
      <c r="J96" s="87">
        <f>VLOOKUP($A96,'Data shares'!$C:$FA,93)</f>
        <v>0.19869999999999999</v>
      </c>
      <c r="K96" s="86">
        <f>VLOOKUP($A96,'Data shares'!$C:$FA,94)</f>
        <v>6190000</v>
      </c>
      <c r="L96" s="86">
        <f>VLOOKUP($A96,'Data shares'!$C:$FA,96)</f>
        <v>1110000</v>
      </c>
      <c r="M96" s="87">
        <f>VLOOKUP($A96,'Data shares'!$C:$FA,97)</f>
        <v>0.2185</v>
      </c>
      <c r="N96" s="86">
        <f>VLOOKUP($A96,'Data shares'!$C:$FA,78)</f>
        <v>28005000</v>
      </c>
      <c r="O96" s="87">
        <f>VLOOKUP($A96,'Data shares'!$C:$FA,81)</f>
        <v>6.4299999999999996E-2</v>
      </c>
    </row>
    <row r="97" spans="1:15" x14ac:dyDescent="0.25">
      <c r="A97" s="100" t="str">
        <f>'OI(Value)'!A97</f>
        <v>INDIANB</v>
      </c>
      <c r="B97" s="82">
        <f>VLOOKUP(A97,'Data shares'!$C$2:$CV$215,98,0)</f>
        <v>17370000</v>
      </c>
      <c r="C97" s="82">
        <f>VLOOKUP(A97,'Data shares'!$C$2:$CX$215,100,0)</f>
        <v>-27000</v>
      </c>
      <c r="D97" s="141">
        <f>VLOOKUP(A97,'Data shares'!$C$2:$CY$538,101,0)</f>
        <v>-1.6000000000000001E-3</v>
      </c>
      <c r="E97" s="86">
        <f>VLOOKUP($A97,'Data shares'!$C:$FA,74)</f>
        <v>9489000</v>
      </c>
      <c r="F97" s="86">
        <f>VLOOKUP($A97,'Data shares'!$C:$FA,76)</f>
        <v>-144000</v>
      </c>
      <c r="G97" s="87">
        <f>VLOOKUP(A97,'Data shares'!$C$2:$CA$215,77,0)</f>
        <v>-1.49E-2</v>
      </c>
      <c r="H97" s="86">
        <f>VLOOKUP($A97,'Data shares'!$C:$FA,90)</f>
        <v>4614000</v>
      </c>
      <c r="I97" s="86">
        <f>VLOOKUP($A97,'Data shares'!$C:$FA,92)</f>
        <v>54000</v>
      </c>
      <c r="J97" s="87">
        <f>VLOOKUP($A97,'Data shares'!$C:$FA,93)</f>
        <v>1.18E-2</v>
      </c>
      <c r="K97" s="86">
        <f>VLOOKUP($A97,'Data shares'!$C:$FA,94)</f>
        <v>3267000</v>
      </c>
      <c r="L97" s="86">
        <f>VLOOKUP($A97,'Data shares'!$C:$FA,96)</f>
        <v>63000</v>
      </c>
      <c r="M97" s="87">
        <f>VLOOKUP($A97,'Data shares'!$C:$FA,97)</f>
        <v>1.9699999999999999E-2</v>
      </c>
      <c r="N97" s="86">
        <f>VLOOKUP($A97,'Data shares'!$C:$FA,78)</f>
        <v>9286000</v>
      </c>
      <c r="O97" s="87">
        <f>VLOOKUP($A97,'Data shares'!$C:$FA,81)</f>
        <v>-1.46E-2</v>
      </c>
    </row>
    <row r="98" spans="1:15" x14ac:dyDescent="0.25">
      <c r="A98" s="100" t="str">
        <f>'OI(Value)'!A98</f>
        <v>INDIAVIX</v>
      </c>
      <c r="B98" s="82">
        <f>VLOOKUP(A98,'Data shares'!$C$2:$CV$215,98,0)</f>
        <v>0</v>
      </c>
      <c r="C98" s="82">
        <f>VLOOKUP(A98,'Data shares'!$C$2:$CX$215,100,0)</f>
        <v>0</v>
      </c>
      <c r="D98" s="141">
        <f>VLOOKUP(A98,'Data shares'!$C$2:$CY$538,101,0)</f>
        <v>0</v>
      </c>
      <c r="E98" s="86">
        <f>VLOOKUP($A98,'Data shares'!$C:$FA,74)</f>
        <v>0</v>
      </c>
      <c r="F98" s="86">
        <f>VLOOKUP($A98,'Data shares'!$C:$FA,76)</f>
        <v>0</v>
      </c>
      <c r="G98" s="87">
        <f>VLOOKUP(A98,'Data shares'!$C$2:$CA$215,77,0)</f>
        <v>0</v>
      </c>
      <c r="H98" s="86">
        <f>VLOOKUP($A98,'Data shares'!$C:$FA,90)</f>
        <v>0</v>
      </c>
      <c r="I98" s="86">
        <f>VLOOKUP($A98,'Data shares'!$C:$FA,92)</f>
        <v>0</v>
      </c>
      <c r="J98" s="87">
        <f>VLOOKUP($A98,'Data shares'!$C:$FA,93)</f>
        <v>0</v>
      </c>
      <c r="K98" s="86">
        <f>VLOOKUP($A98,'Data shares'!$C:$FA,94)</f>
        <v>0</v>
      </c>
      <c r="L98" s="86">
        <f>VLOOKUP($A98,'Data shares'!$C:$FA,96)</f>
        <v>0</v>
      </c>
      <c r="M98" s="87">
        <f>VLOOKUP($A98,'Data shares'!$C:$FA,97)</f>
        <v>0</v>
      </c>
      <c r="N98" s="86">
        <f>VLOOKUP($A98,'Data shares'!$C:$FA,78)</f>
        <v>0</v>
      </c>
      <c r="O98" s="87">
        <f>VLOOKUP($A98,'Data shares'!$C:$FA,81)</f>
        <v>0</v>
      </c>
    </row>
    <row r="99" spans="1:15" x14ac:dyDescent="0.25">
      <c r="A99" s="100" t="str">
        <f>'OI(Value)'!A99</f>
        <v>INDIGO</v>
      </c>
      <c r="B99" s="82">
        <f>VLOOKUP(A99,'Data shares'!$C$2:$CV$215,98,0)</f>
        <v>16961400</v>
      </c>
      <c r="C99" s="82">
        <f>VLOOKUP(A99,'Data shares'!$C$2:$CX$215,100,0)</f>
        <v>533100</v>
      </c>
      <c r="D99" s="141">
        <f>VLOOKUP(A99,'Data shares'!$C$2:$CY$538,101,0)</f>
        <v>3.2500000000000001E-2</v>
      </c>
      <c r="E99" s="86">
        <f>VLOOKUP($A99,'Data shares'!$C:$FA,74)</f>
        <v>8445900</v>
      </c>
      <c r="F99" s="86">
        <f>VLOOKUP($A99,'Data shares'!$C:$FA,76)</f>
        <v>55500</v>
      </c>
      <c r="G99" s="87">
        <f>VLOOKUP(A99,'Data shares'!$C$2:$CA$215,77,0)</f>
        <v>6.6E-3</v>
      </c>
      <c r="H99" s="86">
        <f>VLOOKUP($A99,'Data shares'!$C:$FA,90)</f>
        <v>5078100</v>
      </c>
      <c r="I99" s="86">
        <f>VLOOKUP($A99,'Data shares'!$C:$FA,92)</f>
        <v>507000</v>
      </c>
      <c r="J99" s="87">
        <f>VLOOKUP($A99,'Data shares'!$C:$FA,93)</f>
        <v>0.1109</v>
      </c>
      <c r="K99" s="86">
        <f>VLOOKUP($A99,'Data shares'!$C:$FA,94)</f>
        <v>3437400</v>
      </c>
      <c r="L99" s="86">
        <f>VLOOKUP($A99,'Data shares'!$C:$FA,96)</f>
        <v>-29400</v>
      </c>
      <c r="M99" s="87">
        <f>VLOOKUP($A99,'Data shares'!$C:$FA,97)</f>
        <v>-8.5000000000000006E-3</v>
      </c>
      <c r="N99" s="86">
        <f>VLOOKUP($A99,'Data shares'!$C:$FA,78)</f>
        <v>8142300</v>
      </c>
      <c r="O99" s="87">
        <f>VLOOKUP($A99,'Data shares'!$C:$FA,81)</f>
        <v>1.1000000000000001E-3</v>
      </c>
    </row>
    <row r="100" spans="1:15" x14ac:dyDescent="0.25">
      <c r="A100" s="100" t="str">
        <f>'OI(Value)'!A100</f>
        <v>INDUSINDBK</v>
      </c>
      <c r="B100" s="82">
        <f>VLOOKUP(A100,'Data shares'!$C$2:$CV$215,98,0)</f>
        <v>68705700</v>
      </c>
      <c r="C100" s="82">
        <f>VLOOKUP(A100,'Data shares'!$C$2:$CX$215,100,0)</f>
        <v>2225300</v>
      </c>
      <c r="D100" s="141">
        <f>VLOOKUP(A100,'Data shares'!$C$2:$CY$538,101,0)</f>
        <v>3.3500000000000002E-2</v>
      </c>
      <c r="E100" s="86">
        <f>VLOOKUP($A100,'Data shares'!$C:$FA,74)</f>
        <v>46146800</v>
      </c>
      <c r="F100" s="86">
        <f>VLOOKUP($A100,'Data shares'!$C:$FA,76)</f>
        <v>2167200</v>
      </c>
      <c r="G100" s="87">
        <f>VLOOKUP(A100,'Data shares'!$C$2:$CA$215,77,0)</f>
        <v>4.9299999999999997E-2</v>
      </c>
      <c r="H100" s="86">
        <f>VLOOKUP($A100,'Data shares'!$C:$FA,90)</f>
        <v>12360600</v>
      </c>
      <c r="I100" s="86">
        <f>VLOOKUP($A100,'Data shares'!$C:$FA,92)</f>
        <v>563500</v>
      </c>
      <c r="J100" s="87">
        <f>VLOOKUP($A100,'Data shares'!$C:$FA,93)</f>
        <v>4.7800000000000002E-2</v>
      </c>
      <c r="K100" s="86">
        <f>VLOOKUP($A100,'Data shares'!$C:$FA,94)</f>
        <v>10198300</v>
      </c>
      <c r="L100" s="86">
        <f>VLOOKUP($A100,'Data shares'!$C:$FA,96)</f>
        <v>-505400</v>
      </c>
      <c r="M100" s="87">
        <f>VLOOKUP($A100,'Data shares'!$C:$FA,97)</f>
        <v>-4.7199999999999999E-2</v>
      </c>
      <c r="N100" s="86">
        <f>VLOOKUP($A100,'Data shares'!$C:$FA,78)</f>
        <v>44514400</v>
      </c>
      <c r="O100" s="87">
        <f>VLOOKUP($A100,'Data shares'!$C:$FA,81)</f>
        <v>3.1699999999999999E-2</v>
      </c>
    </row>
    <row r="101" spans="1:15" x14ac:dyDescent="0.25">
      <c r="A101" s="100" t="str">
        <f>'OI(Value)'!A101</f>
        <v>INDUSTOWER</v>
      </c>
      <c r="B101" s="82">
        <f>VLOOKUP(A101,'Data shares'!$C$2:$CV$215,98,0)</f>
        <v>134714800</v>
      </c>
      <c r="C101" s="82">
        <f>VLOOKUP(A101,'Data shares'!$C$2:$CX$215,100,0)</f>
        <v>287300</v>
      </c>
      <c r="D101" s="141">
        <f>VLOOKUP(A101,'Data shares'!$C$2:$CY$538,101,0)</f>
        <v>2.0999999999999999E-3</v>
      </c>
      <c r="E101" s="86">
        <f>VLOOKUP($A101,'Data shares'!$C:$FA,74)</f>
        <v>92806400</v>
      </c>
      <c r="F101" s="86">
        <f>VLOOKUP($A101,'Data shares'!$C:$FA,76)</f>
        <v>30600</v>
      </c>
      <c r="G101" s="87">
        <f>VLOOKUP(A101,'Data shares'!$C$2:$CA$215,77,0)</f>
        <v>2.9999999999999997E-4</v>
      </c>
      <c r="H101" s="86">
        <f>VLOOKUP($A101,'Data shares'!$C:$FA,90)</f>
        <v>25027400</v>
      </c>
      <c r="I101" s="86">
        <f>VLOOKUP($A101,'Data shares'!$C:$FA,92)</f>
        <v>154700</v>
      </c>
      <c r="J101" s="87">
        <f>VLOOKUP($A101,'Data shares'!$C:$FA,93)</f>
        <v>6.1999999999999998E-3</v>
      </c>
      <c r="K101" s="86">
        <f>VLOOKUP($A101,'Data shares'!$C:$FA,94)</f>
        <v>16881000</v>
      </c>
      <c r="L101" s="86">
        <f>VLOOKUP($A101,'Data shares'!$C:$FA,96)</f>
        <v>102000</v>
      </c>
      <c r="M101" s="87">
        <f>VLOOKUP($A101,'Data shares'!$C:$FA,97)</f>
        <v>6.1000000000000004E-3</v>
      </c>
      <c r="N101" s="86">
        <f>VLOOKUP($A101,'Data shares'!$C:$FA,78)</f>
        <v>91752400</v>
      </c>
      <c r="O101" s="87">
        <f>VLOOKUP($A101,'Data shares'!$C:$FA,81)</f>
        <v>-5.9999999999999995E-4</v>
      </c>
    </row>
    <row r="102" spans="1:15" x14ac:dyDescent="0.25">
      <c r="A102" s="100" t="str">
        <f>'OI(Value)'!A102</f>
        <v>INFY</v>
      </c>
      <c r="B102" s="82">
        <f>VLOOKUP(A102,'Data shares'!$C$2:$CV$215,98,0)</f>
        <v>107888000</v>
      </c>
      <c r="C102" s="82">
        <f>VLOOKUP(A102,'Data shares'!$C$2:$CX$215,100,0)</f>
        <v>5726400</v>
      </c>
      <c r="D102" s="141">
        <f>VLOOKUP(A102,'Data shares'!$C$2:$CY$538,101,0)</f>
        <v>5.6099999999999997E-2</v>
      </c>
      <c r="E102" s="86">
        <f>VLOOKUP($A102,'Data shares'!$C:$FA,74)</f>
        <v>72222000</v>
      </c>
      <c r="F102" s="86">
        <f>VLOOKUP($A102,'Data shares'!$C:$FA,76)</f>
        <v>-386400</v>
      </c>
      <c r="G102" s="87">
        <f>VLOOKUP(A102,'Data shares'!$C$2:$CA$215,77,0)</f>
        <v>-5.3E-3</v>
      </c>
      <c r="H102" s="86">
        <f>VLOOKUP($A102,'Data shares'!$C:$FA,90)</f>
        <v>23622400</v>
      </c>
      <c r="I102" s="86">
        <f>VLOOKUP($A102,'Data shares'!$C:$FA,92)</f>
        <v>5158800</v>
      </c>
      <c r="J102" s="87">
        <f>VLOOKUP($A102,'Data shares'!$C:$FA,93)</f>
        <v>0.27939999999999998</v>
      </c>
      <c r="K102" s="86">
        <f>VLOOKUP($A102,'Data shares'!$C:$FA,94)</f>
        <v>12043600</v>
      </c>
      <c r="L102" s="86">
        <f>VLOOKUP($A102,'Data shares'!$C:$FA,96)</f>
        <v>954000</v>
      </c>
      <c r="M102" s="87">
        <f>VLOOKUP($A102,'Data shares'!$C:$FA,97)</f>
        <v>8.5999999999999993E-2</v>
      </c>
      <c r="N102" s="86">
        <f>VLOOKUP($A102,'Data shares'!$C:$FA,78)</f>
        <v>71134800</v>
      </c>
      <c r="O102" s="87">
        <f>VLOOKUP($A102,'Data shares'!$C:$FA,81)</f>
        <v>-5.3E-3</v>
      </c>
    </row>
    <row r="103" spans="1:15" x14ac:dyDescent="0.25">
      <c r="A103" s="100" t="str">
        <f>'OI(Value)'!A103</f>
        <v>INOXWIND</v>
      </c>
      <c r="B103" s="82">
        <f>VLOOKUP(A103,'Data shares'!$C$2:$CV$215,98,0)</f>
        <v>140218650</v>
      </c>
      <c r="C103" s="82">
        <f>VLOOKUP(A103,'Data shares'!$C$2:$CX$215,100,0)</f>
        <v>4275700</v>
      </c>
      <c r="D103" s="141">
        <f>VLOOKUP(A103,'Data shares'!$C$2:$CY$538,101,0)</f>
        <v>3.15E-2</v>
      </c>
      <c r="E103" s="86">
        <f>VLOOKUP($A103,'Data shares'!$C:$FA,74)</f>
        <v>95974450</v>
      </c>
      <c r="F103" s="86">
        <f>VLOOKUP($A103,'Data shares'!$C:$FA,76)</f>
        <v>575575</v>
      </c>
      <c r="G103" s="87">
        <f>VLOOKUP(A103,'Data shares'!$C$2:$CA$215,77,0)</f>
        <v>6.0000000000000001E-3</v>
      </c>
      <c r="H103" s="86">
        <f>VLOOKUP($A103,'Data shares'!$C:$FA,90)</f>
        <v>27030575</v>
      </c>
      <c r="I103" s="86">
        <f>VLOOKUP($A103,'Data shares'!$C:$FA,92)</f>
        <v>2917200</v>
      </c>
      <c r="J103" s="87">
        <f>VLOOKUP($A103,'Data shares'!$C:$FA,93)</f>
        <v>0.121</v>
      </c>
      <c r="K103" s="86">
        <f>VLOOKUP($A103,'Data shares'!$C:$FA,94)</f>
        <v>17213625</v>
      </c>
      <c r="L103" s="86">
        <f>VLOOKUP($A103,'Data shares'!$C:$FA,96)</f>
        <v>782925</v>
      </c>
      <c r="M103" s="87">
        <f>VLOOKUP($A103,'Data shares'!$C:$FA,97)</f>
        <v>4.7699999999999999E-2</v>
      </c>
      <c r="N103" s="86">
        <f>VLOOKUP($A103,'Data shares'!$C:$FA,78)</f>
        <v>90754950</v>
      </c>
      <c r="O103" s="87">
        <f>VLOOKUP($A103,'Data shares'!$C:$FA,81)</f>
        <v>1.6999999999999999E-3</v>
      </c>
    </row>
    <row r="104" spans="1:15" x14ac:dyDescent="0.25">
      <c r="A104" s="100" t="str">
        <f>'OI(Value)'!A104</f>
        <v>IOC</v>
      </c>
      <c r="B104" s="82">
        <f>VLOOKUP(A104,'Data shares'!$C$2:$CV$215,98,0)</f>
        <v>189540000</v>
      </c>
      <c r="C104" s="82">
        <f>VLOOKUP(A104,'Data shares'!$C$2:$CX$215,100,0)</f>
        <v>5484375</v>
      </c>
      <c r="D104" s="141">
        <f>VLOOKUP(A104,'Data shares'!$C$2:$CY$538,101,0)</f>
        <v>2.98E-2</v>
      </c>
      <c r="E104" s="86">
        <f>VLOOKUP($A104,'Data shares'!$C:$FA,74)</f>
        <v>107484000</v>
      </c>
      <c r="F104" s="86">
        <f>VLOOKUP($A104,'Data shares'!$C:$FA,76)</f>
        <v>848250</v>
      </c>
      <c r="G104" s="87">
        <f>VLOOKUP(A104,'Data shares'!$C$2:$CA$215,77,0)</f>
        <v>8.0000000000000002E-3</v>
      </c>
      <c r="H104" s="86">
        <f>VLOOKUP($A104,'Data shares'!$C:$FA,90)</f>
        <v>51333750</v>
      </c>
      <c r="I104" s="86">
        <f>VLOOKUP($A104,'Data shares'!$C:$FA,92)</f>
        <v>3207750</v>
      </c>
      <c r="J104" s="87">
        <f>VLOOKUP($A104,'Data shares'!$C:$FA,93)</f>
        <v>6.6699999999999995E-2</v>
      </c>
      <c r="K104" s="86">
        <f>VLOOKUP($A104,'Data shares'!$C:$FA,94)</f>
        <v>30722250</v>
      </c>
      <c r="L104" s="86">
        <f>VLOOKUP($A104,'Data shares'!$C:$FA,96)</f>
        <v>1428375</v>
      </c>
      <c r="M104" s="87">
        <f>VLOOKUP($A104,'Data shares'!$C:$FA,97)</f>
        <v>4.8800000000000003E-2</v>
      </c>
      <c r="N104" s="86">
        <f>VLOOKUP($A104,'Data shares'!$C:$FA,78)</f>
        <v>103623000</v>
      </c>
      <c r="O104" s="87">
        <f>VLOOKUP($A104,'Data shares'!$C:$FA,81)</f>
        <v>8.0000000000000002E-3</v>
      </c>
    </row>
    <row r="105" spans="1:15" x14ac:dyDescent="0.25">
      <c r="A105" s="100" t="str">
        <f>'OI(Value)'!A105</f>
        <v>IRCTC</v>
      </c>
      <c r="B105" s="82">
        <f>VLOOKUP(A105,'Data shares'!$C$2:$CV$215,98,0)</f>
        <v>57025500</v>
      </c>
      <c r="C105" s="82">
        <f>VLOOKUP(A105,'Data shares'!$C$2:$CX$215,100,0)</f>
        <v>3430875</v>
      </c>
      <c r="D105" s="141">
        <f>VLOOKUP(A105,'Data shares'!$C$2:$CY$538,101,0)</f>
        <v>6.4000000000000001E-2</v>
      </c>
      <c r="E105" s="86">
        <f>VLOOKUP($A105,'Data shares'!$C:$FA,74)</f>
        <v>23880500</v>
      </c>
      <c r="F105" s="86">
        <f>VLOOKUP($A105,'Data shares'!$C:$FA,76)</f>
        <v>744625</v>
      </c>
      <c r="G105" s="87">
        <f>VLOOKUP(A105,'Data shares'!$C$2:$CA$215,77,0)</f>
        <v>3.2199999999999999E-2</v>
      </c>
      <c r="H105" s="86">
        <f>VLOOKUP($A105,'Data shares'!$C:$FA,90)</f>
        <v>22952125</v>
      </c>
      <c r="I105" s="86">
        <f>VLOOKUP($A105,'Data shares'!$C:$FA,92)</f>
        <v>2237375</v>
      </c>
      <c r="J105" s="87">
        <f>VLOOKUP($A105,'Data shares'!$C:$FA,93)</f>
        <v>0.108</v>
      </c>
      <c r="K105" s="86">
        <f>VLOOKUP($A105,'Data shares'!$C:$FA,94)</f>
        <v>10192875</v>
      </c>
      <c r="L105" s="86">
        <f>VLOOKUP($A105,'Data shares'!$C:$FA,96)</f>
        <v>448875</v>
      </c>
      <c r="M105" s="87">
        <f>VLOOKUP($A105,'Data shares'!$C:$FA,97)</f>
        <v>4.6100000000000002E-2</v>
      </c>
      <c r="N105" s="86">
        <f>VLOOKUP($A105,'Data shares'!$C:$FA,78)</f>
        <v>21239750</v>
      </c>
      <c r="O105" s="87">
        <f>VLOOKUP($A105,'Data shares'!$C:$FA,81)</f>
        <v>2.75E-2</v>
      </c>
    </row>
    <row r="106" spans="1:15" x14ac:dyDescent="0.25">
      <c r="A106" s="100" t="str">
        <f>'OI(Value)'!A106</f>
        <v>IREDA</v>
      </c>
      <c r="B106" s="82">
        <f>VLOOKUP(A106,'Data shares'!$C$2:$CV$215,98,0)</f>
        <v>112856400</v>
      </c>
      <c r="C106" s="82">
        <f>VLOOKUP(A106,'Data shares'!$C$2:$CX$215,100,0)</f>
        <v>6058200</v>
      </c>
      <c r="D106" s="141">
        <f>VLOOKUP(A106,'Data shares'!$C$2:$CY$538,101,0)</f>
        <v>5.67E-2</v>
      </c>
      <c r="E106" s="86">
        <f>VLOOKUP($A106,'Data shares'!$C:$FA,74)</f>
        <v>57994500</v>
      </c>
      <c r="F106" s="86">
        <f>VLOOKUP($A106,'Data shares'!$C:$FA,76)</f>
        <v>4505700</v>
      </c>
      <c r="G106" s="87">
        <f>VLOOKUP(A106,'Data shares'!$C$2:$CA$215,77,0)</f>
        <v>8.4199999999999997E-2</v>
      </c>
      <c r="H106" s="86">
        <f>VLOOKUP($A106,'Data shares'!$C:$FA,90)</f>
        <v>34879500</v>
      </c>
      <c r="I106" s="86">
        <f>VLOOKUP($A106,'Data shares'!$C:$FA,92)</f>
        <v>952200</v>
      </c>
      <c r="J106" s="87">
        <f>VLOOKUP($A106,'Data shares'!$C:$FA,93)</f>
        <v>2.81E-2</v>
      </c>
      <c r="K106" s="86">
        <f>VLOOKUP($A106,'Data shares'!$C:$FA,94)</f>
        <v>19982400</v>
      </c>
      <c r="L106" s="86">
        <f>VLOOKUP($A106,'Data shares'!$C:$FA,96)</f>
        <v>600300</v>
      </c>
      <c r="M106" s="87">
        <f>VLOOKUP($A106,'Data shares'!$C:$FA,97)</f>
        <v>3.1E-2</v>
      </c>
      <c r="N106" s="86">
        <f>VLOOKUP($A106,'Data shares'!$C:$FA,78)</f>
        <v>50977200</v>
      </c>
      <c r="O106" s="87">
        <f>VLOOKUP($A106,'Data shares'!$C:$FA,81)</f>
        <v>8.2600000000000007E-2</v>
      </c>
    </row>
    <row r="107" spans="1:15" x14ac:dyDescent="0.25">
      <c r="A107" s="100" t="str">
        <f>'OI(Value)'!A107</f>
        <v>IRFC</v>
      </c>
      <c r="B107" s="82">
        <f>VLOOKUP(A107,'Data shares'!$C$2:$CV$215,98,0)</f>
        <v>181466500</v>
      </c>
      <c r="C107" s="82">
        <f>VLOOKUP(A107,'Data shares'!$C$2:$CX$215,100,0)</f>
        <v>1326000</v>
      </c>
      <c r="D107" s="141">
        <f>VLOOKUP(A107,'Data shares'!$C$2:$CY$538,101,0)</f>
        <v>7.4000000000000003E-3</v>
      </c>
      <c r="E107" s="86">
        <f>VLOOKUP($A107,'Data shares'!$C:$FA,74)</f>
        <v>65637000</v>
      </c>
      <c r="F107" s="86">
        <f>VLOOKUP($A107,'Data shares'!$C:$FA,76)</f>
        <v>131750</v>
      </c>
      <c r="G107" s="87">
        <f>VLOOKUP(A107,'Data shares'!$C$2:$CA$215,77,0)</f>
        <v>2E-3</v>
      </c>
      <c r="H107" s="86">
        <f>VLOOKUP($A107,'Data shares'!$C:$FA,90)</f>
        <v>79258250</v>
      </c>
      <c r="I107" s="86">
        <f>VLOOKUP($A107,'Data shares'!$C:$FA,92)</f>
        <v>85000</v>
      </c>
      <c r="J107" s="87">
        <f>VLOOKUP($A107,'Data shares'!$C:$FA,93)</f>
        <v>1.1000000000000001E-3</v>
      </c>
      <c r="K107" s="86">
        <f>VLOOKUP($A107,'Data shares'!$C:$FA,94)</f>
        <v>36571250</v>
      </c>
      <c r="L107" s="86">
        <f>VLOOKUP($A107,'Data shares'!$C:$FA,96)</f>
        <v>1109250</v>
      </c>
      <c r="M107" s="87">
        <f>VLOOKUP($A107,'Data shares'!$C:$FA,97)</f>
        <v>3.1300000000000001E-2</v>
      </c>
      <c r="N107" s="86">
        <f>VLOOKUP($A107,'Data shares'!$C:$FA,78)</f>
        <v>59827250</v>
      </c>
      <c r="O107" s="87">
        <f>VLOOKUP($A107,'Data shares'!$C:$FA,81)</f>
        <v>-2E-3</v>
      </c>
    </row>
    <row r="108" spans="1:15" x14ac:dyDescent="0.25">
      <c r="A108" s="100" t="str">
        <f>'OI(Value)'!A108</f>
        <v>ITC</v>
      </c>
      <c r="B108" s="82">
        <f>VLOOKUP(A108,'Data shares'!$C$2:$CV$215,98,0)</f>
        <v>753646400</v>
      </c>
      <c r="C108" s="82">
        <f>VLOOKUP(A108,'Data shares'!$C$2:$CX$215,100,0)</f>
        <v>21081600</v>
      </c>
      <c r="D108" s="141">
        <f>VLOOKUP(A108,'Data shares'!$C$2:$CY$538,101,0)</f>
        <v>2.8799999999999999E-2</v>
      </c>
      <c r="E108" s="86">
        <f>VLOOKUP($A108,'Data shares'!$C:$FA,74)</f>
        <v>250537600</v>
      </c>
      <c r="F108" s="86">
        <f>VLOOKUP($A108,'Data shares'!$C:$FA,76)</f>
        <v>2913600</v>
      </c>
      <c r="G108" s="87">
        <f>VLOOKUP(A108,'Data shares'!$C$2:$CA$215,77,0)</f>
        <v>1.18E-2</v>
      </c>
      <c r="H108" s="86">
        <f>VLOOKUP($A108,'Data shares'!$C:$FA,90)</f>
        <v>366438400</v>
      </c>
      <c r="I108" s="86">
        <f>VLOOKUP($A108,'Data shares'!$C:$FA,92)</f>
        <v>13716800</v>
      </c>
      <c r="J108" s="87">
        <f>VLOOKUP($A108,'Data shares'!$C:$FA,93)</f>
        <v>3.8899999999999997E-2</v>
      </c>
      <c r="K108" s="86">
        <f>VLOOKUP($A108,'Data shares'!$C:$FA,94)</f>
        <v>136670400</v>
      </c>
      <c r="L108" s="86">
        <f>VLOOKUP($A108,'Data shares'!$C:$FA,96)</f>
        <v>4451200</v>
      </c>
      <c r="M108" s="87">
        <f>VLOOKUP($A108,'Data shares'!$C:$FA,97)</f>
        <v>3.3700000000000001E-2</v>
      </c>
      <c r="N108" s="86">
        <f>VLOOKUP($A108,'Data shares'!$C:$FA,78)</f>
        <v>216180800</v>
      </c>
      <c r="O108" s="87">
        <f>VLOOKUP($A108,'Data shares'!$C:$FA,81)</f>
        <v>5.1999999999999998E-3</v>
      </c>
    </row>
    <row r="109" spans="1:15" x14ac:dyDescent="0.25">
      <c r="A109" s="100" t="str">
        <f>'OI(Value)'!A109</f>
        <v>JINDALSTEL</v>
      </c>
      <c r="B109" s="82">
        <f>VLOOKUP(A109,'Data shares'!$C$2:$CV$215,98,0)</f>
        <v>21510000</v>
      </c>
      <c r="C109" s="82">
        <f>VLOOKUP(A109,'Data shares'!$C$2:$CX$215,100,0)</f>
        <v>1033750</v>
      </c>
      <c r="D109" s="141">
        <f>VLOOKUP(A109,'Data shares'!$C$2:$CY$538,101,0)</f>
        <v>5.0500000000000003E-2</v>
      </c>
      <c r="E109" s="86">
        <f>VLOOKUP($A109,'Data shares'!$C:$FA,74)</f>
        <v>12940625</v>
      </c>
      <c r="F109" s="86">
        <f>VLOOKUP($A109,'Data shares'!$C:$FA,76)</f>
        <v>341875</v>
      </c>
      <c r="G109" s="87">
        <f>VLOOKUP(A109,'Data shares'!$C$2:$CA$215,77,0)</f>
        <v>2.7099999999999999E-2</v>
      </c>
      <c r="H109" s="86">
        <f>VLOOKUP($A109,'Data shares'!$C:$FA,90)</f>
        <v>4240625</v>
      </c>
      <c r="I109" s="86">
        <f>VLOOKUP($A109,'Data shares'!$C:$FA,92)</f>
        <v>180625</v>
      </c>
      <c r="J109" s="87">
        <f>VLOOKUP($A109,'Data shares'!$C:$FA,93)</f>
        <v>4.4499999999999998E-2</v>
      </c>
      <c r="K109" s="86">
        <f>VLOOKUP($A109,'Data shares'!$C:$FA,94)</f>
        <v>4328750</v>
      </c>
      <c r="L109" s="86">
        <f>VLOOKUP($A109,'Data shares'!$C:$FA,96)</f>
        <v>511250</v>
      </c>
      <c r="M109" s="87">
        <f>VLOOKUP($A109,'Data shares'!$C:$FA,97)</f>
        <v>0.13389999999999999</v>
      </c>
      <c r="N109" s="86">
        <f>VLOOKUP($A109,'Data shares'!$C:$FA,78)</f>
        <v>12777500</v>
      </c>
      <c r="O109" s="87">
        <f>VLOOKUP($A109,'Data shares'!$C:$FA,81)</f>
        <v>2.7E-2</v>
      </c>
    </row>
    <row r="110" spans="1:15" x14ac:dyDescent="0.25">
      <c r="A110" s="100" t="str">
        <f>'OI(Value)'!A110</f>
        <v>JIOFIN</v>
      </c>
      <c r="B110" s="82">
        <f>VLOOKUP(A110,'Data shares'!$C$2:$CV$215,98,0)</f>
        <v>256218150</v>
      </c>
      <c r="C110" s="82">
        <f>VLOOKUP(A110,'Data shares'!$C$2:$CX$215,100,0)</f>
        <v>6312100</v>
      </c>
      <c r="D110" s="141">
        <f>VLOOKUP(A110,'Data shares'!$C$2:$CY$538,101,0)</f>
        <v>2.53E-2</v>
      </c>
      <c r="E110" s="86">
        <f>VLOOKUP($A110,'Data shares'!$C:$FA,74)</f>
        <v>159872850</v>
      </c>
      <c r="F110" s="86">
        <f>VLOOKUP($A110,'Data shares'!$C:$FA,76)</f>
        <v>3224200</v>
      </c>
      <c r="G110" s="87">
        <f>VLOOKUP(A110,'Data shares'!$C$2:$CA$215,77,0)</f>
        <v>2.06E-2</v>
      </c>
      <c r="H110" s="86">
        <f>VLOOKUP($A110,'Data shares'!$C:$FA,90)</f>
        <v>54313200</v>
      </c>
      <c r="I110" s="86">
        <f>VLOOKUP($A110,'Data shares'!$C:$FA,92)</f>
        <v>1283100</v>
      </c>
      <c r="J110" s="87">
        <f>VLOOKUP($A110,'Data shares'!$C:$FA,93)</f>
        <v>2.4199999999999999E-2</v>
      </c>
      <c r="K110" s="86">
        <f>VLOOKUP($A110,'Data shares'!$C:$FA,94)</f>
        <v>42032100</v>
      </c>
      <c r="L110" s="86">
        <f>VLOOKUP($A110,'Data shares'!$C:$FA,96)</f>
        <v>1804800</v>
      </c>
      <c r="M110" s="87">
        <f>VLOOKUP($A110,'Data shares'!$C:$FA,97)</f>
        <v>4.4900000000000002E-2</v>
      </c>
      <c r="N110" s="86">
        <f>VLOOKUP($A110,'Data shares'!$C:$FA,78)</f>
        <v>152129600</v>
      </c>
      <c r="O110" s="87">
        <f>VLOOKUP($A110,'Data shares'!$C:$FA,81)</f>
        <v>1.9599999999999999E-2</v>
      </c>
    </row>
    <row r="111" spans="1:15" x14ac:dyDescent="0.25">
      <c r="A111" s="100" t="str">
        <f>'OI(Value)'!A111</f>
        <v>JSWENERGY</v>
      </c>
      <c r="B111" s="82">
        <f>VLOOKUP(A111,'Data shares'!$C$2:$CV$215,98,0)</f>
        <v>52037000</v>
      </c>
      <c r="C111" s="82">
        <f>VLOOKUP(A111,'Data shares'!$C$2:$CX$215,100,0)</f>
        <v>-29000</v>
      </c>
      <c r="D111" s="141">
        <f>VLOOKUP(A111,'Data shares'!$C$2:$CY$538,101,0)</f>
        <v>-5.9999999999999995E-4</v>
      </c>
      <c r="E111" s="86">
        <f>VLOOKUP($A111,'Data shares'!$C:$FA,74)</f>
        <v>38011000</v>
      </c>
      <c r="F111" s="86">
        <f>VLOOKUP($A111,'Data shares'!$C:$FA,76)</f>
        <v>-549000</v>
      </c>
      <c r="G111" s="87">
        <f>VLOOKUP(A111,'Data shares'!$C$2:$CA$215,77,0)</f>
        <v>-1.4200000000000001E-2</v>
      </c>
      <c r="H111" s="86">
        <f>VLOOKUP($A111,'Data shares'!$C:$FA,90)</f>
        <v>6900000</v>
      </c>
      <c r="I111" s="86">
        <f>VLOOKUP($A111,'Data shares'!$C:$FA,92)</f>
        <v>348000</v>
      </c>
      <c r="J111" s="87">
        <f>VLOOKUP($A111,'Data shares'!$C:$FA,93)</f>
        <v>5.3100000000000001E-2</v>
      </c>
      <c r="K111" s="86">
        <f>VLOOKUP($A111,'Data shares'!$C:$FA,94)</f>
        <v>7126000</v>
      </c>
      <c r="L111" s="86">
        <f>VLOOKUP($A111,'Data shares'!$C:$FA,96)</f>
        <v>172000</v>
      </c>
      <c r="M111" s="87">
        <f>VLOOKUP($A111,'Data shares'!$C:$FA,97)</f>
        <v>2.47E-2</v>
      </c>
      <c r="N111" s="86">
        <f>VLOOKUP($A111,'Data shares'!$C:$FA,78)</f>
        <v>37628000</v>
      </c>
      <c r="O111" s="87">
        <f>VLOOKUP($A111,'Data shares'!$C:$FA,81)</f>
        <v>-1.46E-2</v>
      </c>
    </row>
    <row r="112" spans="1:15" x14ac:dyDescent="0.25">
      <c r="A112" s="100" t="str">
        <f>'OI(Value)'!A112</f>
        <v>JSWSTEEL</v>
      </c>
      <c r="B112" s="82">
        <f>VLOOKUP(A112,'Data shares'!$C$2:$CV$215,98,0)</f>
        <v>67603950</v>
      </c>
      <c r="C112" s="82">
        <f>VLOOKUP(A112,'Data shares'!$C$2:$CX$215,100,0)</f>
        <v>604800</v>
      </c>
      <c r="D112" s="141">
        <f>VLOOKUP(A112,'Data shares'!$C$2:$CY$538,101,0)</f>
        <v>8.9999999999999993E-3</v>
      </c>
      <c r="E112" s="86">
        <f>VLOOKUP($A112,'Data shares'!$C:$FA,74)</f>
        <v>49878450</v>
      </c>
      <c r="F112" s="86">
        <f>VLOOKUP($A112,'Data shares'!$C:$FA,76)</f>
        <v>126900</v>
      </c>
      <c r="G112" s="87">
        <f>VLOOKUP(A112,'Data shares'!$C$2:$CA$215,77,0)</f>
        <v>2.5999999999999999E-3</v>
      </c>
      <c r="H112" s="86">
        <f>VLOOKUP($A112,'Data shares'!$C:$FA,90)</f>
        <v>9001800</v>
      </c>
      <c r="I112" s="86">
        <f>VLOOKUP($A112,'Data shares'!$C:$FA,92)</f>
        <v>62775</v>
      </c>
      <c r="J112" s="87">
        <f>VLOOKUP($A112,'Data shares'!$C:$FA,93)</f>
        <v>7.0000000000000001E-3</v>
      </c>
      <c r="K112" s="86">
        <f>VLOOKUP($A112,'Data shares'!$C:$FA,94)</f>
        <v>8723700</v>
      </c>
      <c r="L112" s="86">
        <f>VLOOKUP($A112,'Data shares'!$C:$FA,96)</f>
        <v>415125</v>
      </c>
      <c r="M112" s="87">
        <f>VLOOKUP($A112,'Data shares'!$C:$FA,97)</f>
        <v>0.05</v>
      </c>
      <c r="N112" s="86">
        <f>VLOOKUP($A112,'Data shares'!$C:$FA,78)</f>
        <v>49511925</v>
      </c>
      <c r="O112" s="87">
        <f>VLOOKUP($A112,'Data shares'!$C:$FA,81)</f>
        <v>2.5999999999999999E-3</v>
      </c>
    </row>
    <row r="113" spans="1:15" x14ac:dyDescent="0.25">
      <c r="A113" s="100" t="str">
        <f>'OI(Value)'!A113</f>
        <v>JUBLFOOD</v>
      </c>
      <c r="B113" s="82">
        <f>VLOOKUP(A113,'Data shares'!$C$2:$CV$215,98,0)</f>
        <v>46818750</v>
      </c>
      <c r="C113" s="82">
        <f>VLOOKUP(A113,'Data shares'!$C$2:$CX$215,100,0)</f>
        <v>1546250</v>
      </c>
      <c r="D113" s="141">
        <f>VLOOKUP(A113,'Data shares'!$C$2:$CY$538,101,0)</f>
        <v>3.4200000000000001E-2</v>
      </c>
      <c r="E113" s="86">
        <f>VLOOKUP($A113,'Data shares'!$C:$FA,74)</f>
        <v>26482500</v>
      </c>
      <c r="F113" s="86">
        <f>VLOOKUP($A113,'Data shares'!$C:$FA,76)</f>
        <v>-80000</v>
      </c>
      <c r="G113" s="87">
        <f>VLOOKUP(A113,'Data shares'!$C$2:$CA$215,77,0)</f>
        <v>-3.0000000000000001E-3</v>
      </c>
      <c r="H113" s="86">
        <f>VLOOKUP($A113,'Data shares'!$C:$FA,90)</f>
        <v>12471250</v>
      </c>
      <c r="I113" s="86">
        <f>VLOOKUP($A113,'Data shares'!$C:$FA,92)</f>
        <v>1136250</v>
      </c>
      <c r="J113" s="87">
        <f>VLOOKUP($A113,'Data shares'!$C:$FA,93)</f>
        <v>0.1002</v>
      </c>
      <c r="K113" s="86">
        <f>VLOOKUP($A113,'Data shares'!$C:$FA,94)</f>
        <v>7865000</v>
      </c>
      <c r="L113" s="86">
        <f>VLOOKUP($A113,'Data shares'!$C:$FA,96)</f>
        <v>490000</v>
      </c>
      <c r="M113" s="87">
        <f>VLOOKUP($A113,'Data shares'!$C:$FA,97)</f>
        <v>6.6400000000000001E-2</v>
      </c>
      <c r="N113" s="86">
        <f>VLOOKUP($A113,'Data shares'!$C:$FA,78)</f>
        <v>24755000</v>
      </c>
      <c r="O113" s="87">
        <f>VLOOKUP($A113,'Data shares'!$C:$FA,81)</f>
        <v>-9.7999999999999997E-3</v>
      </c>
    </row>
    <row r="114" spans="1:15" x14ac:dyDescent="0.25">
      <c r="A114" s="100" t="str">
        <f>'OI(Value)'!A114</f>
        <v>KALYANKJIL</v>
      </c>
      <c r="B114" s="82">
        <f>VLOOKUP(A114,'Data shares'!$C$2:$CV$215,98,0)</f>
        <v>53524775</v>
      </c>
      <c r="C114" s="82">
        <f>VLOOKUP(A114,'Data shares'!$C$2:$CX$215,100,0)</f>
        <v>8306075</v>
      </c>
      <c r="D114" s="141">
        <f>VLOOKUP(A114,'Data shares'!$C$2:$CY$538,101,0)</f>
        <v>0.1837</v>
      </c>
      <c r="E114" s="86">
        <f>VLOOKUP($A114,'Data shares'!$C:$FA,74)</f>
        <v>37461350</v>
      </c>
      <c r="F114" s="86">
        <f>VLOOKUP($A114,'Data shares'!$C:$FA,76)</f>
        <v>1092750</v>
      </c>
      <c r="G114" s="87">
        <f>VLOOKUP(A114,'Data shares'!$C$2:$CA$215,77,0)</f>
        <v>0.03</v>
      </c>
      <c r="H114" s="86">
        <f>VLOOKUP($A114,'Data shares'!$C:$FA,90)</f>
        <v>10288300</v>
      </c>
      <c r="I114" s="86">
        <f>VLOOKUP($A114,'Data shares'!$C:$FA,92)</f>
        <v>5064250</v>
      </c>
      <c r="J114" s="87">
        <f>VLOOKUP($A114,'Data shares'!$C:$FA,93)</f>
        <v>0.96940000000000004</v>
      </c>
      <c r="K114" s="86">
        <f>VLOOKUP($A114,'Data shares'!$C:$FA,94)</f>
        <v>5775125</v>
      </c>
      <c r="L114" s="86">
        <f>VLOOKUP($A114,'Data shares'!$C:$FA,96)</f>
        <v>2149075</v>
      </c>
      <c r="M114" s="87">
        <f>VLOOKUP($A114,'Data shares'!$C:$FA,97)</f>
        <v>0.5927</v>
      </c>
      <c r="N114" s="86">
        <f>VLOOKUP($A114,'Data shares'!$C:$FA,78)</f>
        <v>36199400</v>
      </c>
      <c r="O114" s="87">
        <f>VLOOKUP($A114,'Data shares'!$C:$FA,81)</f>
        <v>2.3199999999999998E-2</v>
      </c>
    </row>
    <row r="115" spans="1:15" x14ac:dyDescent="0.25">
      <c r="A115" s="100" t="str">
        <f>'OI(Value)'!A115</f>
        <v>KAYNES</v>
      </c>
      <c r="B115" s="82">
        <f>VLOOKUP(A115,'Data shares'!$C$2:$CV$215,98,0)</f>
        <v>9042200</v>
      </c>
      <c r="C115" s="82">
        <f>VLOOKUP(A115,'Data shares'!$C$2:$CX$215,100,0)</f>
        <v>562800</v>
      </c>
      <c r="D115" s="141">
        <f>VLOOKUP(A115,'Data shares'!$C$2:$CY$538,101,0)</f>
        <v>6.6400000000000001E-2</v>
      </c>
      <c r="E115" s="86">
        <f>VLOOKUP($A115,'Data shares'!$C:$FA,74)</f>
        <v>3568600</v>
      </c>
      <c r="F115" s="86">
        <f>VLOOKUP($A115,'Data shares'!$C:$FA,76)</f>
        <v>149100</v>
      </c>
      <c r="G115" s="87">
        <f>VLOOKUP(A115,'Data shares'!$C$2:$CA$215,77,0)</f>
        <v>4.36E-2</v>
      </c>
      <c r="H115" s="86">
        <f>VLOOKUP($A115,'Data shares'!$C:$FA,90)</f>
        <v>3611900</v>
      </c>
      <c r="I115" s="86">
        <f>VLOOKUP($A115,'Data shares'!$C:$FA,92)</f>
        <v>240600</v>
      </c>
      <c r="J115" s="87">
        <f>VLOOKUP($A115,'Data shares'!$C:$FA,93)</f>
        <v>7.1400000000000005E-2</v>
      </c>
      <c r="K115" s="86">
        <f>VLOOKUP($A115,'Data shares'!$C:$FA,94)</f>
        <v>1861700</v>
      </c>
      <c r="L115" s="86">
        <f>VLOOKUP($A115,'Data shares'!$C:$FA,96)</f>
        <v>173100</v>
      </c>
      <c r="M115" s="87">
        <f>VLOOKUP($A115,'Data shares'!$C:$FA,97)</f>
        <v>0.10249999999999999</v>
      </c>
      <c r="N115" s="86">
        <f>VLOOKUP($A115,'Data shares'!$C:$FA,78)</f>
        <v>3269500</v>
      </c>
      <c r="O115" s="87">
        <f>VLOOKUP($A115,'Data shares'!$C:$FA,81)</f>
        <v>4.4699999999999997E-2</v>
      </c>
    </row>
    <row r="116" spans="1:15" x14ac:dyDescent="0.25">
      <c r="A116" s="100" t="str">
        <f>'OI(Value)'!A116</f>
        <v>KEI</v>
      </c>
      <c r="B116" s="82">
        <f>VLOOKUP(A116,'Data shares'!$C$2:$CV$215,98,0)</f>
        <v>1727075</v>
      </c>
      <c r="C116" s="82">
        <f>VLOOKUP(A116,'Data shares'!$C$2:$CX$215,100,0)</f>
        <v>138075</v>
      </c>
      <c r="D116" s="141">
        <f>VLOOKUP(A116,'Data shares'!$C$2:$CY$538,101,0)</f>
        <v>8.6900000000000005E-2</v>
      </c>
      <c r="E116" s="86">
        <f>VLOOKUP($A116,'Data shares'!$C:$FA,74)</f>
        <v>959525</v>
      </c>
      <c r="F116" s="86">
        <f>VLOOKUP($A116,'Data shares'!$C:$FA,76)</f>
        <v>65450</v>
      </c>
      <c r="G116" s="87">
        <f>VLOOKUP(A116,'Data shares'!$C$2:$CA$215,77,0)</f>
        <v>7.3200000000000001E-2</v>
      </c>
      <c r="H116" s="86">
        <f>VLOOKUP($A116,'Data shares'!$C:$FA,90)</f>
        <v>456750</v>
      </c>
      <c r="I116" s="86">
        <f>VLOOKUP($A116,'Data shares'!$C:$FA,92)</f>
        <v>56175</v>
      </c>
      <c r="J116" s="87">
        <f>VLOOKUP($A116,'Data shares'!$C:$FA,93)</f>
        <v>0.14019999999999999</v>
      </c>
      <c r="K116" s="86">
        <f>VLOOKUP($A116,'Data shares'!$C:$FA,94)</f>
        <v>310800</v>
      </c>
      <c r="L116" s="86">
        <f>VLOOKUP($A116,'Data shares'!$C:$FA,96)</f>
        <v>16450</v>
      </c>
      <c r="M116" s="87">
        <f>VLOOKUP($A116,'Data shares'!$C:$FA,97)</f>
        <v>5.5899999999999998E-2</v>
      </c>
      <c r="N116" s="86">
        <f>VLOOKUP($A116,'Data shares'!$C:$FA,78)</f>
        <v>950600</v>
      </c>
      <c r="O116" s="87">
        <f>VLOOKUP($A116,'Data shares'!$C:$FA,81)</f>
        <v>7.3300000000000004E-2</v>
      </c>
    </row>
    <row r="117" spans="1:15" x14ac:dyDescent="0.25">
      <c r="A117" s="100" t="str">
        <f>'OI(Value)'!A117</f>
        <v>KFINTECH</v>
      </c>
      <c r="B117" s="82">
        <f>VLOOKUP(A117,'Data shares'!$C$2:$CV$215,98,0)</f>
        <v>6601500</v>
      </c>
      <c r="C117" s="82">
        <f>VLOOKUP(A117,'Data shares'!$C$2:$CX$215,100,0)</f>
        <v>255000</v>
      </c>
      <c r="D117" s="141">
        <f>VLOOKUP(A117,'Data shares'!$C$2:$CY$538,101,0)</f>
        <v>4.02E-2</v>
      </c>
      <c r="E117" s="86">
        <f>VLOOKUP($A117,'Data shares'!$C:$FA,74)</f>
        <v>4227500</v>
      </c>
      <c r="F117" s="86">
        <f>VLOOKUP($A117,'Data shares'!$C:$FA,76)</f>
        <v>126000</v>
      </c>
      <c r="G117" s="87">
        <f>VLOOKUP(A117,'Data shares'!$C$2:$CA$215,77,0)</f>
        <v>3.0700000000000002E-2</v>
      </c>
      <c r="H117" s="86">
        <f>VLOOKUP($A117,'Data shares'!$C:$FA,90)</f>
        <v>1415000</v>
      </c>
      <c r="I117" s="86">
        <f>VLOOKUP($A117,'Data shares'!$C:$FA,92)</f>
        <v>120000</v>
      </c>
      <c r="J117" s="87">
        <f>VLOOKUP($A117,'Data shares'!$C:$FA,93)</f>
        <v>9.2700000000000005E-2</v>
      </c>
      <c r="K117" s="86">
        <f>VLOOKUP($A117,'Data shares'!$C:$FA,94)</f>
        <v>959000</v>
      </c>
      <c r="L117" s="86">
        <f>VLOOKUP($A117,'Data shares'!$C:$FA,96)</f>
        <v>9000</v>
      </c>
      <c r="M117" s="87">
        <f>VLOOKUP($A117,'Data shares'!$C:$FA,97)</f>
        <v>9.4999999999999998E-3</v>
      </c>
      <c r="N117" s="86">
        <f>VLOOKUP($A117,'Data shares'!$C:$FA,78)</f>
        <v>3970000</v>
      </c>
      <c r="O117" s="87">
        <f>VLOOKUP($A117,'Data shares'!$C:$FA,81)</f>
        <v>1.83E-2</v>
      </c>
    </row>
    <row r="118" spans="1:15" x14ac:dyDescent="0.25">
      <c r="A118" s="100" t="str">
        <f>'OI(Value)'!A118</f>
        <v>KOTAKBANK</v>
      </c>
      <c r="B118" s="82">
        <f>VLOOKUP(A118,'Data shares'!$C$2:$CV$215,98,0)</f>
        <v>52380800</v>
      </c>
      <c r="C118" s="82">
        <f>VLOOKUP(A118,'Data shares'!$C$2:$CX$215,100,0)</f>
        <v>1088000</v>
      </c>
      <c r="D118" s="141">
        <f>VLOOKUP(A118,'Data shares'!$C$2:$CY$538,101,0)</f>
        <v>2.12E-2</v>
      </c>
      <c r="E118" s="86">
        <f>VLOOKUP($A118,'Data shares'!$C:$FA,74)</f>
        <v>38535600</v>
      </c>
      <c r="F118" s="86">
        <f>VLOOKUP($A118,'Data shares'!$C:$FA,76)</f>
        <v>-276800</v>
      </c>
      <c r="G118" s="87">
        <f>VLOOKUP(A118,'Data shares'!$C$2:$CA$215,77,0)</f>
        <v>-7.1000000000000004E-3</v>
      </c>
      <c r="H118" s="86">
        <f>VLOOKUP($A118,'Data shares'!$C:$FA,90)</f>
        <v>8492000</v>
      </c>
      <c r="I118" s="86">
        <f>VLOOKUP($A118,'Data shares'!$C:$FA,92)</f>
        <v>718800</v>
      </c>
      <c r="J118" s="87">
        <f>VLOOKUP($A118,'Data shares'!$C:$FA,93)</f>
        <v>9.2499999999999999E-2</v>
      </c>
      <c r="K118" s="86">
        <f>VLOOKUP($A118,'Data shares'!$C:$FA,94)</f>
        <v>5353200</v>
      </c>
      <c r="L118" s="86">
        <f>VLOOKUP($A118,'Data shares'!$C:$FA,96)</f>
        <v>646000</v>
      </c>
      <c r="M118" s="87">
        <f>VLOOKUP($A118,'Data shares'!$C:$FA,97)</f>
        <v>0.13719999999999999</v>
      </c>
      <c r="N118" s="86">
        <f>VLOOKUP($A118,'Data shares'!$C:$FA,78)</f>
        <v>38033200</v>
      </c>
      <c r="O118" s="87">
        <f>VLOOKUP($A118,'Data shares'!$C:$FA,81)</f>
        <v>-0.01</v>
      </c>
    </row>
    <row r="119" spans="1:15" x14ac:dyDescent="0.25">
      <c r="A119" s="100" t="str">
        <f>'OI(Value)'!A119</f>
        <v>KPITTECH</v>
      </c>
      <c r="B119" s="82">
        <f>VLOOKUP(A119,'Data shares'!$C$2:$CV$215,98,0)</f>
        <v>6625325</v>
      </c>
      <c r="C119" s="82">
        <f>VLOOKUP(A119,'Data shares'!$C$2:$CX$215,100,0)</f>
        <v>127925</v>
      </c>
      <c r="D119" s="141">
        <f>VLOOKUP(A119,'Data shares'!$C$2:$CY$538,101,0)</f>
        <v>1.9699999999999999E-2</v>
      </c>
      <c r="E119" s="86">
        <f>VLOOKUP($A119,'Data shares'!$C:$FA,74)</f>
        <v>3419550</v>
      </c>
      <c r="F119" s="86">
        <f>VLOOKUP($A119,'Data shares'!$C:$FA,76)</f>
        <v>-433500</v>
      </c>
      <c r="G119" s="87">
        <f>VLOOKUP(A119,'Data shares'!$C$2:$CA$215,77,0)</f>
        <v>-0.1125</v>
      </c>
      <c r="H119" s="86">
        <f>VLOOKUP($A119,'Data shares'!$C:$FA,90)</f>
        <v>1645600</v>
      </c>
      <c r="I119" s="86">
        <f>VLOOKUP($A119,'Data shares'!$C:$FA,92)</f>
        <v>112625</v>
      </c>
      <c r="J119" s="87">
        <f>VLOOKUP($A119,'Data shares'!$C:$FA,93)</f>
        <v>7.3499999999999996E-2</v>
      </c>
      <c r="K119" s="86">
        <f>VLOOKUP($A119,'Data shares'!$C:$FA,94)</f>
        <v>1560175</v>
      </c>
      <c r="L119" s="86">
        <f>VLOOKUP($A119,'Data shares'!$C:$FA,96)</f>
        <v>448800</v>
      </c>
      <c r="M119" s="87">
        <f>VLOOKUP($A119,'Data shares'!$C:$FA,97)</f>
        <v>0.40379999999999999</v>
      </c>
      <c r="N119" s="86">
        <f>VLOOKUP($A119,'Data shares'!$C:$FA,78)</f>
        <v>3210875</v>
      </c>
      <c r="O119" s="87">
        <f>VLOOKUP($A119,'Data shares'!$C:$FA,81)</f>
        <v>-0.1138</v>
      </c>
    </row>
    <row r="120" spans="1:15" x14ac:dyDescent="0.25">
      <c r="A120" s="100" t="str">
        <f>'OI(Value)'!A120</f>
        <v>LAURUSLABS</v>
      </c>
      <c r="B120" s="82">
        <f>VLOOKUP(A120,'Data shares'!$C$2:$CV$215,98,0)</f>
        <v>27906350</v>
      </c>
      <c r="C120" s="82">
        <f>VLOOKUP(A120,'Data shares'!$C$2:$CX$215,100,0)</f>
        <v>1708500</v>
      </c>
      <c r="D120" s="141">
        <f>VLOOKUP(A120,'Data shares'!$C$2:$CY$538,101,0)</f>
        <v>6.5199999999999994E-2</v>
      </c>
      <c r="E120" s="86">
        <f>VLOOKUP($A120,'Data shares'!$C:$FA,74)</f>
        <v>16696550</v>
      </c>
      <c r="F120" s="86">
        <f>VLOOKUP($A120,'Data shares'!$C:$FA,76)</f>
        <v>442000</v>
      </c>
      <c r="G120" s="87">
        <f>VLOOKUP(A120,'Data shares'!$C$2:$CA$215,77,0)</f>
        <v>2.7199999999999998E-2</v>
      </c>
      <c r="H120" s="86">
        <f>VLOOKUP($A120,'Data shares'!$C:$FA,90)</f>
        <v>6232200</v>
      </c>
      <c r="I120" s="86">
        <f>VLOOKUP($A120,'Data shares'!$C:$FA,92)</f>
        <v>526150</v>
      </c>
      <c r="J120" s="87">
        <f>VLOOKUP($A120,'Data shares'!$C:$FA,93)</f>
        <v>9.2200000000000004E-2</v>
      </c>
      <c r="K120" s="86">
        <f>VLOOKUP($A120,'Data shares'!$C:$FA,94)</f>
        <v>4977600</v>
      </c>
      <c r="L120" s="86">
        <f>VLOOKUP($A120,'Data shares'!$C:$FA,96)</f>
        <v>740350</v>
      </c>
      <c r="M120" s="87">
        <f>VLOOKUP($A120,'Data shares'!$C:$FA,97)</f>
        <v>0.17469999999999999</v>
      </c>
      <c r="N120" s="86">
        <f>VLOOKUP($A120,'Data shares'!$C:$FA,78)</f>
        <v>15413050</v>
      </c>
      <c r="O120" s="87">
        <f>VLOOKUP($A120,'Data shares'!$C:$FA,81)</f>
        <v>-2.0000000000000001E-4</v>
      </c>
    </row>
    <row r="121" spans="1:15" x14ac:dyDescent="0.25">
      <c r="A121" s="100" t="str">
        <f>'OI(Value)'!A121</f>
        <v>LICHSGFIN</v>
      </c>
      <c r="B121" s="82">
        <f>VLOOKUP(A121,'Data shares'!$C$2:$CV$215,98,0)</f>
        <v>48705000</v>
      </c>
      <c r="C121" s="82">
        <f>VLOOKUP(A121,'Data shares'!$C$2:$CX$215,100,0)</f>
        <v>1832000</v>
      </c>
      <c r="D121" s="141">
        <f>VLOOKUP(A121,'Data shares'!$C$2:$CY$538,101,0)</f>
        <v>3.9100000000000003E-2</v>
      </c>
      <c r="E121" s="86">
        <f>VLOOKUP($A121,'Data shares'!$C:$FA,74)</f>
        <v>33412000</v>
      </c>
      <c r="F121" s="86">
        <f>VLOOKUP($A121,'Data shares'!$C:$FA,76)</f>
        <v>218000</v>
      </c>
      <c r="G121" s="87">
        <f>VLOOKUP(A121,'Data shares'!$C$2:$CA$215,77,0)</f>
        <v>6.6E-3</v>
      </c>
      <c r="H121" s="86">
        <f>VLOOKUP($A121,'Data shares'!$C:$FA,90)</f>
        <v>7209000</v>
      </c>
      <c r="I121" s="86">
        <f>VLOOKUP($A121,'Data shares'!$C:$FA,92)</f>
        <v>583000</v>
      </c>
      <c r="J121" s="87">
        <f>VLOOKUP($A121,'Data shares'!$C:$FA,93)</f>
        <v>8.7999999999999995E-2</v>
      </c>
      <c r="K121" s="86">
        <f>VLOOKUP($A121,'Data shares'!$C:$FA,94)</f>
        <v>8084000</v>
      </c>
      <c r="L121" s="86">
        <f>VLOOKUP($A121,'Data shares'!$C:$FA,96)</f>
        <v>1031000</v>
      </c>
      <c r="M121" s="87">
        <f>VLOOKUP($A121,'Data shares'!$C:$FA,97)</f>
        <v>0.1462</v>
      </c>
      <c r="N121" s="86">
        <f>VLOOKUP($A121,'Data shares'!$C:$FA,78)</f>
        <v>32390000</v>
      </c>
      <c r="O121" s="87">
        <f>VLOOKUP($A121,'Data shares'!$C:$FA,81)</f>
        <v>3.0999999999999999E-3</v>
      </c>
    </row>
    <row r="122" spans="1:15" x14ac:dyDescent="0.25">
      <c r="A122" s="100" t="str">
        <f>'OI(Value)'!A122</f>
        <v>LICI</v>
      </c>
      <c r="B122" s="82">
        <f>VLOOKUP(A122,'Data shares'!$C$2:$CV$215,98,0)</f>
        <v>20490400</v>
      </c>
      <c r="C122" s="82">
        <f>VLOOKUP(A122,'Data shares'!$C$2:$CX$215,100,0)</f>
        <v>705600</v>
      </c>
      <c r="D122" s="141">
        <f>VLOOKUP(A122,'Data shares'!$C$2:$CY$538,101,0)</f>
        <v>3.5700000000000003E-2</v>
      </c>
      <c r="E122" s="86">
        <f>VLOOKUP($A122,'Data shares'!$C:$FA,74)</f>
        <v>11708900</v>
      </c>
      <c r="F122" s="86">
        <f>VLOOKUP($A122,'Data shares'!$C:$FA,76)</f>
        <v>102900</v>
      </c>
      <c r="G122" s="87">
        <f>VLOOKUP(A122,'Data shares'!$C$2:$CA$215,77,0)</f>
        <v>8.8999999999999999E-3</v>
      </c>
      <c r="H122" s="86">
        <f>VLOOKUP($A122,'Data shares'!$C:$FA,90)</f>
        <v>5156200</v>
      </c>
      <c r="I122" s="86">
        <f>VLOOKUP($A122,'Data shares'!$C:$FA,92)</f>
        <v>351400</v>
      </c>
      <c r="J122" s="87">
        <f>VLOOKUP($A122,'Data shares'!$C:$FA,93)</f>
        <v>7.3099999999999998E-2</v>
      </c>
      <c r="K122" s="86">
        <f>VLOOKUP($A122,'Data shares'!$C:$FA,94)</f>
        <v>3625300</v>
      </c>
      <c r="L122" s="86">
        <f>VLOOKUP($A122,'Data shares'!$C:$FA,96)</f>
        <v>251300</v>
      </c>
      <c r="M122" s="87">
        <f>VLOOKUP($A122,'Data shares'!$C:$FA,97)</f>
        <v>7.4499999999999997E-2</v>
      </c>
      <c r="N122" s="86">
        <f>VLOOKUP($A122,'Data shares'!$C:$FA,78)</f>
        <v>10788400</v>
      </c>
      <c r="O122" s="87">
        <f>VLOOKUP($A122,'Data shares'!$C:$FA,81)</f>
        <v>5.7000000000000002E-3</v>
      </c>
    </row>
    <row r="123" spans="1:15" x14ac:dyDescent="0.25">
      <c r="A123" s="100" t="str">
        <f>'OI(Value)'!A123</f>
        <v>LODHA</v>
      </c>
      <c r="B123" s="82">
        <f>VLOOKUP(A123,'Data shares'!$C$2:$CV$215,98,0)</f>
        <v>17053650</v>
      </c>
      <c r="C123" s="82">
        <f>VLOOKUP(A123,'Data shares'!$C$2:$CX$215,100,0)</f>
        <v>443700</v>
      </c>
      <c r="D123" s="141">
        <f>VLOOKUP(A123,'Data shares'!$C$2:$CY$538,101,0)</f>
        <v>2.6700000000000002E-2</v>
      </c>
      <c r="E123" s="86">
        <f>VLOOKUP($A123,'Data shares'!$C:$FA,74)</f>
        <v>12344400</v>
      </c>
      <c r="F123" s="86">
        <f>VLOOKUP($A123,'Data shares'!$C:$FA,76)</f>
        <v>-161100</v>
      </c>
      <c r="G123" s="87">
        <f>VLOOKUP(A123,'Data shares'!$C$2:$CA$215,77,0)</f>
        <v>-1.29E-2</v>
      </c>
      <c r="H123" s="86">
        <f>VLOOKUP($A123,'Data shares'!$C:$FA,90)</f>
        <v>2805300</v>
      </c>
      <c r="I123" s="86">
        <f>VLOOKUP($A123,'Data shares'!$C:$FA,92)</f>
        <v>502200</v>
      </c>
      <c r="J123" s="87">
        <f>VLOOKUP($A123,'Data shares'!$C:$FA,93)</f>
        <v>0.21809999999999999</v>
      </c>
      <c r="K123" s="86">
        <f>VLOOKUP($A123,'Data shares'!$C:$FA,94)</f>
        <v>1903950</v>
      </c>
      <c r="L123" s="86">
        <f>VLOOKUP($A123,'Data shares'!$C:$FA,96)</f>
        <v>102600</v>
      </c>
      <c r="M123" s="87">
        <f>VLOOKUP($A123,'Data shares'!$C:$FA,97)</f>
        <v>5.7000000000000002E-2</v>
      </c>
      <c r="N123" s="86">
        <f>VLOOKUP($A123,'Data shares'!$C:$FA,78)</f>
        <v>12102750</v>
      </c>
      <c r="O123" s="87">
        <f>VLOOKUP($A123,'Data shares'!$C:$FA,81)</f>
        <v>-1.4500000000000001E-2</v>
      </c>
    </row>
    <row r="124" spans="1:15" x14ac:dyDescent="0.25">
      <c r="A124" s="100" t="str">
        <f>'OI(Value)'!A124</f>
        <v>LT</v>
      </c>
      <c r="B124" s="82">
        <f>VLOOKUP(A124,'Data shares'!$C$2:$CV$215,98,0)</f>
        <v>19313350</v>
      </c>
      <c r="C124" s="82">
        <f>VLOOKUP(A124,'Data shares'!$C$2:$CX$215,100,0)</f>
        <v>410550</v>
      </c>
      <c r="D124" s="141">
        <f>VLOOKUP(A124,'Data shares'!$C$2:$CY$538,101,0)</f>
        <v>2.1700000000000001E-2</v>
      </c>
      <c r="E124" s="86">
        <f>VLOOKUP($A124,'Data shares'!$C:$FA,74)</f>
        <v>13569500</v>
      </c>
      <c r="F124" s="86">
        <f>VLOOKUP($A124,'Data shares'!$C:$FA,76)</f>
        <v>-104125</v>
      </c>
      <c r="G124" s="87">
        <f>VLOOKUP(A124,'Data shares'!$C$2:$CA$215,77,0)</f>
        <v>-7.6E-3</v>
      </c>
      <c r="H124" s="86">
        <f>VLOOKUP($A124,'Data shares'!$C:$FA,90)</f>
        <v>3448200</v>
      </c>
      <c r="I124" s="86">
        <f>VLOOKUP($A124,'Data shares'!$C:$FA,92)</f>
        <v>432775</v>
      </c>
      <c r="J124" s="87">
        <f>VLOOKUP($A124,'Data shares'!$C:$FA,93)</f>
        <v>0.14349999999999999</v>
      </c>
      <c r="K124" s="86">
        <f>VLOOKUP($A124,'Data shares'!$C:$FA,94)</f>
        <v>2295650</v>
      </c>
      <c r="L124" s="86">
        <f>VLOOKUP($A124,'Data shares'!$C:$FA,96)</f>
        <v>81900</v>
      </c>
      <c r="M124" s="87">
        <f>VLOOKUP($A124,'Data shares'!$C:$FA,97)</f>
        <v>3.6999999999999998E-2</v>
      </c>
      <c r="N124" s="86">
        <f>VLOOKUP($A124,'Data shares'!$C:$FA,78)</f>
        <v>13271300</v>
      </c>
      <c r="O124" s="87">
        <f>VLOOKUP($A124,'Data shares'!$C:$FA,81)</f>
        <v>-9.7000000000000003E-3</v>
      </c>
    </row>
    <row r="125" spans="1:15" x14ac:dyDescent="0.25">
      <c r="A125" s="100" t="str">
        <f>'OI(Value)'!A125</f>
        <v>LTF</v>
      </c>
      <c r="B125" s="82">
        <f>VLOOKUP(A125,'Data shares'!$C$2:$CV$215,98,0)</f>
        <v>79875000</v>
      </c>
      <c r="C125" s="82">
        <f>VLOOKUP(A125,'Data shares'!$C$2:$CX$215,100,0)</f>
        <v>2115000</v>
      </c>
      <c r="D125" s="141">
        <f>VLOOKUP(A125,'Data shares'!$C$2:$CY$538,101,0)</f>
        <v>2.7199999999999998E-2</v>
      </c>
      <c r="E125" s="86">
        <f>VLOOKUP($A125,'Data shares'!$C:$FA,74)</f>
        <v>41060250</v>
      </c>
      <c r="F125" s="86">
        <f>VLOOKUP($A125,'Data shares'!$C:$FA,76)</f>
        <v>-339750</v>
      </c>
      <c r="G125" s="87">
        <f>VLOOKUP(A125,'Data shares'!$C$2:$CA$215,77,0)</f>
        <v>-8.2000000000000007E-3</v>
      </c>
      <c r="H125" s="86">
        <f>VLOOKUP($A125,'Data shares'!$C:$FA,90)</f>
        <v>23512500</v>
      </c>
      <c r="I125" s="86">
        <f>VLOOKUP($A125,'Data shares'!$C:$FA,92)</f>
        <v>2241000</v>
      </c>
      <c r="J125" s="87">
        <f>VLOOKUP($A125,'Data shares'!$C:$FA,93)</f>
        <v>0.10539999999999999</v>
      </c>
      <c r="K125" s="86">
        <f>VLOOKUP($A125,'Data shares'!$C:$FA,94)</f>
        <v>15302250</v>
      </c>
      <c r="L125" s="86">
        <f>VLOOKUP($A125,'Data shares'!$C:$FA,96)</f>
        <v>213750</v>
      </c>
      <c r="M125" s="87">
        <f>VLOOKUP($A125,'Data shares'!$C:$FA,97)</f>
        <v>1.4200000000000001E-2</v>
      </c>
      <c r="N125" s="86">
        <f>VLOOKUP($A125,'Data shares'!$C:$FA,78)</f>
        <v>39723750</v>
      </c>
      <c r="O125" s="87">
        <f>VLOOKUP($A125,'Data shares'!$C:$FA,81)</f>
        <v>-1.52E-2</v>
      </c>
    </row>
    <row r="126" spans="1:15" x14ac:dyDescent="0.25">
      <c r="A126" s="100" t="str">
        <f>'OI(Value)'!A126</f>
        <v>LTIM</v>
      </c>
      <c r="B126" s="82">
        <f>VLOOKUP(A126,'Data shares'!$C$2:$CV$215,98,0)</f>
        <v>3870600</v>
      </c>
      <c r="C126" s="82">
        <f>VLOOKUP(A126,'Data shares'!$C$2:$CX$215,100,0)</f>
        <v>92550</v>
      </c>
      <c r="D126" s="141">
        <f>VLOOKUP(A126,'Data shares'!$C$2:$CY$538,101,0)</f>
        <v>2.4500000000000001E-2</v>
      </c>
      <c r="E126" s="86">
        <f>VLOOKUP($A126,'Data shares'!$C:$FA,74)</f>
        <v>2337000</v>
      </c>
      <c r="F126" s="86">
        <f>VLOOKUP($A126,'Data shares'!$C:$FA,76)</f>
        <v>2850</v>
      </c>
      <c r="G126" s="87">
        <f>VLOOKUP(A126,'Data shares'!$C$2:$CA$215,77,0)</f>
        <v>1.1999999999999999E-3</v>
      </c>
      <c r="H126" s="86">
        <f>VLOOKUP($A126,'Data shares'!$C:$FA,90)</f>
        <v>849900</v>
      </c>
      <c r="I126" s="86">
        <f>VLOOKUP($A126,'Data shares'!$C:$FA,92)</f>
        <v>67350</v>
      </c>
      <c r="J126" s="87">
        <f>VLOOKUP($A126,'Data shares'!$C:$FA,93)</f>
        <v>8.6099999999999996E-2</v>
      </c>
      <c r="K126" s="86">
        <f>VLOOKUP($A126,'Data shares'!$C:$FA,94)</f>
        <v>683700</v>
      </c>
      <c r="L126" s="86">
        <f>VLOOKUP($A126,'Data shares'!$C:$FA,96)</f>
        <v>22350</v>
      </c>
      <c r="M126" s="87">
        <f>VLOOKUP($A126,'Data shares'!$C:$FA,97)</f>
        <v>3.3799999999999997E-2</v>
      </c>
      <c r="N126" s="86">
        <f>VLOOKUP($A126,'Data shares'!$C:$FA,78)</f>
        <v>2312850</v>
      </c>
      <c r="O126" s="87">
        <f>VLOOKUP($A126,'Data shares'!$C:$FA,81)</f>
        <v>1E-3</v>
      </c>
    </row>
    <row r="127" spans="1:15" x14ac:dyDescent="0.25">
      <c r="A127" s="100" t="str">
        <f>'OI(Value)'!A127</f>
        <v>LUPIN</v>
      </c>
      <c r="B127" s="82">
        <f>VLOOKUP(A127,'Data shares'!$C$2:$CV$215,98,0)</f>
        <v>11566800</v>
      </c>
      <c r="C127" s="82">
        <f>VLOOKUP(A127,'Data shares'!$C$2:$CX$215,100,0)</f>
        <v>1062925</v>
      </c>
      <c r="D127" s="141">
        <f>VLOOKUP(A127,'Data shares'!$C$2:$CY$538,101,0)</f>
        <v>0.1012</v>
      </c>
      <c r="E127" s="86">
        <f>VLOOKUP($A127,'Data shares'!$C:$FA,74)</f>
        <v>7307450</v>
      </c>
      <c r="F127" s="86">
        <f>VLOOKUP($A127,'Data shares'!$C:$FA,76)</f>
        <v>102000</v>
      </c>
      <c r="G127" s="87">
        <f>VLOOKUP(A127,'Data shares'!$C$2:$CA$215,77,0)</f>
        <v>1.4200000000000001E-2</v>
      </c>
      <c r="H127" s="86">
        <f>VLOOKUP($A127,'Data shares'!$C:$FA,90)</f>
        <v>2377025</v>
      </c>
      <c r="I127" s="86">
        <f>VLOOKUP($A127,'Data shares'!$C:$FA,92)</f>
        <v>437750</v>
      </c>
      <c r="J127" s="87">
        <f>VLOOKUP($A127,'Data shares'!$C:$FA,93)</f>
        <v>0.22570000000000001</v>
      </c>
      <c r="K127" s="86">
        <f>VLOOKUP($A127,'Data shares'!$C:$FA,94)</f>
        <v>1882325</v>
      </c>
      <c r="L127" s="86">
        <f>VLOOKUP($A127,'Data shares'!$C:$FA,96)</f>
        <v>523175</v>
      </c>
      <c r="M127" s="87">
        <f>VLOOKUP($A127,'Data shares'!$C:$FA,97)</f>
        <v>0.38490000000000002</v>
      </c>
      <c r="N127" s="86">
        <f>VLOOKUP($A127,'Data shares'!$C:$FA,78)</f>
        <v>7198650</v>
      </c>
      <c r="O127" s="87">
        <f>VLOOKUP($A127,'Data shares'!$C:$FA,81)</f>
        <v>1.3599999999999999E-2</v>
      </c>
    </row>
    <row r="128" spans="1:15" x14ac:dyDescent="0.25">
      <c r="A128" s="100" t="str">
        <f>'OI(Value)'!A128</f>
        <v>M&amp;M</v>
      </c>
      <c r="B128" s="82">
        <f>VLOOKUP(A128,'Data shares'!$C$2:$CV$215,98,0)</f>
        <v>23499800</v>
      </c>
      <c r="C128" s="82">
        <f>VLOOKUP(A128,'Data shares'!$C$2:$CX$215,100,0)</f>
        <v>311200</v>
      </c>
      <c r="D128" s="141">
        <f>VLOOKUP(A128,'Data shares'!$C$2:$CY$538,101,0)</f>
        <v>1.34E-2</v>
      </c>
      <c r="E128" s="86">
        <f>VLOOKUP($A128,'Data shares'!$C:$FA,74)</f>
        <v>18327200</v>
      </c>
      <c r="F128" s="86">
        <f>VLOOKUP($A128,'Data shares'!$C:$FA,76)</f>
        <v>7000</v>
      </c>
      <c r="G128" s="87">
        <f>VLOOKUP(A128,'Data shares'!$C$2:$CA$215,77,0)</f>
        <v>4.0000000000000002E-4</v>
      </c>
      <c r="H128" s="86">
        <f>VLOOKUP($A128,'Data shares'!$C:$FA,90)</f>
        <v>3185400</v>
      </c>
      <c r="I128" s="86">
        <f>VLOOKUP($A128,'Data shares'!$C:$FA,92)</f>
        <v>368400</v>
      </c>
      <c r="J128" s="87">
        <f>VLOOKUP($A128,'Data shares'!$C:$FA,93)</f>
        <v>0.1308</v>
      </c>
      <c r="K128" s="86">
        <f>VLOOKUP($A128,'Data shares'!$C:$FA,94)</f>
        <v>1987200</v>
      </c>
      <c r="L128" s="86">
        <f>VLOOKUP($A128,'Data shares'!$C:$FA,96)</f>
        <v>-64200</v>
      </c>
      <c r="M128" s="87">
        <f>VLOOKUP($A128,'Data shares'!$C:$FA,97)</f>
        <v>-3.1300000000000001E-2</v>
      </c>
      <c r="N128" s="86">
        <f>VLOOKUP($A128,'Data shares'!$C:$FA,78)</f>
        <v>18033800</v>
      </c>
      <c r="O128" s="87">
        <f>VLOOKUP($A128,'Data shares'!$C:$FA,81)</f>
        <v>-1.6000000000000001E-3</v>
      </c>
    </row>
    <row r="129" spans="1:15" x14ac:dyDescent="0.25">
      <c r="A129" s="100" t="str">
        <f>'OI(Value)'!A129</f>
        <v>MANAPPURAM</v>
      </c>
      <c r="B129" s="82">
        <f>VLOOKUP(A129,'Data shares'!$C$2:$CV$215,98,0)</f>
        <v>73380000</v>
      </c>
      <c r="C129" s="82">
        <f>VLOOKUP(A129,'Data shares'!$C$2:$CX$215,100,0)</f>
        <v>5913000</v>
      </c>
      <c r="D129" s="141">
        <f>VLOOKUP(A129,'Data shares'!$C$2:$CY$538,101,0)</f>
        <v>8.7599999999999997E-2</v>
      </c>
      <c r="E129" s="86">
        <f>VLOOKUP($A129,'Data shares'!$C:$FA,74)</f>
        <v>44826000</v>
      </c>
      <c r="F129" s="86">
        <f>VLOOKUP($A129,'Data shares'!$C:$FA,76)</f>
        <v>2580000</v>
      </c>
      <c r="G129" s="87">
        <f>VLOOKUP(A129,'Data shares'!$C$2:$CA$215,77,0)</f>
        <v>6.1100000000000002E-2</v>
      </c>
      <c r="H129" s="86">
        <f>VLOOKUP($A129,'Data shares'!$C:$FA,90)</f>
        <v>18240000</v>
      </c>
      <c r="I129" s="86">
        <f>VLOOKUP($A129,'Data shares'!$C:$FA,92)</f>
        <v>2073000</v>
      </c>
      <c r="J129" s="87">
        <f>VLOOKUP($A129,'Data shares'!$C:$FA,93)</f>
        <v>0.12820000000000001</v>
      </c>
      <c r="K129" s="86">
        <f>VLOOKUP($A129,'Data shares'!$C:$FA,94)</f>
        <v>10314000</v>
      </c>
      <c r="L129" s="86">
        <f>VLOOKUP($A129,'Data shares'!$C:$FA,96)</f>
        <v>1260000</v>
      </c>
      <c r="M129" s="87">
        <f>VLOOKUP($A129,'Data shares'!$C:$FA,97)</f>
        <v>0.13919999999999999</v>
      </c>
      <c r="N129" s="86">
        <f>VLOOKUP($A129,'Data shares'!$C:$FA,78)</f>
        <v>43866000</v>
      </c>
      <c r="O129" s="87">
        <f>VLOOKUP($A129,'Data shares'!$C:$FA,81)</f>
        <v>6.0100000000000001E-2</v>
      </c>
    </row>
    <row r="130" spans="1:15" x14ac:dyDescent="0.25">
      <c r="A130" s="100" t="str">
        <f>'OI(Value)'!A130</f>
        <v>MANKIND</v>
      </c>
      <c r="B130" s="82">
        <f>VLOOKUP(A130,'Data shares'!$C$2:$CV$215,98,0)</f>
        <v>3236625</v>
      </c>
      <c r="C130" s="82">
        <f>VLOOKUP(A130,'Data shares'!$C$2:$CX$215,100,0)</f>
        <v>300825</v>
      </c>
      <c r="D130" s="141">
        <f>VLOOKUP(A130,'Data shares'!$C$2:$CY$538,101,0)</f>
        <v>0.10249999999999999</v>
      </c>
      <c r="E130" s="86">
        <f>VLOOKUP($A130,'Data shares'!$C:$FA,74)</f>
        <v>2013300</v>
      </c>
      <c r="F130" s="86">
        <f>VLOOKUP($A130,'Data shares'!$C:$FA,76)</f>
        <v>-122625</v>
      </c>
      <c r="G130" s="87">
        <f>VLOOKUP(A130,'Data shares'!$C$2:$CA$215,77,0)</f>
        <v>-5.74E-2</v>
      </c>
      <c r="H130" s="86">
        <f>VLOOKUP($A130,'Data shares'!$C:$FA,90)</f>
        <v>741150</v>
      </c>
      <c r="I130" s="86">
        <f>VLOOKUP($A130,'Data shares'!$C:$FA,92)</f>
        <v>286200</v>
      </c>
      <c r="J130" s="87">
        <f>VLOOKUP($A130,'Data shares'!$C:$FA,93)</f>
        <v>0.62909999999999999</v>
      </c>
      <c r="K130" s="86">
        <f>VLOOKUP($A130,'Data shares'!$C:$FA,94)</f>
        <v>482175</v>
      </c>
      <c r="L130" s="86">
        <f>VLOOKUP($A130,'Data shares'!$C:$FA,96)</f>
        <v>137250</v>
      </c>
      <c r="M130" s="87">
        <f>VLOOKUP($A130,'Data shares'!$C:$FA,97)</f>
        <v>0.39789999999999998</v>
      </c>
      <c r="N130" s="86">
        <f>VLOOKUP($A130,'Data shares'!$C:$FA,78)</f>
        <v>1962675</v>
      </c>
      <c r="O130" s="87">
        <f>VLOOKUP($A130,'Data shares'!$C:$FA,81)</f>
        <v>-5.7700000000000001E-2</v>
      </c>
    </row>
    <row r="131" spans="1:15" x14ac:dyDescent="0.25">
      <c r="A131" s="100" t="str">
        <f>'OI(Value)'!A131</f>
        <v>MARICO</v>
      </c>
      <c r="B131" s="82">
        <f>VLOOKUP(A131,'Data shares'!$C$2:$CV$215,98,0)</f>
        <v>41737200</v>
      </c>
      <c r="C131" s="82">
        <f>VLOOKUP(A131,'Data shares'!$C$2:$CX$215,100,0)</f>
        <v>1154400</v>
      </c>
      <c r="D131" s="141">
        <f>VLOOKUP(A131,'Data shares'!$C$2:$CY$538,101,0)</f>
        <v>2.8400000000000002E-2</v>
      </c>
      <c r="E131" s="86">
        <f>VLOOKUP($A131,'Data shares'!$C:$FA,74)</f>
        <v>31046400</v>
      </c>
      <c r="F131" s="86">
        <f>VLOOKUP($A131,'Data shares'!$C:$FA,76)</f>
        <v>-550800</v>
      </c>
      <c r="G131" s="87">
        <f>VLOOKUP(A131,'Data shares'!$C$2:$CA$215,77,0)</f>
        <v>-1.7399999999999999E-2</v>
      </c>
      <c r="H131" s="86">
        <f>VLOOKUP($A131,'Data shares'!$C:$FA,90)</f>
        <v>6666000</v>
      </c>
      <c r="I131" s="86">
        <f>VLOOKUP($A131,'Data shares'!$C:$FA,92)</f>
        <v>1180800</v>
      </c>
      <c r="J131" s="87">
        <f>VLOOKUP($A131,'Data shares'!$C:$FA,93)</f>
        <v>0.21529999999999999</v>
      </c>
      <c r="K131" s="86">
        <f>VLOOKUP($A131,'Data shares'!$C:$FA,94)</f>
        <v>4024800</v>
      </c>
      <c r="L131" s="86">
        <f>VLOOKUP($A131,'Data shares'!$C:$FA,96)</f>
        <v>524400</v>
      </c>
      <c r="M131" s="87">
        <f>VLOOKUP($A131,'Data shares'!$C:$FA,97)</f>
        <v>0.14979999999999999</v>
      </c>
      <c r="N131" s="86">
        <f>VLOOKUP($A131,'Data shares'!$C:$FA,78)</f>
        <v>30912000</v>
      </c>
      <c r="O131" s="87">
        <f>VLOOKUP($A131,'Data shares'!$C:$FA,81)</f>
        <v>-1.78E-2</v>
      </c>
    </row>
    <row r="132" spans="1:15" x14ac:dyDescent="0.25">
      <c r="A132" s="100" t="str">
        <f>'OI(Value)'!A132</f>
        <v>MARUTI</v>
      </c>
      <c r="B132" s="82">
        <f>VLOOKUP(A132,'Data shares'!$C$2:$CV$215,98,0)</f>
        <v>5709800</v>
      </c>
      <c r="C132" s="82">
        <f>VLOOKUP(A132,'Data shares'!$C$2:$CX$215,100,0)</f>
        <v>286200</v>
      </c>
      <c r="D132" s="141">
        <f>VLOOKUP(A132,'Data shares'!$C$2:$CY$538,101,0)</f>
        <v>5.28E-2</v>
      </c>
      <c r="E132" s="86">
        <f>VLOOKUP($A132,'Data shares'!$C:$FA,74)</f>
        <v>2954550</v>
      </c>
      <c r="F132" s="86">
        <f>VLOOKUP($A132,'Data shares'!$C:$FA,76)</f>
        <v>10100</v>
      </c>
      <c r="G132" s="87">
        <f>VLOOKUP(A132,'Data shares'!$C$2:$CA$215,77,0)</f>
        <v>3.3999999999999998E-3</v>
      </c>
      <c r="H132" s="86">
        <f>VLOOKUP($A132,'Data shares'!$C:$FA,90)</f>
        <v>1629400</v>
      </c>
      <c r="I132" s="86">
        <f>VLOOKUP($A132,'Data shares'!$C:$FA,92)</f>
        <v>430100</v>
      </c>
      <c r="J132" s="87">
        <f>VLOOKUP($A132,'Data shares'!$C:$FA,93)</f>
        <v>0.35859999999999997</v>
      </c>
      <c r="K132" s="86">
        <f>VLOOKUP($A132,'Data shares'!$C:$FA,94)</f>
        <v>1125850</v>
      </c>
      <c r="L132" s="86">
        <f>VLOOKUP($A132,'Data shares'!$C:$FA,96)</f>
        <v>-154000</v>
      </c>
      <c r="M132" s="87">
        <f>VLOOKUP($A132,'Data shares'!$C:$FA,97)</f>
        <v>-0.1203</v>
      </c>
      <c r="N132" s="86">
        <f>VLOOKUP($A132,'Data shares'!$C:$FA,78)</f>
        <v>2890750</v>
      </c>
      <c r="O132" s="87">
        <f>VLOOKUP($A132,'Data shares'!$C:$FA,81)</f>
        <v>-1.1000000000000001E-3</v>
      </c>
    </row>
    <row r="133" spans="1:15" x14ac:dyDescent="0.25">
      <c r="A133" s="100" t="str">
        <f>'OI(Value)'!A133</f>
        <v>MAXHEALTH</v>
      </c>
      <c r="B133" s="82">
        <f>VLOOKUP(A133,'Data shares'!$C$2:$CV$215,98,0)</f>
        <v>27850725</v>
      </c>
      <c r="C133" s="82">
        <f>VLOOKUP(A133,'Data shares'!$C$2:$CX$215,100,0)</f>
        <v>1357125</v>
      </c>
      <c r="D133" s="141">
        <f>VLOOKUP(A133,'Data shares'!$C$2:$CY$538,101,0)</f>
        <v>5.1200000000000002E-2</v>
      </c>
      <c r="E133" s="86">
        <f>VLOOKUP($A133,'Data shares'!$C:$FA,74)</f>
        <v>22504125</v>
      </c>
      <c r="F133" s="86">
        <f>VLOOKUP($A133,'Data shares'!$C:$FA,76)</f>
        <v>618450</v>
      </c>
      <c r="G133" s="87">
        <f>VLOOKUP(A133,'Data shares'!$C$2:$CA$215,77,0)</f>
        <v>2.8299999999999999E-2</v>
      </c>
      <c r="H133" s="86">
        <f>VLOOKUP($A133,'Data shares'!$C:$FA,90)</f>
        <v>3250275</v>
      </c>
      <c r="I133" s="86">
        <f>VLOOKUP($A133,'Data shares'!$C:$FA,92)</f>
        <v>678300</v>
      </c>
      <c r="J133" s="87">
        <f>VLOOKUP($A133,'Data shares'!$C:$FA,93)</f>
        <v>0.26369999999999999</v>
      </c>
      <c r="K133" s="86">
        <f>VLOOKUP($A133,'Data shares'!$C:$FA,94)</f>
        <v>2096325</v>
      </c>
      <c r="L133" s="86">
        <f>VLOOKUP($A133,'Data shares'!$C:$FA,96)</f>
        <v>60375</v>
      </c>
      <c r="M133" s="87">
        <f>VLOOKUP($A133,'Data shares'!$C:$FA,97)</f>
        <v>2.9700000000000001E-2</v>
      </c>
      <c r="N133" s="86">
        <f>VLOOKUP($A133,'Data shares'!$C:$FA,78)</f>
        <v>22075200</v>
      </c>
      <c r="O133" s="87">
        <f>VLOOKUP($A133,'Data shares'!$C:$FA,81)</f>
        <v>2.6499999999999999E-2</v>
      </c>
    </row>
    <row r="134" spans="1:15" x14ac:dyDescent="0.25">
      <c r="A134" s="100" t="str">
        <f>'OI(Value)'!A134</f>
        <v>MAZDOCK</v>
      </c>
      <c r="B134" s="82">
        <f>VLOOKUP(A134,'Data shares'!$C$2:$CV$215,98,0)</f>
        <v>11435800</v>
      </c>
      <c r="C134" s="82">
        <f>VLOOKUP(A134,'Data shares'!$C$2:$CX$215,100,0)</f>
        <v>-69600</v>
      </c>
      <c r="D134" s="141">
        <f>VLOOKUP(A134,'Data shares'!$C$2:$CY$538,101,0)</f>
        <v>-6.0000000000000001E-3</v>
      </c>
      <c r="E134" s="86">
        <f>VLOOKUP($A134,'Data shares'!$C:$FA,74)</f>
        <v>5200000</v>
      </c>
      <c r="F134" s="86">
        <f>VLOOKUP($A134,'Data shares'!$C:$FA,76)</f>
        <v>-48800</v>
      </c>
      <c r="G134" s="87">
        <f>VLOOKUP(A134,'Data shares'!$C$2:$CA$215,77,0)</f>
        <v>-9.2999999999999992E-3</v>
      </c>
      <c r="H134" s="86">
        <f>VLOOKUP($A134,'Data shares'!$C:$FA,90)</f>
        <v>4094600</v>
      </c>
      <c r="I134" s="86">
        <f>VLOOKUP($A134,'Data shares'!$C:$FA,92)</f>
        <v>-33800</v>
      </c>
      <c r="J134" s="87">
        <f>VLOOKUP($A134,'Data shares'!$C:$FA,93)</f>
        <v>-8.2000000000000007E-3</v>
      </c>
      <c r="K134" s="86">
        <f>VLOOKUP($A134,'Data shares'!$C:$FA,94)</f>
        <v>2141200</v>
      </c>
      <c r="L134" s="86">
        <f>VLOOKUP($A134,'Data shares'!$C:$FA,96)</f>
        <v>13000</v>
      </c>
      <c r="M134" s="87">
        <f>VLOOKUP($A134,'Data shares'!$C:$FA,97)</f>
        <v>6.1000000000000004E-3</v>
      </c>
      <c r="N134" s="86">
        <f>VLOOKUP($A134,'Data shares'!$C:$FA,78)</f>
        <v>4908200</v>
      </c>
      <c r="O134" s="87">
        <f>VLOOKUP($A134,'Data shares'!$C:$FA,81)</f>
        <v>-1.2200000000000001E-2</v>
      </c>
    </row>
    <row r="135" spans="1:15" x14ac:dyDescent="0.25">
      <c r="A135" s="100" t="str">
        <f>'OI(Value)'!A135</f>
        <v>MCX</v>
      </c>
      <c r="B135" s="82">
        <f>VLOOKUP(A135,'Data shares'!$C$2:$CV$215,98,0)</f>
        <v>30596875</v>
      </c>
      <c r="C135" s="82">
        <f>VLOOKUP(A135,'Data shares'!$C$2:$CX$215,100,0)</f>
        <v>942500</v>
      </c>
      <c r="D135" s="141">
        <f>VLOOKUP(A135,'Data shares'!$C$2:$CY$538,101,0)</f>
        <v>3.1800000000000002E-2</v>
      </c>
      <c r="E135" s="86">
        <f>VLOOKUP($A135,'Data shares'!$C:$FA,74)</f>
        <v>13975000</v>
      </c>
      <c r="F135" s="86">
        <f>VLOOKUP($A135,'Data shares'!$C:$FA,76)</f>
        <v>-315000</v>
      </c>
      <c r="G135" s="87">
        <f>VLOOKUP(A135,'Data shares'!$C$2:$CA$215,77,0)</f>
        <v>-2.1999999999999999E-2</v>
      </c>
      <c r="H135" s="86">
        <f>VLOOKUP($A135,'Data shares'!$C:$FA,90)</f>
        <v>9473125</v>
      </c>
      <c r="I135" s="86">
        <f>VLOOKUP($A135,'Data shares'!$C:$FA,92)</f>
        <v>251875</v>
      </c>
      <c r="J135" s="87">
        <f>VLOOKUP($A135,'Data shares'!$C:$FA,93)</f>
        <v>2.7300000000000001E-2</v>
      </c>
      <c r="K135" s="86">
        <f>VLOOKUP($A135,'Data shares'!$C:$FA,94)</f>
        <v>7148750</v>
      </c>
      <c r="L135" s="86">
        <f>VLOOKUP($A135,'Data shares'!$C:$FA,96)</f>
        <v>1005625</v>
      </c>
      <c r="M135" s="87">
        <f>VLOOKUP($A135,'Data shares'!$C:$FA,97)</f>
        <v>0.16370000000000001</v>
      </c>
      <c r="N135" s="86">
        <f>VLOOKUP($A135,'Data shares'!$C:$FA,78)</f>
        <v>13400000</v>
      </c>
      <c r="O135" s="87">
        <f>VLOOKUP($A135,'Data shares'!$C:$FA,81)</f>
        <v>-2.2700000000000001E-2</v>
      </c>
    </row>
    <row r="136" spans="1:15" x14ac:dyDescent="0.25">
      <c r="A136" s="100" t="str">
        <f>'OI(Value)'!A136</f>
        <v>MFSL</v>
      </c>
      <c r="B136" s="82">
        <f>VLOOKUP(A136,'Data shares'!$C$2:$CV$215,98,0)</f>
        <v>11436400</v>
      </c>
      <c r="C136" s="82">
        <f>VLOOKUP(A136,'Data shares'!$C$2:$CX$215,100,0)</f>
        <v>565200</v>
      </c>
      <c r="D136" s="141">
        <f>VLOOKUP(A136,'Data shares'!$C$2:$CY$538,101,0)</f>
        <v>5.1999999999999998E-2</v>
      </c>
      <c r="E136" s="86">
        <f>VLOOKUP($A136,'Data shares'!$C:$FA,74)</f>
        <v>8988400</v>
      </c>
      <c r="F136" s="86">
        <f>VLOOKUP($A136,'Data shares'!$C:$FA,76)</f>
        <v>186400</v>
      </c>
      <c r="G136" s="87">
        <f>VLOOKUP(A136,'Data shares'!$C$2:$CA$215,77,0)</f>
        <v>2.12E-2</v>
      </c>
      <c r="H136" s="86">
        <f>VLOOKUP($A136,'Data shares'!$C:$FA,90)</f>
        <v>1454800</v>
      </c>
      <c r="I136" s="86">
        <f>VLOOKUP($A136,'Data shares'!$C:$FA,92)</f>
        <v>273600</v>
      </c>
      <c r="J136" s="87">
        <f>VLOOKUP($A136,'Data shares'!$C:$FA,93)</f>
        <v>0.2316</v>
      </c>
      <c r="K136" s="86">
        <f>VLOOKUP($A136,'Data shares'!$C:$FA,94)</f>
        <v>993200</v>
      </c>
      <c r="L136" s="86">
        <f>VLOOKUP($A136,'Data shares'!$C:$FA,96)</f>
        <v>105200</v>
      </c>
      <c r="M136" s="87">
        <f>VLOOKUP($A136,'Data shares'!$C:$FA,97)</f>
        <v>0.11849999999999999</v>
      </c>
      <c r="N136" s="86">
        <f>VLOOKUP($A136,'Data shares'!$C:$FA,78)</f>
        <v>8951600</v>
      </c>
      <c r="O136" s="87">
        <f>VLOOKUP($A136,'Data shares'!$C:$FA,81)</f>
        <v>2.0799999999999999E-2</v>
      </c>
    </row>
    <row r="137" spans="1:15" x14ac:dyDescent="0.25">
      <c r="A137" s="100" t="str">
        <f>'OI(Value)'!A137</f>
        <v>MIDCPNIFTY</v>
      </c>
      <c r="B137" s="82">
        <f>VLOOKUP(A137,'Data shares'!$C$2:$CV$215,98,0)</f>
        <v>17095080</v>
      </c>
      <c r="C137" s="82">
        <f>VLOOKUP(A137,'Data shares'!$C$2:$CX$215,100,0)</f>
        <v>2235240</v>
      </c>
      <c r="D137" s="141">
        <f>VLOOKUP(A137,'Data shares'!$C$2:$CY$538,101,0)</f>
        <v>0.15040000000000001</v>
      </c>
      <c r="E137" s="86">
        <f>VLOOKUP($A137,'Data shares'!$C:$FA,74)</f>
        <v>2348520</v>
      </c>
      <c r="F137" s="86">
        <f>VLOOKUP($A137,'Data shares'!$C:$FA,76)</f>
        <v>3480</v>
      </c>
      <c r="G137" s="87">
        <f>VLOOKUP(A137,'Data shares'!$C$2:$CA$215,77,0)</f>
        <v>1.5E-3</v>
      </c>
      <c r="H137" s="86">
        <f>VLOOKUP($A137,'Data shares'!$C:$FA,90)</f>
        <v>6744240</v>
      </c>
      <c r="I137" s="86">
        <f>VLOOKUP($A137,'Data shares'!$C:$FA,92)</f>
        <v>847080</v>
      </c>
      <c r="J137" s="87">
        <f>VLOOKUP($A137,'Data shares'!$C:$FA,93)</f>
        <v>0.14360000000000001</v>
      </c>
      <c r="K137" s="86">
        <f>VLOOKUP($A137,'Data shares'!$C:$FA,94)</f>
        <v>8002320</v>
      </c>
      <c r="L137" s="86">
        <f>VLOOKUP($A137,'Data shares'!$C:$FA,96)</f>
        <v>1384680</v>
      </c>
      <c r="M137" s="87">
        <f>VLOOKUP($A137,'Data shares'!$C:$FA,97)</f>
        <v>0.2092</v>
      </c>
      <c r="N137" s="86">
        <f>VLOOKUP($A137,'Data shares'!$C:$FA,78)</f>
        <v>2275320</v>
      </c>
      <c r="O137" s="87">
        <f>VLOOKUP($A137,'Data shares'!$C:$FA,81)</f>
        <v>6.9999999999999999E-4</v>
      </c>
    </row>
    <row r="138" spans="1:15" x14ac:dyDescent="0.25">
      <c r="A138" s="100" t="str">
        <f>'OI(Value)'!A138</f>
        <v>MOTHERSON</v>
      </c>
      <c r="B138" s="82">
        <f>VLOOKUP(A138,'Data shares'!$C$2:$CV$215,98,0)</f>
        <v>262525050</v>
      </c>
      <c r="C138" s="82">
        <f>VLOOKUP(A138,'Data shares'!$C$2:$CX$215,100,0)</f>
        <v>10473450</v>
      </c>
      <c r="D138" s="141">
        <f>VLOOKUP(A138,'Data shares'!$C$2:$CY$538,101,0)</f>
        <v>4.1599999999999998E-2</v>
      </c>
      <c r="E138" s="86">
        <f>VLOOKUP($A138,'Data shares'!$C:$FA,74)</f>
        <v>171904800</v>
      </c>
      <c r="F138" s="86">
        <f>VLOOKUP($A138,'Data shares'!$C:$FA,76)</f>
        <v>2822850</v>
      </c>
      <c r="G138" s="87">
        <f>VLOOKUP(A138,'Data shares'!$C$2:$CA$215,77,0)</f>
        <v>1.67E-2</v>
      </c>
      <c r="H138" s="86">
        <f>VLOOKUP($A138,'Data shares'!$C:$FA,90)</f>
        <v>55362300</v>
      </c>
      <c r="I138" s="86">
        <f>VLOOKUP($A138,'Data shares'!$C:$FA,92)</f>
        <v>6383700</v>
      </c>
      <c r="J138" s="87">
        <f>VLOOKUP($A138,'Data shares'!$C:$FA,93)</f>
        <v>0.1303</v>
      </c>
      <c r="K138" s="86">
        <f>VLOOKUP($A138,'Data shares'!$C:$FA,94)</f>
        <v>35257950</v>
      </c>
      <c r="L138" s="86">
        <f>VLOOKUP($A138,'Data shares'!$C:$FA,96)</f>
        <v>1266900</v>
      </c>
      <c r="M138" s="87">
        <f>VLOOKUP($A138,'Data shares'!$C:$FA,97)</f>
        <v>3.73E-2</v>
      </c>
      <c r="N138" s="86">
        <f>VLOOKUP($A138,'Data shares'!$C:$FA,78)</f>
        <v>167704350</v>
      </c>
      <c r="O138" s="87">
        <f>VLOOKUP($A138,'Data shares'!$C:$FA,81)</f>
        <v>1.4999999999999999E-2</v>
      </c>
    </row>
    <row r="139" spans="1:15" x14ac:dyDescent="0.25">
      <c r="A139" s="100" t="str">
        <f>'OI(Value)'!A139</f>
        <v>MPHASIS</v>
      </c>
      <c r="B139" s="82">
        <f>VLOOKUP(A139,'Data shares'!$C$2:$CV$215,98,0)</f>
        <v>6735300</v>
      </c>
      <c r="C139" s="82">
        <f>VLOOKUP(A139,'Data shares'!$C$2:$CX$215,100,0)</f>
        <v>-86625</v>
      </c>
      <c r="D139" s="141">
        <f>VLOOKUP(A139,'Data shares'!$C$2:$CY$538,101,0)</f>
        <v>-1.2699999999999999E-2</v>
      </c>
      <c r="E139" s="86">
        <f>VLOOKUP($A139,'Data shares'!$C:$FA,74)</f>
        <v>5125450</v>
      </c>
      <c r="F139" s="86">
        <f>VLOOKUP($A139,'Data shares'!$C:$FA,76)</f>
        <v>-71225</v>
      </c>
      <c r="G139" s="87">
        <f>VLOOKUP(A139,'Data shares'!$C$2:$CA$215,77,0)</f>
        <v>-1.37E-2</v>
      </c>
      <c r="H139" s="86">
        <f>VLOOKUP($A139,'Data shares'!$C:$FA,90)</f>
        <v>945725</v>
      </c>
      <c r="I139" s="86">
        <f>VLOOKUP($A139,'Data shares'!$C:$FA,92)</f>
        <v>-42625</v>
      </c>
      <c r="J139" s="87">
        <f>VLOOKUP($A139,'Data shares'!$C:$FA,93)</f>
        <v>-4.3099999999999999E-2</v>
      </c>
      <c r="K139" s="86">
        <f>VLOOKUP($A139,'Data shares'!$C:$FA,94)</f>
        <v>664125</v>
      </c>
      <c r="L139" s="86">
        <f>VLOOKUP($A139,'Data shares'!$C:$FA,96)</f>
        <v>27225</v>
      </c>
      <c r="M139" s="87">
        <f>VLOOKUP($A139,'Data shares'!$C:$FA,97)</f>
        <v>4.2700000000000002E-2</v>
      </c>
      <c r="N139" s="86">
        <f>VLOOKUP($A139,'Data shares'!$C:$FA,78)</f>
        <v>5062475</v>
      </c>
      <c r="O139" s="87">
        <f>VLOOKUP($A139,'Data shares'!$C:$FA,81)</f>
        <v>-1.6400000000000001E-2</v>
      </c>
    </row>
    <row r="140" spans="1:15" x14ac:dyDescent="0.25">
      <c r="A140" s="100" t="str">
        <f>'OI(Value)'!A140</f>
        <v>MUTHOOTFIN</v>
      </c>
      <c r="B140" s="82">
        <f>VLOOKUP(A140,'Data shares'!$C$2:$CV$215,98,0)</f>
        <v>7275125</v>
      </c>
      <c r="C140" s="82">
        <f>VLOOKUP(A140,'Data shares'!$C$2:$CX$215,100,0)</f>
        <v>171600</v>
      </c>
      <c r="D140" s="141">
        <f>VLOOKUP(A140,'Data shares'!$C$2:$CY$538,101,0)</f>
        <v>2.4199999999999999E-2</v>
      </c>
      <c r="E140" s="86">
        <f>VLOOKUP($A140,'Data shares'!$C:$FA,74)</f>
        <v>3696825</v>
      </c>
      <c r="F140" s="86">
        <f>VLOOKUP($A140,'Data shares'!$C:$FA,76)</f>
        <v>-44275</v>
      </c>
      <c r="G140" s="87">
        <f>VLOOKUP(A140,'Data shares'!$C$2:$CA$215,77,0)</f>
        <v>-1.18E-2</v>
      </c>
      <c r="H140" s="86">
        <f>VLOOKUP($A140,'Data shares'!$C:$FA,90)</f>
        <v>2052050</v>
      </c>
      <c r="I140" s="86">
        <f>VLOOKUP($A140,'Data shares'!$C:$FA,92)</f>
        <v>89650</v>
      </c>
      <c r="J140" s="87">
        <f>VLOOKUP($A140,'Data shares'!$C:$FA,93)</f>
        <v>4.5699999999999998E-2</v>
      </c>
      <c r="K140" s="86">
        <f>VLOOKUP($A140,'Data shares'!$C:$FA,94)</f>
        <v>1526250</v>
      </c>
      <c r="L140" s="86">
        <f>VLOOKUP($A140,'Data shares'!$C:$FA,96)</f>
        <v>126225</v>
      </c>
      <c r="M140" s="87">
        <f>VLOOKUP($A140,'Data shares'!$C:$FA,97)</f>
        <v>9.0200000000000002E-2</v>
      </c>
      <c r="N140" s="86">
        <f>VLOOKUP($A140,'Data shares'!$C:$FA,78)</f>
        <v>3581325</v>
      </c>
      <c r="O140" s="87">
        <f>VLOOKUP($A140,'Data shares'!$C:$FA,81)</f>
        <v>-1.32E-2</v>
      </c>
    </row>
    <row r="141" spans="1:15" x14ac:dyDescent="0.25">
      <c r="A141" s="100" t="str">
        <f>'OI(Value)'!A141</f>
        <v>NATIONALUM</v>
      </c>
      <c r="B141" s="82">
        <f>VLOOKUP(A141,'Data shares'!$C$2:$CV$215,98,0)</f>
        <v>141828750</v>
      </c>
      <c r="C141" s="82">
        <f>VLOOKUP(A141,'Data shares'!$C$2:$CX$215,100,0)</f>
        <v>-3952500</v>
      </c>
      <c r="D141" s="141">
        <f>VLOOKUP(A141,'Data shares'!$C$2:$CY$538,101,0)</f>
        <v>-2.7099999999999999E-2</v>
      </c>
      <c r="E141" s="86">
        <f>VLOOKUP($A141,'Data shares'!$C:$FA,74)</f>
        <v>51701250</v>
      </c>
      <c r="F141" s="86">
        <f>VLOOKUP($A141,'Data shares'!$C:$FA,76)</f>
        <v>-1500000</v>
      </c>
      <c r="G141" s="87">
        <f>VLOOKUP(A141,'Data shares'!$C$2:$CA$215,77,0)</f>
        <v>-2.8199999999999999E-2</v>
      </c>
      <c r="H141" s="86">
        <f>VLOOKUP($A141,'Data shares'!$C:$FA,90)</f>
        <v>46905000</v>
      </c>
      <c r="I141" s="86">
        <f>VLOOKUP($A141,'Data shares'!$C:$FA,92)</f>
        <v>-5223750</v>
      </c>
      <c r="J141" s="87">
        <f>VLOOKUP($A141,'Data shares'!$C:$FA,93)</f>
        <v>-0.1002</v>
      </c>
      <c r="K141" s="86">
        <f>VLOOKUP($A141,'Data shares'!$C:$FA,94)</f>
        <v>43222500</v>
      </c>
      <c r="L141" s="86">
        <f>VLOOKUP($A141,'Data shares'!$C:$FA,96)</f>
        <v>2771250</v>
      </c>
      <c r="M141" s="87">
        <f>VLOOKUP($A141,'Data shares'!$C:$FA,97)</f>
        <v>6.8500000000000005E-2</v>
      </c>
      <c r="N141" s="86">
        <f>VLOOKUP($A141,'Data shares'!$C:$FA,78)</f>
        <v>47883750</v>
      </c>
      <c r="O141" s="87">
        <f>VLOOKUP($A141,'Data shares'!$C:$FA,81)</f>
        <v>-3.5999999999999997E-2</v>
      </c>
    </row>
    <row r="142" spans="1:15" x14ac:dyDescent="0.25">
      <c r="A142" s="100" t="str">
        <f>'OI(Value)'!A142</f>
        <v>NAUKRI</v>
      </c>
      <c r="B142" s="82">
        <f>VLOOKUP(A142,'Data shares'!$C$2:$CV$215,98,0)</f>
        <v>13452375</v>
      </c>
      <c r="C142" s="82">
        <f>VLOOKUP(A142,'Data shares'!$C$2:$CX$215,100,0)</f>
        <v>1688625</v>
      </c>
      <c r="D142" s="141">
        <f>VLOOKUP(A142,'Data shares'!$C$2:$CY$538,101,0)</f>
        <v>0.14349999999999999</v>
      </c>
      <c r="E142" s="86">
        <f>VLOOKUP($A142,'Data shares'!$C:$FA,74)</f>
        <v>8050875</v>
      </c>
      <c r="F142" s="86">
        <f>VLOOKUP($A142,'Data shares'!$C:$FA,76)</f>
        <v>76875</v>
      </c>
      <c r="G142" s="87">
        <f>VLOOKUP(A142,'Data shares'!$C$2:$CA$215,77,0)</f>
        <v>9.5999999999999992E-3</v>
      </c>
      <c r="H142" s="86">
        <f>VLOOKUP($A142,'Data shares'!$C:$FA,90)</f>
        <v>3474000</v>
      </c>
      <c r="I142" s="86">
        <f>VLOOKUP($A142,'Data shares'!$C:$FA,92)</f>
        <v>1315875</v>
      </c>
      <c r="J142" s="87">
        <f>VLOOKUP($A142,'Data shares'!$C:$FA,93)</f>
        <v>0.60970000000000002</v>
      </c>
      <c r="K142" s="86">
        <f>VLOOKUP($A142,'Data shares'!$C:$FA,94)</f>
        <v>1927500</v>
      </c>
      <c r="L142" s="86">
        <f>VLOOKUP($A142,'Data shares'!$C:$FA,96)</f>
        <v>295875</v>
      </c>
      <c r="M142" s="87">
        <f>VLOOKUP($A142,'Data shares'!$C:$FA,97)</f>
        <v>0.18129999999999999</v>
      </c>
      <c r="N142" s="86">
        <f>VLOOKUP($A142,'Data shares'!$C:$FA,78)</f>
        <v>7963500</v>
      </c>
      <c r="O142" s="87">
        <f>VLOOKUP($A142,'Data shares'!$C:$FA,81)</f>
        <v>8.6E-3</v>
      </c>
    </row>
    <row r="143" spans="1:15" x14ac:dyDescent="0.25">
      <c r="A143" s="100" t="str">
        <f>'OI(Value)'!A143</f>
        <v>NBCC</v>
      </c>
      <c r="B143" s="82">
        <f>VLOOKUP(A143,'Data shares'!$C$2:$CV$215,98,0)</f>
        <v>165113000</v>
      </c>
      <c r="C143" s="82">
        <f>VLOOKUP(A143,'Data shares'!$C$2:$CX$215,100,0)</f>
        <v>6623500</v>
      </c>
      <c r="D143" s="141">
        <f>VLOOKUP(A143,'Data shares'!$C$2:$CY$538,101,0)</f>
        <v>4.1799999999999997E-2</v>
      </c>
      <c r="E143" s="86">
        <f>VLOOKUP($A143,'Data shares'!$C:$FA,74)</f>
        <v>89752000</v>
      </c>
      <c r="F143" s="86">
        <f>VLOOKUP($A143,'Data shares'!$C:$FA,76)</f>
        <v>-3614000</v>
      </c>
      <c r="G143" s="87">
        <f>VLOOKUP(A143,'Data shares'!$C$2:$CA$215,77,0)</f>
        <v>-3.8699999999999998E-2</v>
      </c>
      <c r="H143" s="86">
        <f>VLOOKUP($A143,'Data shares'!$C:$FA,90)</f>
        <v>50895000</v>
      </c>
      <c r="I143" s="86">
        <f>VLOOKUP($A143,'Data shares'!$C:$FA,92)</f>
        <v>7813000</v>
      </c>
      <c r="J143" s="87">
        <f>VLOOKUP($A143,'Data shares'!$C:$FA,93)</f>
        <v>0.18140000000000001</v>
      </c>
      <c r="K143" s="86">
        <f>VLOOKUP($A143,'Data shares'!$C:$FA,94)</f>
        <v>24466000</v>
      </c>
      <c r="L143" s="86">
        <f>VLOOKUP($A143,'Data shares'!$C:$FA,96)</f>
        <v>2424500</v>
      </c>
      <c r="M143" s="87">
        <f>VLOOKUP($A143,'Data shares'!$C:$FA,97)</f>
        <v>0.11</v>
      </c>
      <c r="N143" s="86">
        <f>VLOOKUP($A143,'Data shares'!$C:$FA,78)</f>
        <v>83798000</v>
      </c>
      <c r="O143" s="87">
        <f>VLOOKUP($A143,'Data shares'!$C:$FA,81)</f>
        <v>-7.6899999999999996E-2</v>
      </c>
    </row>
    <row r="144" spans="1:15" x14ac:dyDescent="0.25">
      <c r="A144" s="100" t="str">
        <f>'OI(Value)'!A144</f>
        <v>NESTLEIND</v>
      </c>
      <c r="B144" s="82">
        <f>VLOOKUP(A144,'Data shares'!$C$2:$CV$215,98,0)</f>
        <v>23736000</v>
      </c>
      <c r="C144" s="82">
        <f>VLOOKUP(A144,'Data shares'!$C$2:$CX$215,100,0)</f>
        <v>323500</v>
      </c>
      <c r="D144" s="141">
        <f>VLOOKUP(A144,'Data shares'!$C$2:$CY$538,101,0)</f>
        <v>1.38E-2</v>
      </c>
      <c r="E144" s="86">
        <f>VLOOKUP($A144,'Data shares'!$C:$FA,74)</f>
        <v>18294000</v>
      </c>
      <c r="F144" s="86">
        <f>VLOOKUP($A144,'Data shares'!$C:$FA,76)</f>
        <v>323000</v>
      </c>
      <c r="G144" s="87">
        <f>VLOOKUP(A144,'Data shares'!$C$2:$CA$215,77,0)</f>
        <v>1.7999999999999999E-2</v>
      </c>
      <c r="H144" s="86">
        <f>VLOOKUP($A144,'Data shares'!$C:$FA,90)</f>
        <v>3210500</v>
      </c>
      <c r="I144" s="86">
        <f>VLOOKUP($A144,'Data shares'!$C:$FA,92)</f>
        <v>-17000</v>
      </c>
      <c r="J144" s="87">
        <f>VLOOKUP($A144,'Data shares'!$C:$FA,93)</f>
        <v>-5.3E-3</v>
      </c>
      <c r="K144" s="86">
        <f>VLOOKUP($A144,'Data shares'!$C:$FA,94)</f>
        <v>2231500</v>
      </c>
      <c r="L144" s="86">
        <f>VLOOKUP($A144,'Data shares'!$C:$FA,96)</f>
        <v>17500</v>
      </c>
      <c r="M144" s="87">
        <f>VLOOKUP($A144,'Data shares'!$C:$FA,97)</f>
        <v>7.9000000000000008E-3</v>
      </c>
      <c r="N144" s="86">
        <f>VLOOKUP($A144,'Data shares'!$C:$FA,78)</f>
        <v>18006000</v>
      </c>
      <c r="O144" s="87">
        <f>VLOOKUP($A144,'Data shares'!$C:$FA,81)</f>
        <v>1.7899999999999999E-2</v>
      </c>
    </row>
    <row r="145" spans="1:15" x14ac:dyDescent="0.25">
      <c r="A145" s="100" t="str">
        <f>'OI(Value)'!A145</f>
        <v>NHPC</v>
      </c>
      <c r="B145" s="82">
        <f>VLOOKUP(A145,'Data shares'!$C$2:$CV$215,98,0)</f>
        <v>118457600</v>
      </c>
      <c r="C145" s="82">
        <f>VLOOKUP(A145,'Data shares'!$C$2:$CX$215,100,0)</f>
        <v>-2310400</v>
      </c>
      <c r="D145" s="141">
        <f>VLOOKUP(A145,'Data shares'!$C$2:$CY$538,101,0)</f>
        <v>-1.9099999999999999E-2</v>
      </c>
      <c r="E145" s="86">
        <f>VLOOKUP($A145,'Data shares'!$C:$FA,74)</f>
        <v>65292800</v>
      </c>
      <c r="F145" s="86">
        <f>VLOOKUP($A145,'Data shares'!$C:$FA,76)</f>
        <v>-3699200</v>
      </c>
      <c r="G145" s="87">
        <f>VLOOKUP(A145,'Data shares'!$C$2:$CA$215,77,0)</f>
        <v>-5.3600000000000002E-2</v>
      </c>
      <c r="H145" s="86">
        <f>VLOOKUP($A145,'Data shares'!$C:$FA,90)</f>
        <v>34720000</v>
      </c>
      <c r="I145" s="86">
        <f>VLOOKUP($A145,'Data shares'!$C:$FA,92)</f>
        <v>1318400</v>
      </c>
      <c r="J145" s="87">
        <f>VLOOKUP($A145,'Data shares'!$C:$FA,93)</f>
        <v>3.95E-2</v>
      </c>
      <c r="K145" s="86">
        <f>VLOOKUP($A145,'Data shares'!$C:$FA,94)</f>
        <v>18444800</v>
      </c>
      <c r="L145" s="86">
        <f>VLOOKUP($A145,'Data shares'!$C:$FA,96)</f>
        <v>70400</v>
      </c>
      <c r="M145" s="87">
        <f>VLOOKUP($A145,'Data shares'!$C:$FA,97)</f>
        <v>3.8E-3</v>
      </c>
      <c r="N145" s="86">
        <f>VLOOKUP($A145,'Data shares'!$C:$FA,78)</f>
        <v>60268800</v>
      </c>
      <c r="O145" s="87">
        <f>VLOOKUP($A145,'Data shares'!$C:$FA,81)</f>
        <v>-5.9499999999999997E-2</v>
      </c>
    </row>
    <row r="146" spans="1:15" x14ac:dyDescent="0.25">
      <c r="A146" s="100" t="str">
        <f>'OI(Value)'!A146</f>
        <v>NIFTY</v>
      </c>
      <c r="B146" s="82">
        <f>VLOOKUP(A146,'Data shares'!$C$2:$CV$215,98,0)</f>
        <v>416738020</v>
      </c>
      <c r="C146" s="82">
        <f>VLOOKUP(A146,'Data shares'!$C$2:$CX$215,100,0)</f>
        <v>-218276985</v>
      </c>
      <c r="D146" s="141">
        <f>VLOOKUP(A146,'Data shares'!$C$2:$CY$538,101,0)</f>
        <v>-0.34370000000000001</v>
      </c>
      <c r="E146" s="86">
        <f>VLOOKUP($A146,'Data shares'!$C:$FA,74)</f>
        <v>15707445</v>
      </c>
      <c r="F146" s="86">
        <f>VLOOKUP($A146,'Data shares'!$C:$FA,76)</f>
        <v>77025</v>
      </c>
      <c r="G146" s="87">
        <f>VLOOKUP(A146,'Data shares'!$C$2:$CA$215,77,0)</f>
        <v>4.8999999999999998E-3</v>
      </c>
      <c r="H146" s="86">
        <f>VLOOKUP($A146,'Data shares'!$C:$FA,90)</f>
        <v>212515535</v>
      </c>
      <c r="I146" s="86">
        <f>VLOOKUP($A146,'Data shares'!$C:$FA,92)</f>
        <v>50059695</v>
      </c>
      <c r="J146" s="87">
        <f>VLOOKUP($A146,'Data shares'!$C:$FA,93)</f>
        <v>0.30809999999999998</v>
      </c>
      <c r="K146" s="86">
        <f>VLOOKUP($A146,'Data shares'!$C:$FA,94)</f>
        <v>188515040</v>
      </c>
      <c r="L146" s="86">
        <f>VLOOKUP($A146,'Data shares'!$C:$FA,96)</f>
        <v>38382460</v>
      </c>
      <c r="M146" s="87">
        <f>VLOOKUP($A146,'Data shares'!$C:$FA,97)</f>
        <v>0.25569999999999998</v>
      </c>
      <c r="N146" s="86">
        <f>VLOOKUP($A146,'Data shares'!$C:$FA,78)</f>
        <v>14074125</v>
      </c>
      <c r="O146" s="87">
        <f>VLOOKUP($A146,'Data shares'!$C:$FA,81)</f>
        <v>6.9999999999999999E-4</v>
      </c>
    </row>
    <row r="147" spans="1:15" x14ac:dyDescent="0.25">
      <c r="A147" s="100" t="str">
        <f>'OI(Value)'!A147</f>
        <v>NIFTYNXT50</v>
      </c>
      <c r="B147" s="82">
        <f>VLOOKUP(A147,'Data shares'!$C$2:$CV$215,98,0)</f>
        <v>30425</v>
      </c>
      <c r="C147" s="82">
        <f>VLOOKUP(A147,'Data shares'!$C$2:$CX$215,100,0)</f>
        <v>1825</v>
      </c>
      <c r="D147" s="141">
        <f>VLOOKUP(A147,'Data shares'!$C$2:$CY$538,101,0)</f>
        <v>6.3799999999999996E-2</v>
      </c>
      <c r="E147" s="86">
        <f>VLOOKUP($A147,'Data shares'!$C:$FA,74)</f>
        <v>21625</v>
      </c>
      <c r="F147" s="86">
        <f>VLOOKUP($A147,'Data shares'!$C:$FA,76)</f>
        <v>25</v>
      </c>
      <c r="G147" s="87">
        <f>VLOOKUP(A147,'Data shares'!$C$2:$CA$215,77,0)</f>
        <v>1.1999999999999999E-3</v>
      </c>
      <c r="H147" s="86">
        <f>VLOOKUP($A147,'Data shares'!$C:$FA,90)</f>
        <v>4200</v>
      </c>
      <c r="I147" s="86">
        <f>VLOOKUP($A147,'Data shares'!$C:$FA,92)</f>
        <v>500</v>
      </c>
      <c r="J147" s="87">
        <f>VLOOKUP($A147,'Data shares'!$C:$FA,93)</f>
        <v>0.1351</v>
      </c>
      <c r="K147" s="86">
        <f>VLOOKUP($A147,'Data shares'!$C:$FA,94)</f>
        <v>4600</v>
      </c>
      <c r="L147" s="86">
        <f>VLOOKUP($A147,'Data shares'!$C:$FA,96)</f>
        <v>1300</v>
      </c>
      <c r="M147" s="87">
        <f>VLOOKUP($A147,'Data shares'!$C:$FA,97)</f>
        <v>0.39389999999999997</v>
      </c>
      <c r="N147" s="86">
        <f>VLOOKUP($A147,'Data shares'!$C:$FA,78)</f>
        <v>19825</v>
      </c>
      <c r="O147" s="87">
        <f>VLOOKUP($A147,'Data shares'!$C:$FA,81)</f>
        <v>-2.58E-2</v>
      </c>
    </row>
    <row r="148" spans="1:15" x14ac:dyDescent="0.25">
      <c r="A148" s="100" t="str">
        <f>'OI(Value)'!A148</f>
        <v>NMDC</v>
      </c>
      <c r="B148" s="82">
        <f>VLOOKUP(A148,'Data shares'!$C$2:$CV$215,98,0)</f>
        <v>527296500</v>
      </c>
      <c r="C148" s="82">
        <f>VLOOKUP(A148,'Data shares'!$C$2:$CX$215,100,0)</f>
        <v>3624750</v>
      </c>
      <c r="D148" s="141">
        <f>VLOOKUP(A148,'Data shares'!$C$2:$CY$538,101,0)</f>
        <v>6.8999999999999999E-3</v>
      </c>
      <c r="E148" s="86">
        <f>VLOOKUP($A148,'Data shares'!$C:$FA,74)</f>
        <v>337594500</v>
      </c>
      <c r="F148" s="86">
        <f>VLOOKUP($A148,'Data shares'!$C:$FA,76)</f>
        <v>-465750</v>
      </c>
      <c r="G148" s="87">
        <f>VLOOKUP(A148,'Data shares'!$C$2:$CA$215,77,0)</f>
        <v>-1.4E-3</v>
      </c>
      <c r="H148" s="86">
        <f>VLOOKUP($A148,'Data shares'!$C:$FA,90)</f>
        <v>127534500</v>
      </c>
      <c r="I148" s="86">
        <f>VLOOKUP($A148,'Data shares'!$C:$FA,92)</f>
        <v>-189000</v>
      </c>
      <c r="J148" s="87">
        <f>VLOOKUP($A148,'Data shares'!$C:$FA,93)</f>
        <v>-1.5E-3</v>
      </c>
      <c r="K148" s="86">
        <f>VLOOKUP($A148,'Data shares'!$C:$FA,94)</f>
        <v>62167500</v>
      </c>
      <c r="L148" s="86">
        <f>VLOOKUP($A148,'Data shares'!$C:$FA,96)</f>
        <v>4279500</v>
      </c>
      <c r="M148" s="87">
        <f>VLOOKUP($A148,'Data shares'!$C:$FA,97)</f>
        <v>7.3899999999999993E-2</v>
      </c>
      <c r="N148" s="86">
        <f>VLOOKUP($A148,'Data shares'!$C:$FA,78)</f>
        <v>324999000</v>
      </c>
      <c r="O148" s="87">
        <f>VLOOKUP($A148,'Data shares'!$C:$FA,81)</f>
        <v>-4.7000000000000002E-3</v>
      </c>
    </row>
    <row r="149" spans="1:15" x14ac:dyDescent="0.25">
      <c r="A149" s="100" t="str">
        <f>'OI(Value)'!A149</f>
        <v>NTPC</v>
      </c>
      <c r="B149" s="82">
        <f>VLOOKUP(A149,'Data shares'!$C$2:$CV$215,98,0)</f>
        <v>151666500</v>
      </c>
      <c r="C149" s="82">
        <f>VLOOKUP(A149,'Data shares'!$C$2:$CX$215,100,0)</f>
        <v>493500</v>
      </c>
      <c r="D149" s="141">
        <f>VLOOKUP(A149,'Data shares'!$C$2:$CY$538,101,0)</f>
        <v>3.3E-3</v>
      </c>
      <c r="E149" s="86">
        <f>VLOOKUP($A149,'Data shares'!$C:$FA,74)</f>
        <v>83032500</v>
      </c>
      <c r="F149" s="86">
        <f>VLOOKUP($A149,'Data shares'!$C:$FA,76)</f>
        <v>214500</v>
      </c>
      <c r="G149" s="87">
        <f>VLOOKUP(A149,'Data shares'!$C$2:$CA$215,77,0)</f>
        <v>2.5999999999999999E-3</v>
      </c>
      <c r="H149" s="86">
        <f>VLOOKUP($A149,'Data shares'!$C:$FA,90)</f>
        <v>42417000</v>
      </c>
      <c r="I149" s="86">
        <f>VLOOKUP($A149,'Data shares'!$C:$FA,92)</f>
        <v>751500</v>
      </c>
      <c r="J149" s="87">
        <f>VLOOKUP($A149,'Data shares'!$C:$FA,93)</f>
        <v>1.7999999999999999E-2</v>
      </c>
      <c r="K149" s="86">
        <f>VLOOKUP($A149,'Data shares'!$C:$FA,94)</f>
        <v>26217000</v>
      </c>
      <c r="L149" s="86">
        <f>VLOOKUP($A149,'Data shares'!$C:$FA,96)</f>
        <v>-472500</v>
      </c>
      <c r="M149" s="87">
        <f>VLOOKUP($A149,'Data shares'!$C:$FA,97)</f>
        <v>-1.77E-2</v>
      </c>
      <c r="N149" s="86">
        <f>VLOOKUP($A149,'Data shares'!$C:$FA,78)</f>
        <v>75700500</v>
      </c>
      <c r="O149" s="87">
        <f>VLOOKUP($A149,'Data shares'!$C:$FA,81)</f>
        <v>1.1000000000000001E-3</v>
      </c>
    </row>
    <row r="150" spans="1:15" x14ac:dyDescent="0.25">
      <c r="A150" s="100" t="str">
        <f>'OI(Value)'!A150</f>
        <v>NUVAMA</v>
      </c>
      <c r="B150" s="82">
        <f>VLOOKUP(A150,'Data shares'!$C$2:$CV$215,98,0)</f>
        <v>4312500</v>
      </c>
      <c r="C150" s="82">
        <f>VLOOKUP(A150,'Data shares'!$C$2:$CX$215,100,0)</f>
        <v>-27000</v>
      </c>
      <c r="D150" s="141">
        <f>VLOOKUP(A150,'Data shares'!$C$2:$CY$538,101,0)</f>
        <v>-6.1999999999999998E-3</v>
      </c>
      <c r="E150" s="86">
        <f>VLOOKUP($A150,'Data shares'!$C:$FA,74)</f>
        <v>2285000</v>
      </c>
      <c r="F150" s="86">
        <f>VLOOKUP($A150,'Data shares'!$C:$FA,76)</f>
        <v>-33500</v>
      </c>
      <c r="G150" s="87">
        <f>VLOOKUP(A150,'Data shares'!$C$2:$CA$215,77,0)</f>
        <v>-1.44E-2</v>
      </c>
      <c r="H150" s="86">
        <f>VLOOKUP($A150,'Data shares'!$C:$FA,90)</f>
        <v>1343500</v>
      </c>
      <c r="I150" s="86">
        <f>VLOOKUP($A150,'Data shares'!$C:$FA,92)</f>
        <v>18000</v>
      </c>
      <c r="J150" s="87">
        <f>VLOOKUP($A150,'Data shares'!$C:$FA,93)</f>
        <v>1.3599999999999999E-2</v>
      </c>
      <c r="K150" s="86">
        <f>VLOOKUP($A150,'Data shares'!$C:$FA,94)</f>
        <v>684000</v>
      </c>
      <c r="L150" s="86">
        <f>VLOOKUP($A150,'Data shares'!$C:$FA,96)</f>
        <v>-11500</v>
      </c>
      <c r="M150" s="87">
        <f>VLOOKUP($A150,'Data shares'!$C:$FA,97)</f>
        <v>-1.6500000000000001E-2</v>
      </c>
      <c r="N150" s="86">
        <f>VLOOKUP($A150,'Data shares'!$C:$FA,78)</f>
        <v>2248500</v>
      </c>
      <c r="O150" s="87">
        <f>VLOOKUP($A150,'Data shares'!$C:$FA,81)</f>
        <v>-1.3599999999999999E-2</v>
      </c>
    </row>
    <row r="151" spans="1:15" x14ac:dyDescent="0.25">
      <c r="A151" s="100" t="str">
        <f>'OI(Value)'!A151</f>
        <v>NYKAA</v>
      </c>
      <c r="B151" s="82">
        <f>VLOOKUP(A151,'Data shares'!$C$2:$CV$215,98,0)</f>
        <v>63993750</v>
      </c>
      <c r="C151" s="82">
        <f>VLOOKUP(A151,'Data shares'!$C$2:$CX$215,100,0)</f>
        <v>1478125</v>
      </c>
      <c r="D151" s="141">
        <f>VLOOKUP(A151,'Data shares'!$C$2:$CY$538,101,0)</f>
        <v>2.3599999999999999E-2</v>
      </c>
      <c r="E151" s="86">
        <f>VLOOKUP($A151,'Data shares'!$C:$FA,74)</f>
        <v>44618750</v>
      </c>
      <c r="F151" s="86">
        <f>VLOOKUP($A151,'Data shares'!$C:$FA,76)</f>
        <v>-3125</v>
      </c>
      <c r="G151" s="87">
        <f>VLOOKUP(A151,'Data shares'!$C$2:$CA$215,77,0)</f>
        <v>-1E-4</v>
      </c>
      <c r="H151" s="86">
        <f>VLOOKUP($A151,'Data shares'!$C:$FA,90)</f>
        <v>10512500</v>
      </c>
      <c r="I151" s="86">
        <f>VLOOKUP($A151,'Data shares'!$C:$FA,92)</f>
        <v>1075000</v>
      </c>
      <c r="J151" s="87">
        <f>VLOOKUP($A151,'Data shares'!$C:$FA,93)</f>
        <v>0.1139</v>
      </c>
      <c r="K151" s="86">
        <f>VLOOKUP($A151,'Data shares'!$C:$FA,94)</f>
        <v>8862500</v>
      </c>
      <c r="L151" s="86">
        <f>VLOOKUP($A151,'Data shares'!$C:$FA,96)</f>
        <v>406250</v>
      </c>
      <c r="M151" s="87">
        <f>VLOOKUP($A151,'Data shares'!$C:$FA,97)</f>
        <v>4.8000000000000001E-2</v>
      </c>
      <c r="N151" s="86">
        <f>VLOOKUP($A151,'Data shares'!$C:$FA,78)</f>
        <v>43415625</v>
      </c>
      <c r="O151" s="87">
        <f>VLOOKUP($A151,'Data shares'!$C:$FA,81)</f>
        <v>-1.2999999999999999E-3</v>
      </c>
    </row>
    <row r="152" spans="1:15" x14ac:dyDescent="0.25">
      <c r="A152" s="100" t="str">
        <f>'OI(Value)'!A152</f>
        <v>OBEROIRLTY</v>
      </c>
      <c r="B152" s="82">
        <f>VLOOKUP(A152,'Data shares'!$C$2:$CV$215,98,0)</f>
        <v>5974850</v>
      </c>
      <c r="C152" s="82">
        <f>VLOOKUP(A152,'Data shares'!$C$2:$CX$215,100,0)</f>
        <v>51450</v>
      </c>
      <c r="D152" s="141">
        <f>VLOOKUP(A152,'Data shares'!$C$2:$CY$538,101,0)</f>
        <v>8.6999999999999994E-3</v>
      </c>
      <c r="E152" s="86">
        <f>VLOOKUP($A152,'Data shares'!$C:$FA,74)</f>
        <v>4169200</v>
      </c>
      <c r="F152" s="86">
        <f>VLOOKUP($A152,'Data shares'!$C:$FA,76)</f>
        <v>-56700</v>
      </c>
      <c r="G152" s="87">
        <f>VLOOKUP(A152,'Data shares'!$C$2:$CA$215,77,0)</f>
        <v>-1.34E-2</v>
      </c>
      <c r="H152" s="86">
        <f>VLOOKUP($A152,'Data shares'!$C:$FA,90)</f>
        <v>1016050</v>
      </c>
      <c r="I152" s="86">
        <f>VLOOKUP($A152,'Data shares'!$C:$FA,92)</f>
        <v>71400</v>
      </c>
      <c r="J152" s="87">
        <f>VLOOKUP($A152,'Data shares'!$C:$FA,93)</f>
        <v>7.5600000000000001E-2</v>
      </c>
      <c r="K152" s="86">
        <f>VLOOKUP($A152,'Data shares'!$C:$FA,94)</f>
        <v>789600</v>
      </c>
      <c r="L152" s="86">
        <f>VLOOKUP($A152,'Data shares'!$C:$FA,96)</f>
        <v>36750</v>
      </c>
      <c r="M152" s="87">
        <f>VLOOKUP($A152,'Data shares'!$C:$FA,97)</f>
        <v>4.8800000000000003E-2</v>
      </c>
      <c r="N152" s="86">
        <f>VLOOKUP($A152,'Data shares'!$C:$FA,78)</f>
        <v>4078900</v>
      </c>
      <c r="O152" s="87">
        <f>VLOOKUP($A152,'Data shares'!$C:$FA,81)</f>
        <v>-1.5900000000000001E-2</v>
      </c>
    </row>
    <row r="153" spans="1:15" x14ac:dyDescent="0.25">
      <c r="A153" s="100" t="str">
        <f>'OI(Value)'!A153</f>
        <v>OFSS</v>
      </c>
      <c r="B153" s="82">
        <f>VLOOKUP(A153,'Data shares'!$C$2:$CV$215,98,0)</f>
        <v>2218650</v>
      </c>
      <c r="C153" s="82">
        <f>VLOOKUP(A153,'Data shares'!$C$2:$CX$215,100,0)</f>
        <v>124800</v>
      </c>
      <c r="D153" s="141">
        <f>VLOOKUP(A153,'Data shares'!$C$2:$CY$538,101,0)</f>
        <v>5.96E-2</v>
      </c>
      <c r="E153" s="86">
        <f>VLOOKUP($A153,'Data shares'!$C:$FA,74)</f>
        <v>1357500</v>
      </c>
      <c r="F153" s="86">
        <f>VLOOKUP($A153,'Data shares'!$C:$FA,76)</f>
        <v>-25125</v>
      </c>
      <c r="G153" s="87">
        <f>VLOOKUP(A153,'Data shares'!$C$2:$CA$215,77,0)</f>
        <v>-1.8200000000000001E-2</v>
      </c>
      <c r="H153" s="86">
        <f>VLOOKUP($A153,'Data shares'!$C:$FA,90)</f>
        <v>498675</v>
      </c>
      <c r="I153" s="86">
        <f>VLOOKUP($A153,'Data shares'!$C:$FA,92)</f>
        <v>93900</v>
      </c>
      <c r="J153" s="87">
        <f>VLOOKUP($A153,'Data shares'!$C:$FA,93)</f>
        <v>0.23200000000000001</v>
      </c>
      <c r="K153" s="86">
        <f>VLOOKUP($A153,'Data shares'!$C:$FA,94)</f>
        <v>362475</v>
      </c>
      <c r="L153" s="86">
        <f>VLOOKUP($A153,'Data shares'!$C:$FA,96)</f>
        <v>56025</v>
      </c>
      <c r="M153" s="87">
        <f>VLOOKUP($A153,'Data shares'!$C:$FA,97)</f>
        <v>0.18279999999999999</v>
      </c>
      <c r="N153" s="86">
        <f>VLOOKUP($A153,'Data shares'!$C:$FA,78)</f>
        <v>1315350</v>
      </c>
      <c r="O153" s="87">
        <f>VLOOKUP($A153,'Data shares'!$C:$FA,81)</f>
        <v>-2.0199999999999999E-2</v>
      </c>
    </row>
    <row r="154" spans="1:15" x14ac:dyDescent="0.25">
      <c r="A154" s="100" t="str">
        <f>'OI(Value)'!A154</f>
        <v>OIL</v>
      </c>
      <c r="B154" s="82">
        <f>VLOOKUP(A154,'Data shares'!$C$2:$CV$215,98,0)</f>
        <v>21687400</v>
      </c>
      <c r="C154" s="82">
        <f>VLOOKUP(A154,'Data shares'!$C$2:$CX$215,100,0)</f>
        <v>1157800</v>
      </c>
      <c r="D154" s="141">
        <f>VLOOKUP(A154,'Data shares'!$C$2:$CY$538,101,0)</f>
        <v>5.6399999999999999E-2</v>
      </c>
      <c r="E154" s="86">
        <f>VLOOKUP($A154,'Data shares'!$C:$FA,74)</f>
        <v>12300400</v>
      </c>
      <c r="F154" s="86">
        <f>VLOOKUP($A154,'Data shares'!$C:$FA,76)</f>
        <v>-91000</v>
      </c>
      <c r="G154" s="87">
        <f>VLOOKUP(A154,'Data shares'!$C$2:$CA$215,77,0)</f>
        <v>-7.3000000000000001E-3</v>
      </c>
      <c r="H154" s="86">
        <f>VLOOKUP($A154,'Data shares'!$C:$FA,90)</f>
        <v>5482400</v>
      </c>
      <c r="I154" s="86">
        <f>VLOOKUP($A154,'Data shares'!$C:$FA,92)</f>
        <v>201600</v>
      </c>
      <c r="J154" s="87">
        <f>VLOOKUP($A154,'Data shares'!$C:$FA,93)</f>
        <v>3.8199999999999998E-2</v>
      </c>
      <c r="K154" s="86">
        <f>VLOOKUP($A154,'Data shares'!$C:$FA,94)</f>
        <v>3904600</v>
      </c>
      <c r="L154" s="86">
        <f>VLOOKUP($A154,'Data shares'!$C:$FA,96)</f>
        <v>1047200</v>
      </c>
      <c r="M154" s="87">
        <f>VLOOKUP($A154,'Data shares'!$C:$FA,97)</f>
        <v>0.36649999999999999</v>
      </c>
      <c r="N154" s="86">
        <f>VLOOKUP($A154,'Data shares'!$C:$FA,78)</f>
        <v>11701200</v>
      </c>
      <c r="O154" s="87">
        <f>VLOOKUP($A154,'Data shares'!$C:$FA,81)</f>
        <v>-1.01E-2</v>
      </c>
    </row>
    <row r="155" spans="1:15" x14ac:dyDescent="0.25">
      <c r="A155" s="100" t="str">
        <f>'OI(Value)'!A155</f>
        <v>ONGC</v>
      </c>
      <c r="B155" s="82">
        <f>VLOOKUP(A155,'Data shares'!$C$2:$CV$215,98,0)</f>
        <v>211682250</v>
      </c>
      <c r="C155" s="82">
        <f>VLOOKUP(A155,'Data shares'!$C$2:$CX$215,100,0)</f>
        <v>-7794000</v>
      </c>
      <c r="D155" s="141">
        <f>VLOOKUP(A155,'Data shares'!$C$2:$CY$538,101,0)</f>
        <v>-3.5499999999999997E-2</v>
      </c>
      <c r="E155" s="86">
        <f>VLOOKUP($A155,'Data shares'!$C:$FA,74)</f>
        <v>113073750</v>
      </c>
      <c r="F155" s="86">
        <f>VLOOKUP($A155,'Data shares'!$C:$FA,76)</f>
        <v>-2353500</v>
      </c>
      <c r="G155" s="87">
        <f>VLOOKUP(A155,'Data shares'!$C$2:$CA$215,77,0)</f>
        <v>-2.0400000000000001E-2</v>
      </c>
      <c r="H155" s="86">
        <f>VLOOKUP($A155,'Data shares'!$C:$FA,90)</f>
        <v>71246250</v>
      </c>
      <c r="I155" s="86">
        <f>VLOOKUP($A155,'Data shares'!$C:$FA,92)</f>
        <v>-920250</v>
      </c>
      <c r="J155" s="87">
        <f>VLOOKUP($A155,'Data shares'!$C:$FA,93)</f>
        <v>-1.2800000000000001E-2</v>
      </c>
      <c r="K155" s="86">
        <f>VLOOKUP($A155,'Data shares'!$C:$FA,94)</f>
        <v>27362250</v>
      </c>
      <c r="L155" s="86">
        <f>VLOOKUP($A155,'Data shares'!$C:$FA,96)</f>
        <v>-4520250</v>
      </c>
      <c r="M155" s="87">
        <f>VLOOKUP($A155,'Data shares'!$C:$FA,97)</f>
        <v>-0.14180000000000001</v>
      </c>
      <c r="N155" s="86">
        <f>VLOOKUP($A155,'Data shares'!$C:$FA,78)</f>
        <v>109037250</v>
      </c>
      <c r="O155" s="87">
        <f>VLOOKUP($A155,'Data shares'!$C:$FA,81)</f>
        <v>-2.3E-2</v>
      </c>
    </row>
    <row r="156" spans="1:15" x14ac:dyDescent="0.25">
      <c r="A156" s="100" t="str">
        <f>'OI(Value)'!A156</f>
        <v>PAGEIND</v>
      </c>
      <c r="B156" s="82">
        <f>VLOOKUP(A156,'Data shares'!$C$2:$CV$215,98,0)</f>
        <v>362760</v>
      </c>
      <c r="C156" s="82">
        <f>VLOOKUP(A156,'Data shares'!$C$2:$CX$215,100,0)</f>
        <v>930</v>
      </c>
      <c r="D156" s="141">
        <f>VLOOKUP(A156,'Data shares'!$C$2:$CY$538,101,0)</f>
        <v>2.5999999999999999E-3</v>
      </c>
      <c r="E156" s="86">
        <f>VLOOKUP($A156,'Data shares'!$C:$FA,74)</f>
        <v>254460</v>
      </c>
      <c r="F156" s="86">
        <f>VLOOKUP($A156,'Data shares'!$C:$FA,76)</f>
        <v>2220</v>
      </c>
      <c r="G156" s="87">
        <f>VLOOKUP(A156,'Data shares'!$C$2:$CA$215,77,0)</f>
        <v>8.8000000000000005E-3</v>
      </c>
      <c r="H156" s="86">
        <f>VLOOKUP($A156,'Data shares'!$C:$FA,90)</f>
        <v>70740</v>
      </c>
      <c r="I156" s="86">
        <f>VLOOKUP($A156,'Data shares'!$C:$FA,92)</f>
        <v>-3540</v>
      </c>
      <c r="J156" s="87">
        <f>VLOOKUP($A156,'Data shares'!$C:$FA,93)</f>
        <v>-4.7699999999999999E-2</v>
      </c>
      <c r="K156" s="86">
        <f>VLOOKUP($A156,'Data shares'!$C:$FA,94)</f>
        <v>37560</v>
      </c>
      <c r="L156" s="86">
        <f>VLOOKUP($A156,'Data shares'!$C:$FA,96)</f>
        <v>2250</v>
      </c>
      <c r="M156" s="87">
        <f>VLOOKUP($A156,'Data shares'!$C:$FA,97)</f>
        <v>6.3700000000000007E-2</v>
      </c>
      <c r="N156" s="86">
        <f>VLOOKUP($A156,'Data shares'!$C:$FA,78)</f>
        <v>241365</v>
      </c>
      <c r="O156" s="87">
        <f>VLOOKUP($A156,'Data shares'!$C:$FA,81)</f>
        <v>7.3000000000000001E-3</v>
      </c>
    </row>
    <row r="157" spans="1:15" x14ac:dyDescent="0.25">
      <c r="A157" s="100" t="str">
        <f>'OI(Value)'!A157</f>
        <v>PATANJALI</v>
      </c>
      <c r="B157" s="82">
        <f>VLOOKUP(A157,'Data shares'!$C$2:$CV$215,98,0)</f>
        <v>48599100</v>
      </c>
      <c r="C157" s="82">
        <f>VLOOKUP(A157,'Data shares'!$C$2:$CX$215,100,0)</f>
        <v>499500</v>
      </c>
      <c r="D157" s="141">
        <f>VLOOKUP(A157,'Data shares'!$C$2:$CY$538,101,0)</f>
        <v>1.04E-2</v>
      </c>
      <c r="E157" s="86">
        <f>VLOOKUP($A157,'Data shares'!$C:$FA,74)</f>
        <v>40683600</v>
      </c>
      <c r="F157" s="86">
        <f>VLOOKUP($A157,'Data shares'!$C:$FA,76)</f>
        <v>32400</v>
      </c>
      <c r="G157" s="87">
        <f>VLOOKUP(A157,'Data shares'!$C$2:$CA$215,77,0)</f>
        <v>8.0000000000000004E-4</v>
      </c>
      <c r="H157" s="86">
        <f>VLOOKUP($A157,'Data shares'!$C:$FA,90)</f>
        <v>4903200</v>
      </c>
      <c r="I157" s="86">
        <f>VLOOKUP($A157,'Data shares'!$C:$FA,92)</f>
        <v>231300</v>
      </c>
      <c r="J157" s="87">
        <f>VLOOKUP($A157,'Data shares'!$C:$FA,93)</f>
        <v>4.9500000000000002E-2</v>
      </c>
      <c r="K157" s="86">
        <f>VLOOKUP($A157,'Data shares'!$C:$FA,94)</f>
        <v>3012300</v>
      </c>
      <c r="L157" s="86">
        <f>VLOOKUP($A157,'Data shares'!$C:$FA,96)</f>
        <v>235800</v>
      </c>
      <c r="M157" s="87">
        <f>VLOOKUP($A157,'Data shares'!$C:$FA,97)</f>
        <v>8.4900000000000003E-2</v>
      </c>
      <c r="N157" s="86">
        <f>VLOOKUP($A157,'Data shares'!$C:$FA,78)</f>
        <v>40486500</v>
      </c>
      <c r="O157" s="87">
        <f>VLOOKUP($A157,'Data shares'!$C:$FA,81)</f>
        <v>6.9999999999999999E-4</v>
      </c>
    </row>
    <row r="158" spans="1:15" x14ac:dyDescent="0.25">
      <c r="A158" s="100" t="str">
        <f>'OI(Value)'!A158</f>
        <v>PAYTM</v>
      </c>
      <c r="B158" s="82">
        <f>VLOOKUP(A158,'Data shares'!$C$2:$CV$215,98,0)</f>
        <v>24726850</v>
      </c>
      <c r="C158" s="82">
        <f>VLOOKUP(A158,'Data shares'!$C$2:$CX$215,100,0)</f>
        <v>722100</v>
      </c>
      <c r="D158" s="141">
        <f>VLOOKUP(A158,'Data shares'!$C$2:$CY$538,101,0)</f>
        <v>3.0099999999999998E-2</v>
      </c>
      <c r="E158" s="86">
        <f>VLOOKUP($A158,'Data shares'!$C:$FA,74)</f>
        <v>17219475</v>
      </c>
      <c r="F158" s="86">
        <f>VLOOKUP($A158,'Data shares'!$C:$FA,76)</f>
        <v>253750</v>
      </c>
      <c r="G158" s="87">
        <f>VLOOKUP(A158,'Data shares'!$C$2:$CA$215,77,0)</f>
        <v>1.4999999999999999E-2</v>
      </c>
      <c r="H158" s="86">
        <f>VLOOKUP($A158,'Data shares'!$C:$FA,90)</f>
        <v>4600850</v>
      </c>
      <c r="I158" s="86">
        <f>VLOOKUP($A158,'Data shares'!$C:$FA,92)</f>
        <v>442975</v>
      </c>
      <c r="J158" s="87">
        <f>VLOOKUP($A158,'Data shares'!$C:$FA,93)</f>
        <v>0.1065</v>
      </c>
      <c r="K158" s="86">
        <f>VLOOKUP($A158,'Data shares'!$C:$FA,94)</f>
        <v>2906525</v>
      </c>
      <c r="L158" s="86">
        <f>VLOOKUP($A158,'Data shares'!$C:$FA,96)</f>
        <v>25375</v>
      </c>
      <c r="M158" s="87">
        <f>VLOOKUP($A158,'Data shares'!$C:$FA,97)</f>
        <v>8.8000000000000005E-3</v>
      </c>
      <c r="N158" s="86">
        <f>VLOOKUP($A158,'Data shares'!$C:$FA,78)</f>
        <v>16940350</v>
      </c>
      <c r="O158" s="87">
        <f>VLOOKUP($A158,'Data shares'!$C:$FA,81)</f>
        <v>1.34E-2</v>
      </c>
    </row>
    <row r="159" spans="1:15" x14ac:dyDescent="0.25">
      <c r="A159" s="100" t="str">
        <f>'OI(Value)'!A159</f>
        <v>PERSISTENT</v>
      </c>
      <c r="B159" s="82">
        <f>VLOOKUP(A159,'Data shares'!$C$2:$CV$215,98,0)</f>
        <v>3453200</v>
      </c>
      <c r="C159" s="82">
        <f>VLOOKUP(A159,'Data shares'!$C$2:$CX$215,100,0)</f>
        <v>214300</v>
      </c>
      <c r="D159" s="141">
        <f>VLOOKUP(A159,'Data shares'!$C$2:$CY$538,101,0)</f>
        <v>6.6199999999999995E-2</v>
      </c>
      <c r="E159" s="86">
        <f>VLOOKUP($A159,'Data shares'!$C:$FA,74)</f>
        <v>2275500</v>
      </c>
      <c r="F159" s="86">
        <f>VLOOKUP($A159,'Data shares'!$C:$FA,76)</f>
        <v>42000</v>
      </c>
      <c r="G159" s="87">
        <f>VLOOKUP(A159,'Data shares'!$C$2:$CA$215,77,0)</f>
        <v>1.8800000000000001E-2</v>
      </c>
      <c r="H159" s="86">
        <f>VLOOKUP($A159,'Data shares'!$C:$FA,90)</f>
        <v>635300</v>
      </c>
      <c r="I159" s="86">
        <f>VLOOKUP($A159,'Data shares'!$C:$FA,92)</f>
        <v>29600</v>
      </c>
      <c r="J159" s="87">
        <f>VLOOKUP($A159,'Data shares'!$C:$FA,93)</f>
        <v>4.8899999999999999E-2</v>
      </c>
      <c r="K159" s="86">
        <f>VLOOKUP($A159,'Data shares'!$C:$FA,94)</f>
        <v>542400</v>
      </c>
      <c r="L159" s="86">
        <f>VLOOKUP($A159,'Data shares'!$C:$FA,96)</f>
        <v>142700</v>
      </c>
      <c r="M159" s="87">
        <f>VLOOKUP($A159,'Data shares'!$C:$FA,97)</f>
        <v>0.35699999999999998</v>
      </c>
      <c r="N159" s="86">
        <f>VLOOKUP($A159,'Data shares'!$C:$FA,78)</f>
        <v>2125300</v>
      </c>
      <c r="O159" s="87">
        <f>VLOOKUP($A159,'Data shares'!$C:$FA,81)</f>
        <v>1.8499999999999999E-2</v>
      </c>
    </row>
    <row r="160" spans="1:15" x14ac:dyDescent="0.25">
      <c r="A160" s="100" t="str">
        <f>'OI(Value)'!A160</f>
        <v>PETRONET</v>
      </c>
      <c r="B160" s="82">
        <f>VLOOKUP(A160,'Data shares'!$C$2:$CV$215,98,0)</f>
        <v>76904400</v>
      </c>
      <c r="C160" s="82">
        <f>VLOOKUP(A160,'Data shares'!$C$2:$CX$215,100,0)</f>
        <v>-2158400</v>
      </c>
      <c r="D160" s="141">
        <f>VLOOKUP(A160,'Data shares'!$C$2:$CY$538,101,0)</f>
        <v>-2.7300000000000001E-2</v>
      </c>
      <c r="E160" s="86">
        <f>VLOOKUP($A160,'Data shares'!$C:$FA,74)</f>
        <v>44479000</v>
      </c>
      <c r="F160" s="86">
        <f>VLOOKUP($A160,'Data shares'!$C:$FA,76)</f>
        <v>-1255900</v>
      </c>
      <c r="G160" s="87">
        <f>VLOOKUP(A160,'Data shares'!$C$2:$CA$215,77,0)</f>
        <v>-2.75E-2</v>
      </c>
      <c r="H160" s="86">
        <f>VLOOKUP($A160,'Data shares'!$C:$FA,90)</f>
        <v>13531800</v>
      </c>
      <c r="I160" s="86">
        <f>VLOOKUP($A160,'Data shares'!$C:$FA,92)</f>
        <v>-374300</v>
      </c>
      <c r="J160" s="87">
        <f>VLOOKUP($A160,'Data shares'!$C:$FA,93)</f>
        <v>-2.69E-2</v>
      </c>
      <c r="K160" s="86">
        <f>VLOOKUP($A160,'Data shares'!$C:$FA,94)</f>
        <v>18893600</v>
      </c>
      <c r="L160" s="86">
        <f>VLOOKUP($A160,'Data shares'!$C:$FA,96)</f>
        <v>-528200</v>
      </c>
      <c r="M160" s="87">
        <f>VLOOKUP($A160,'Data shares'!$C:$FA,97)</f>
        <v>-2.7199999999999998E-2</v>
      </c>
      <c r="N160" s="86">
        <f>VLOOKUP($A160,'Data shares'!$C:$FA,78)</f>
        <v>42725300</v>
      </c>
      <c r="O160" s="87">
        <f>VLOOKUP($A160,'Data shares'!$C:$FA,81)</f>
        <v>-2.8899999999999999E-2</v>
      </c>
    </row>
    <row r="161" spans="1:15" x14ac:dyDescent="0.25">
      <c r="A161" s="100" t="str">
        <f>'OI(Value)'!A161</f>
        <v>PFC</v>
      </c>
      <c r="B161" s="82">
        <f>VLOOKUP(A161,'Data shares'!$C$2:$CV$215,98,0)</f>
        <v>146642600</v>
      </c>
      <c r="C161" s="82">
        <f>VLOOKUP(A161,'Data shares'!$C$2:$CX$215,100,0)</f>
        <v>1877200</v>
      </c>
      <c r="D161" s="141">
        <f>VLOOKUP(A161,'Data shares'!$C$2:$CY$538,101,0)</f>
        <v>1.2999999999999999E-2</v>
      </c>
      <c r="E161" s="86">
        <f>VLOOKUP($A161,'Data shares'!$C:$FA,74)</f>
        <v>81386500</v>
      </c>
      <c r="F161" s="86">
        <f>VLOOKUP($A161,'Data shares'!$C:$FA,76)</f>
        <v>1049100</v>
      </c>
      <c r="G161" s="87">
        <f>VLOOKUP(A161,'Data shares'!$C$2:$CA$215,77,0)</f>
        <v>1.3100000000000001E-2</v>
      </c>
      <c r="H161" s="86">
        <f>VLOOKUP($A161,'Data shares'!$C:$FA,90)</f>
        <v>37195600</v>
      </c>
      <c r="I161" s="86">
        <f>VLOOKUP($A161,'Data shares'!$C:$FA,92)</f>
        <v>283400</v>
      </c>
      <c r="J161" s="87">
        <f>VLOOKUP($A161,'Data shares'!$C:$FA,93)</f>
        <v>7.7000000000000002E-3</v>
      </c>
      <c r="K161" s="86">
        <f>VLOOKUP($A161,'Data shares'!$C:$FA,94)</f>
        <v>28060500</v>
      </c>
      <c r="L161" s="86">
        <f>VLOOKUP($A161,'Data shares'!$C:$FA,96)</f>
        <v>544700</v>
      </c>
      <c r="M161" s="87">
        <f>VLOOKUP($A161,'Data shares'!$C:$FA,97)</f>
        <v>1.9800000000000002E-2</v>
      </c>
      <c r="N161" s="86">
        <f>VLOOKUP($A161,'Data shares'!$C:$FA,78)</f>
        <v>76700000</v>
      </c>
      <c r="O161" s="87">
        <f>VLOOKUP($A161,'Data shares'!$C:$FA,81)</f>
        <v>1.11E-2</v>
      </c>
    </row>
    <row r="162" spans="1:15" x14ac:dyDescent="0.25">
      <c r="A162" s="100" t="str">
        <f>'OI(Value)'!A162</f>
        <v>PGEL</v>
      </c>
      <c r="B162" s="82">
        <f>VLOOKUP(A162,'Data shares'!$C$2:$CV$215,98,0)</f>
        <v>22952950</v>
      </c>
      <c r="C162" s="82">
        <f>VLOOKUP(A162,'Data shares'!$C$2:$CX$215,100,0)</f>
        <v>-286900</v>
      </c>
      <c r="D162" s="141">
        <f>VLOOKUP(A162,'Data shares'!$C$2:$CY$538,101,0)</f>
        <v>-1.23E-2</v>
      </c>
      <c r="E162" s="86">
        <f>VLOOKUP($A162,'Data shares'!$C:$FA,74)</f>
        <v>11889250</v>
      </c>
      <c r="F162" s="86">
        <f>VLOOKUP($A162,'Data shares'!$C:$FA,76)</f>
        <v>-370500</v>
      </c>
      <c r="G162" s="87">
        <f>VLOOKUP(A162,'Data shares'!$C$2:$CA$215,77,0)</f>
        <v>-3.0200000000000001E-2</v>
      </c>
      <c r="H162" s="86">
        <f>VLOOKUP($A162,'Data shares'!$C:$FA,90)</f>
        <v>6617700</v>
      </c>
      <c r="I162" s="86">
        <f>VLOOKUP($A162,'Data shares'!$C:$FA,92)</f>
        <v>247950</v>
      </c>
      <c r="J162" s="87">
        <f>VLOOKUP($A162,'Data shares'!$C:$FA,93)</f>
        <v>3.8899999999999997E-2</v>
      </c>
      <c r="K162" s="86">
        <f>VLOOKUP($A162,'Data shares'!$C:$FA,94)</f>
        <v>4446000</v>
      </c>
      <c r="L162" s="86">
        <f>VLOOKUP($A162,'Data shares'!$C:$FA,96)</f>
        <v>-164350</v>
      </c>
      <c r="M162" s="87">
        <f>VLOOKUP($A162,'Data shares'!$C:$FA,97)</f>
        <v>-3.56E-2</v>
      </c>
      <c r="N162" s="86">
        <f>VLOOKUP($A162,'Data shares'!$C:$FA,78)</f>
        <v>11521600</v>
      </c>
      <c r="O162" s="87">
        <f>VLOOKUP($A162,'Data shares'!$C:$FA,81)</f>
        <v>-3.0499999999999999E-2</v>
      </c>
    </row>
    <row r="163" spans="1:15" x14ac:dyDescent="0.25">
      <c r="A163" s="100" t="str">
        <f>'OI(Value)'!A163</f>
        <v>PHOENIXLTD</v>
      </c>
      <c r="B163" s="82">
        <f>VLOOKUP(A163,'Data shares'!$C$2:$CV$215,98,0)</f>
        <v>4944450</v>
      </c>
      <c r="C163" s="82">
        <f>VLOOKUP(A163,'Data shares'!$C$2:$CX$215,100,0)</f>
        <v>310100</v>
      </c>
      <c r="D163" s="141">
        <f>VLOOKUP(A163,'Data shares'!$C$2:$CY$538,101,0)</f>
        <v>6.6900000000000001E-2</v>
      </c>
      <c r="E163" s="86">
        <f>VLOOKUP($A163,'Data shares'!$C:$FA,74)</f>
        <v>3629850</v>
      </c>
      <c r="F163" s="86">
        <f>VLOOKUP($A163,'Data shares'!$C:$FA,76)</f>
        <v>120050</v>
      </c>
      <c r="G163" s="87">
        <f>VLOOKUP(A163,'Data shares'!$C$2:$CA$215,77,0)</f>
        <v>3.4200000000000001E-2</v>
      </c>
      <c r="H163" s="86">
        <f>VLOOKUP($A163,'Data shares'!$C:$FA,90)</f>
        <v>741300</v>
      </c>
      <c r="I163" s="86">
        <f>VLOOKUP($A163,'Data shares'!$C:$FA,92)</f>
        <v>117950</v>
      </c>
      <c r="J163" s="87">
        <f>VLOOKUP($A163,'Data shares'!$C:$FA,93)</f>
        <v>0.18920000000000001</v>
      </c>
      <c r="K163" s="86">
        <f>VLOOKUP($A163,'Data shares'!$C:$FA,94)</f>
        <v>573300</v>
      </c>
      <c r="L163" s="86">
        <f>VLOOKUP($A163,'Data shares'!$C:$FA,96)</f>
        <v>72100</v>
      </c>
      <c r="M163" s="87">
        <f>VLOOKUP($A163,'Data shares'!$C:$FA,97)</f>
        <v>0.1439</v>
      </c>
      <c r="N163" s="86">
        <f>VLOOKUP($A163,'Data shares'!$C:$FA,78)</f>
        <v>3450650</v>
      </c>
      <c r="O163" s="87">
        <f>VLOOKUP($A163,'Data shares'!$C:$FA,81)</f>
        <v>2.2800000000000001E-2</v>
      </c>
    </row>
    <row r="164" spans="1:15" x14ac:dyDescent="0.25">
      <c r="A164" s="100" t="str">
        <f>'OI(Value)'!A164</f>
        <v>PIDILITIND</v>
      </c>
      <c r="B164" s="82">
        <f>VLOOKUP(A164,'Data shares'!$C$2:$CV$215,98,0)</f>
        <v>9749000</v>
      </c>
      <c r="C164" s="82">
        <f>VLOOKUP(A164,'Data shares'!$C$2:$CX$215,100,0)</f>
        <v>39000</v>
      </c>
      <c r="D164" s="141">
        <f>VLOOKUP(A164,'Data shares'!$C$2:$CY$538,101,0)</f>
        <v>4.0000000000000001E-3</v>
      </c>
      <c r="E164" s="86">
        <f>VLOOKUP($A164,'Data shares'!$C:$FA,74)</f>
        <v>7741500</v>
      </c>
      <c r="F164" s="86">
        <f>VLOOKUP($A164,'Data shares'!$C:$FA,76)</f>
        <v>-18500</v>
      </c>
      <c r="G164" s="87">
        <f>VLOOKUP(A164,'Data shares'!$C$2:$CA$215,77,0)</f>
        <v>-2.3999999999999998E-3</v>
      </c>
      <c r="H164" s="86">
        <f>VLOOKUP($A164,'Data shares'!$C:$FA,90)</f>
        <v>1014000</v>
      </c>
      <c r="I164" s="86">
        <f>VLOOKUP($A164,'Data shares'!$C:$FA,92)</f>
        <v>24500</v>
      </c>
      <c r="J164" s="87">
        <f>VLOOKUP($A164,'Data shares'!$C:$FA,93)</f>
        <v>2.4799999999999999E-2</v>
      </c>
      <c r="K164" s="86">
        <f>VLOOKUP($A164,'Data shares'!$C:$FA,94)</f>
        <v>993500</v>
      </c>
      <c r="L164" s="86">
        <f>VLOOKUP($A164,'Data shares'!$C:$FA,96)</f>
        <v>33000</v>
      </c>
      <c r="M164" s="87">
        <f>VLOOKUP($A164,'Data shares'!$C:$FA,97)</f>
        <v>3.44E-2</v>
      </c>
      <c r="N164" s="86">
        <f>VLOOKUP($A164,'Data shares'!$C:$FA,78)</f>
        <v>7660000</v>
      </c>
      <c r="O164" s="87">
        <f>VLOOKUP($A164,'Data shares'!$C:$FA,81)</f>
        <v>-2.7000000000000001E-3</v>
      </c>
    </row>
    <row r="165" spans="1:15" x14ac:dyDescent="0.25">
      <c r="A165" s="100" t="str">
        <f>'OI(Value)'!A165</f>
        <v>PIIND</v>
      </c>
      <c r="B165" s="82">
        <f>VLOOKUP(A165,'Data shares'!$C$2:$CV$215,98,0)</f>
        <v>3380825</v>
      </c>
      <c r="C165" s="82">
        <f>VLOOKUP(A165,'Data shares'!$C$2:$CX$215,100,0)</f>
        <v>-6300</v>
      </c>
      <c r="D165" s="141">
        <f>VLOOKUP(A165,'Data shares'!$C$2:$CY$538,101,0)</f>
        <v>-1.9E-3</v>
      </c>
      <c r="E165" s="86">
        <f>VLOOKUP($A165,'Data shares'!$C:$FA,74)</f>
        <v>2361975</v>
      </c>
      <c r="F165" s="86">
        <f>VLOOKUP($A165,'Data shares'!$C:$FA,76)</f>
        <v>12775</v>
      </c>
      <c r="G165" s="87">
        <f>VLOOKUP(A165,'Data shares'!$C$2:$CA$215,77,0)</f>
        <v>5.4000000000000003E-3</v>
      </c>
      <c r="H165" s="86">
        <f>VLOOKUP($A165,'Data shares'!$C:$FA,90)</f>
        <v>586250</v>
      </c>
      <c r="I165" s="86">
        <f>VLOOKUP($A165,'Data shares'!$C:$FA,92)</f>
        <v>-21525</v>
      </c>
      <c r="J165" s="87">
        <f>VLOOKUP($A165,'Data shares'!$C:$FA,93)</f>
        <v>-3.5400000000000001E-2</v>
      </c>
      <c r="K165" s="86">
        <f>VLOOKUP($A165,'Data shares'!$C:$FA,94)</f>
        <v>432600</v>
      </c>
      <c r="L165" s="86">
        <f>VLOOKUP($A165,'Data shares'!$C:$FA,96)</f>
        <v>2450</v>
      </c>
      <c r="M165" s="87">
        <f>VLOOKUP($A165,'Data shares'!$C:$FA,97)</f>
        <v>5.7000000000000002E-3</v>
      </c>
      <c r="N165" s="86">
        <f>VLOOKUP($A165,'Data shares'!$C:$FA,78)</f>
        <v>2259075</v>
      </c>
      <c r="O165" s="87">
        <f>VLOOKUP($A165,'Data shares'!$C:$FA,81)</f>
        <v>-3.0999999999999999E-3</v>
      </c>
    </row>
    <row r="166" spans="1:15" x14ac:dyDescent="0.25">
      <c r="A166" s="100" t="str">
        <f>'OI(Value)'!A166</f>
        <v>PNB</v>
      </c>
      <c r="B166" s="82">
        <f>VLOOKUP(A166,'Data shares'!$C$2:$CV$215,98,0)</f>
        <v>387600000</v>
      </c>
      <c r="C166" s="82">
        <f>VLOOKUP(A166,'Data shares'!$C$2:$CX$215,100,0)</f>
        <v>7880000</v>
      </c>
      <c r="D166" s="141">
        <f>VLOOKUP(A166,'Data shares'!$C$2:$CY$538,101,0)</f>
        <v>2.0799999999999999E-2</v>
      </c>
      <c r="E166" s="86">
        <f>VLOOKUP($A166,'Data shares'!$C:$FA,74)</f>
        <v>239360000</v>
      </c>
      <c r="F166" s="86">
        <f>VLOOKUP($A166,'Data shares'!$C:$FA,76)</f>
        <v>-3136000</v>
      </c>
      <c r="G166" s="87">
        <f>VLOOKUP(A166,'Data shares'!$C$2:$CA$215,77,0)</f>
        <v>-1.29E-2</v>
      </c>
      <c r="H166" s="86">
        <f>VLOOKUP($A166,'Data shares'!$C:$FA,90)</f>
        <v>75600000</v>
      </c>
      <c r="I166" s="86">
        <f>VLOOKUP($A166,'Data shares'!$C:$FA,92)</f>
        <v>5256000</v>
      </c>
      <c r="J166" s="87">
        <f>VLOOKUP($A166,'Data shares'!$C:$FA,93)</f>
        <v>7.4700000000000003E-2</v>
      </c>
      <c r="K166" s="86">
        <f>VLOOKUP($A166,'Data shares'!$C:$FA,94)</f>
        <v>72640000</v>
      </c>
      <c r="L166" s="86">
        <f>VLOOKUP($A166,'Data shares'!$C:$FA,96)</f>
        <v>5760000</v>
      </c>
      <c r="M166" s="87">
        <f>VLOOKUP($A166,'Data shares'!$C:$FA,97)</f>
        <v>8.6099999999999996E-2</v>
      </c>
      <c r="N166" s="86">
        <f>VLOOKUP($A166,'Data shares'!$C:$FA,78)</f>
        <v>230048000</v>
      </c>
      <c r="O166" s="87">
        <f>VLOOKUP($A166,'Data shares'!$C:$FA,81)</f>
        <v>-1.72E-2</v>
      </c>
    </row>
    <row r="167" spans="1:15" x14ac:dyDescent="0.25">
      <c r="A167" s="100" t="str">
        <f>'OI(Value)'!A167</f>
        <v>PNBHOUSING</v>
      </c>
      <c r="B167" s="82">
        <f>VLOOKUP(A167,'Data shares'!$C$2:$CV$215,98,0)</f>
        <v>19674850</v>
      </c>
      <c r="C167" s="82">
        <f>VLOOKUP(A167,'Data shares'!$C$2:$CX$215,100,0)</f>
        <v>33150</v>
      </c>
      <c r="D167" s="141">
        <f>VLOOKUP(A167,'Data shares'!$C$2:$CY$538,101,0)</f>
        <v>1.6999999999999999E-3</v>
      </c>
      <c r="E167" s="86">
        <f>VLOOKUP($A167,'Data shares'!$C:$FA,74)</f>
        <v>14610700</v>
      </c>
      <c r="F167" s="86">
        <f>VLOOKUP($A167,'Data shares'!$C:$FA,76)</f>
        <v>-326300</v>
      </c>
      <c r="G167" s="87">
        <f>VLOOKUP(A167,'Data shares'!$C$2:$CA$215,77,0)</f>
        <v>-2.18E-2</v>
      </c>
      <c r="H167" s="86">
        <f>VLOOKUP($A167,'Data shares'!$C:$FA,90)</f>
        <v>2998450</v>
      </c>
      <c r="I167" s="86">
        <f>VLOOKUP($A167,'Data shares'!$C:$FA,92)</f>
        <v>362700</v>
      </c>
      <c r="J167" s="87">
        <f>VLOOKUP($A167,'Data shares'!$C:$FA,93)</f>
        <v>0.1376</v>
      </c>
      <c r="K167" s="86">
        <f>VLOOKUP($A167,'Data shares'!$C:$FA,94)</f>
        <v>2065700</v>
      </c>
      <c r="L167" s="86">
        <f>VLOOKUP($A167,'Data shares'!$C:$FA,96)</f>
        <v>-3250</v>
      </c>
      <c r="M167" s="87">
        <f>VLOOKUP($A167,'Data shares'!$C:$FA,97)</f>
        <v>-1.6000000000000001E-3</v>
      </c>
      <c r="N167" s="86">
        <f>VLOOKUP($A167,'Data shares'!$C:$FA,78)</f>
        <v>14490450</v>
      </c>
      <c r="O167" s="87">
        <f>VLOOKUP($A167,'Data shares'!$C:$FA,81)</f>
        <v>-2.18E-2</v>
      </c>
    </row>
    <row r="168" spans="1:15" x14ac:dyDescent="0.25">
      <c r="A168" s="100" t="str">
        <f>'OI(Value)'!A168</f>
        <v>POLICYBZR</v>
      </c>
      <c r="B168" s="82">
        <f>VLOOKUP(A168,'Data shares'!$C$2:$CV$215,98,0)</f>
        <v>10159100</v>
      </c>
      <c r="C168" s="82">
        <f>VLOOKUP(A168,'Data shares'!$C$2:$CX$215,100,0)</f>
        <v>544600</v>
      </c>
      <c r="D168" s="141">
        <f>VLOOKUP(A168,'Data shares'!$C$2:$CY$538,101,0)</f>
        <v>5.6599999999999998E-2</v>
      </c>
      <c r="E168" s="86">
        <f>VLOOKUP($A168,'Data shares'!$C:$FA,74)</f>
        <v>6737850</v>
      </c>
      <c r="F168" s="86">
        <f>VLOOKUP($A168,'Data shares'!$C:$FA,76)</f>
        <v>47250</v>
      </c>
      <c r="G168" s="87">
        <f>VLOOKUP(A168,'Data shares'!$C$2:$CA$215,77,0)</f>
        <v>7.1000000000000004E-3</v>
      </c>
      <c r="H168" s="86">
        <f>VLOOKUP($A168,'Data shares'!$C:$FA,90)</f>
        <v>2174900</v>
      </c>
      <c r="I168" s="86">
        <f>VLOOKUP($A168,'Data shares'!$C:$FA,92)</f>
        <v>370650</v>
      </c>
      <c r="J168" s="87">
        <f>VLOOKUP($A168,'Data shares'!$C:$FA,93)</f>
        <v>0.2054</v>
      </c>
      <c r="K168" s="86">
        <f>VLOOKUP($A168,'Data shares'!$C:$FA,94)</f>
        <v>1246350</v>
      </c>
      <c r="L168" s="86">
        <f>VLOOKUP($A168,'Data shares'!$C:$FA,96)</f>
        <v>126700</v>
      </c>
      <c r="M168" s="87">
        <f>VLOOKUP($A168,'Data shares'!$C:$FA,97)</f>
        <v>0.1132</v>
      </c>
      <c r="N168" s="86">
        <f>VLOOKUP($A168,'Data shares'!$C:$FA,78)</f>
        <v>6655950</v>
      </c>
      <c r="O168" s="87">
        <f>VLOOKUP($A168,'Data shares'!$C:$FA,81)</f>
        <v>4.1999999999999997E-3</v>
      </c>
    </row>
    <row r="169" spans="1:15" x14ac:dyDescent="0.25">
      <c r="A169" s="100" t="str">
        <f>'OI(Value)'!A169</f>
        <v>POLYCAB</v>
      </c>
      <c r="B169" s="82">
        <f>VLOOKUP(A169,'Data shares'!$C$2:$CV$215,98,0)</f>
        <v>4489750</v>
      </c>
      <c r="C169" s="82">
        <f>VLOOKUP(A169,'Data shares'!$C$2:$CX$215,100,0)</f>
        <v>383875</v>
      </c>
      <c r="D169" s="141">
        <f>VLOOKUP(A169,'Data shares'!$C$2:$CY$538,101,0)</f>
        <v>9.35E-2</v>
      </c>
      <c r="E169" s="86">
        <f>VLOOKUP($A169,'Data shares'!$C:$FA,74)</f>
        <v>3305875</v>
      </c>
      <c r="F169" s="86">
        <f>VLOOKUP($A169,'Data shares'!$C:$FA,76)</f>
        <v>110500</v>
      </c>
      <c r="G169" s="87">
        <f>VLOOKUP(A169,'Data shares'!$C$2:$CA$215,77,0)</f>
        <v>3.4599999999999999E-2</v>
      </c>
      <c r="H169" s="86">
        <f>VLOOKUP($A169,'Data shares'!$C:$FA,90)</f>
        <v>704500</v>
      </c>
      <c r="I169" s="86">
        <f>VLOOKUP($A169,'Data shares'!$C:$FA,92)</f>
        <v>218875</v>
      </c>
      <c r="J169" s="87">
        <f>VLOOKUP($A169,'Data shares'!$C:$FA,93)</f>
        <v>0.45069999999999999</v>
      </c>
      <c r="K169" s="86">
        <f>VLOOKUP($A169,'Data shares'!$C:$FA,94)</f>
        <v>479375</v>
      </c>
      <c r="L169" s="86">
        <f>VLOOKUP($A169,'Data shares'!$C:$FA,96)</f>
        <v>54500</v>
      </c>
      <c r="M169" s="87">
        <f>VLOOKUP($A169,'Data shares'!$C:$FA,97)</f>
        <v>0.1283</v>
      </c>
      <c r="N169" s="86">
        <f>VLOOKUP($A169,'Data shares'!$C:$FA,78)</f>
        <v>3256250</v>
      </c>
      <c r="O169" s="87">
        <f>VLOOKUP($A169,'Data shares'!$C:$FA,81)</f>
        <v>3.2899999999999999E-2</v>
      </c>
    </row>
    <row r="170" spans="1:15" x14ac:dyDescent="0.25">
      <c r="A170" s="100" t="str">
        <f>'OI(Value)'!A170</f>
        <v>POWERGRID</v>
      </c>
      <c r="B170" s="82">
        <f>VLOOKUP(A170,'Data shares'!$C$2:$CV$215,98,0)</f>
        <v>157162300</v>
      </c>
      <c r="C170" s="82">
        <f>VLOOKUP(A170,'Data shares'!$C$2:$CX$215,100,0)</f>
        <v>10624800</v>
      </c>
      <c r="D170" s="141">
        <f>VLOOKUP(A170,'Data shares'!$C$2:$CY$538,101,0)</f>
        <v>7.2499999999999995E-2</v>
      </c>
      <c r="E170" s="86">
        <f>VLOOKUP($A170,'Data shares'!$C:$FA,74)</f>
        <v>102045200</v>
      </c>
      <c r="F170" s="86">
        <f>VLOOKUP($A170,'Data shares'!$C:$FA,76)</f>
        <v>3809500</v>
      </c>
      <c r="G170" s="87">
        <f>VLOOKUP(A170,'Data shares'!$C$2:$CA$215,77,0)</f>
        <v>3.8800000000000001E-2</v>
      </c>
      <c r="H170" s="86">
        <f>VLOOKUP($A170,'Data shares'!$C:$FA,90)</f>
        <v>33755400</v>
      </c>
      <c r="I170" s="86">
        <f>VLOOKUP($A170,'Data shares'!$C:$FA,92)</f>
        <v>4691100</v>
      </c>
      <c r="J170" s="87">
        <f>VLOOKUP($A170,'Data shares'!$C:$FA,93)</f>
        <v>0.16139999999999999</v>
      </c>
      <c r="K170" s="86">
        <f>VLOOKUP($A170,'Data shares'!$C:$FA,94)</f>
        <v>21361700</v>
      </c>
      <c r="L170" s="86">
        <f>VLOOKUP($A170,'Data shares'!$C:$FA,96)</f>
        <v>2124200</v>
      </c>
      <c r="M170" s="87">
        <f>VLOOKUP($A170,'Data shares'!$C:$FA,97)</f>
        <v>0.1104</v>
      </c>
      <c r="N170" s="86">
        <f>VLOOKUP($A170,'Data shares'!$C:$FA,78)</f>
        <v>92281100</v>
      </c>
      <c r="O170" s="87">
        <f>VLOOKUP($A170,'Data shares'!$C:$FA,81)</f>
        <v>3.1300000000000001E-2</v>
      </c>
    </row>
    <row r="171" spans="1:15" x14ac:dyDescent="0.25">
      <c r="A171" s="100" t="str">
        <f>'OI(Value)'!A171</f>
        <v>POWERINDIA</v>
      </c>
      <c r="B171" s="82">
        <f>VLOOKUP(A171,'Data shares'!$C$2:$CV$215,98,0)</f>
        <v>457650</v>
      </c>
      <c r="C171" s="82">
        <f>VLOOKUP(A171,'Data shares'!$C$2:$CX$215,100,0)</f>
        <v>72950</v>
      </c>
      <c r="D171" s="141">
        <f>VLOOKUP(A171,'Data shares'!$C$2:$CY$538,101,0)</f>
        <v>0.18959999999999999</v>
      </c>
      <c r="E171" s="86">
        <f>VLOOKUP($A171,'Data shares'!$C:$FA,74)</f>
        <v>257300</v>
      </c>
      <c r="F171" s="86">
        <f>VLOOKUP($A171,'Data shares'!$C:$FA,76)</f>
        <v>-1750</v>
      </c>
      <c r="G171" s="87">
        <f>VLOOKUP(A171,'Data shares'!$C$2:$CA$215,77,0)</f>
        <v>-6.7999999999999996E-3</v>
      </c>
      <c r="H171" s="86">
        <f>VLOOKUP($A171,'Data shares'!$C:$FA,90)</f>
        <v>134400</v>
      </c>
      <c r="I171" s="86">
        <f>VLOOKUP($A171,'Data shares'!$C:$FA,92)</f>
        <v>50350</v>
      </c>
      <c r="J171" s="87">
        <f>VLOOKUP($A171,'Data shares'!$C:$FA,93)</f>
        <v>0.59899999999999998</v>
      </c>
      <c r="K171" s="86">
        <f>VLOOKUP($A171,'Data shares'!$C:$FA,94)</f>
        <v>65950</v>
      </c>
      <c r="L171" s="86">
        <f>VLOOKUP($A171,'Data shares'!$C:$FA,96)</f>
        <v>24350</v>
      </c>
      <c r="M171" s="87">
        <f>VLOOKUP($A171,'Data shares'!$C:$FA,97)</f>
        <v>0.58530000000000004</v>
      </c>
      <c r="N171" s="86">
        <f>VLOOKUP($A171,'Data shares'!$C:$FA,78)</f>
        <v>249950</v>
      </c>
      <c r="O171" s="87">
        <f>VLOOKUP($A171,'Data shares'!$C:$FA,81)</f>
        <v>-7.0000000000000001E-3</v>
      </c>
    </row>
    <row r="172" spans="1:15" x14ac:dyDescent="0.25">
      <c r="A172" s="100" t="str">
        <f>'OI(Value)'!A172</f>
        <v>PPLPHARMA</v>
      </c>
      <c r="B172" s="82">
        <f>VLOOKUP(A172,'Data shares'!$C$2:$CV$215,98,0)</f>
        <v>43884750</v>
      </c>
      <c r="C172" s="82">
        <f>VLOOKUP(A172,'Data shares'!$C$2:$CX$215,100,0)</f>
        <v>2879625</v>
      </c>
      <c r="D172" s="141">
        <f>VLOOKUP(A172,'Data shares'!$C$2:$CY$538,101,0)</f>
        <v>7.0199999999999999E-2</v>
      </c>
      <c r="E172" s="86">
        <f>VLOOKUP($A172,'Data shares'!$C:$FA,74)</f>
        <v>26131875</v>
      </c>
      <c r="F172" s="86">
        <f>VLOOKUP($A172,'Data shares'!$C:$FA,76)</f>
        <v>926625</v>
      </c>
      <c r="G172" s="87">
        <f>VLOOKUP(A172,'Data shares'!$C$2:$CA$215,77,0)</f>
        <v>3.6799999999999999E-2</v>
      </c>
      <c r="H172" s="86">
        <f>VLOOKUP($A172,'Data shares'!$C:$FA,90)</f>
        <v>11200875</v>
      </c>
      <c r="I172" s="86">
        <f>VLOOKUP($A172,'Data shares'!$C:$FA,92)</f>
        <v>1519875</v>
      </c>
      <c r="J172" s="87">
        <f>VLOOKUP($A172,'Data shares'!$C:$FA,93)</f>
        <v>0.157</v>
      </c>
      <c r="K172" s="86">
        <f>VLOOKUP($A172,'Data shares'!$C:$FA,94)</f>
        <v>6552000</v>
      </c>
      <c r="L172" s="86">
        <f>VLOOKUP($A172,'Data shares'!$C:$FA,96)</f>
        <v>433125</v>
      </c>
      <c r="M172" s="87">
        <f>VLOOKUP($A172,'Data shares'!$C:$FA,97)</f>
        <v>7.0800000000000002E-2</v>
      </c>
      <c r="N172" s="86">
        <f>VLOOKUP($A172,'Data shares'!$C:$FA,78)</f>
        <v>24808875</v>
      </c>
      <c r="O172" s="87">
        <f>VLOOKUP($A172,'Data shares'!$C:$FA,81)</f>
        <v>3.4099999999999998E-2</v>
      </c>
    </row>
    <row r="173" spans="1:15" x14ac:dyDescent="0.25">
      <c r="A173" s="100" t="str">
        <f>'OI(Value)'!A173</f>
        <v>PREMIERENE</v>
      </c>
      <c r="B173" s="82">
        <f>VLOOKUP(A173,'Data shares'!$C$2:$CV$215,98,0)</f>
        <v>9974525</v>
      </c>
      <c r="C173" s="82">
        <f>VLOOKUP(A173,'Data shares'!$C$2:$CX$215,100,0)</f>
        <v>1567450</v>
      </c>
      <c r="D173" s="141">
        <f>VLOOKUP(A173,'Data shares'!$C$2:$CY$538,101,0)</f>
        <v>0.18640000000000001</v>
      </c>
      <c r="E173" s="86">
        <f>VLOOKUP($A173,'Data shares'!$C:$FA,74)</f>
        <v>3814550</v>
      </c>
      <c r="F173" s="86">
        <f>VLOOKUP($A173,'Data shares'!$C:$FA,76)</f>
        <v>416875</v>
      </c>
      <c r="G173" s="87">
        <f>VLOOKUP(A173,'Data shares'!$C$2:$CA$215,77,0)</f>
        <v>0.1227</v>
      </c>
      <c r="H173" s="86">
        <f>VLOOKUP($A173,'Data shares'!$C:$FA,90)</f>
        <v>3643200</v>
      </c>
      <c r="I173" s="86">
        <f>VLOOKUP($A173,'Data shares'!$C:$FA,92)</f>
        <v>834325</v>
      </c>
      <c r="J173" s="87">
        <f>VLOOKUP($A173,'Data shares'!$C:$FA,93)</f>
        <v>0.29699999999999999</v>
      </c>
      <c r="K173" s="86">
        <f>VLOOKUP($A173,'Data shares'!$C:$FA,94)</f>
        <v>2516775</v>
      </c>
      <c r="L173" s="86">
        <f>VLOOKUP($A173,'Data shares'!$C:$FA,96)</f>
        <v>316250</v>
      </c>
      <c r="M173" s="87">
        <f>VLOOKUP($A173,'Data shares'!$C:$FA,97)</f>
        <v>0.14369999999999999</v>
      </c>
      <c r="N173" s="86">
        <f>VLOOKUP($A173,'Data shares'!$C:$FA,78)</f>
        <v>3299350</v>
      </c>
      <c r="O173" s="87">
        <f>VLOOKUP($A173,'Data shares'!$C:$FA,81)</f>
        <v>0.122</v>
      </c>
    </row>
    <row r="174" spans="1:15" x14ac:dyDescent="0.25">
      <c r="A174" s="100" t="str">
        <f>'OI(Value)'!A174</f>
        <v>PRESTIGE</v>
      </c>
      <c r="B174" s="82">
        <f>VLOOKUP(A174,'Data shares'!$C$2:$CV$215,98,0)</f>
        <v>6419250</v>
      </c>
      <c r="C174" s="82">
        <f>VLOOKUP(A174,'Data shares'!$C$2:$CX$215,100,0)</f>
        <v>645750</v>
      </c>
      <c r="D174" s="141">
        <f>VLOOKUP(A174,'Data shares'!$C$2:$CY$538,101,0)</f>
        <v>0.1118</v>
      </c>
      <c r="E174" s="86">
        <f>VLOOKUP($A174,'Data shares'!$C:$FA,74)</f>
        <v>4163400</v>
      </c>
      <c r="F174" s="86">
        <f>VLOOKUP($A174,'Data shares'!$C:$FA,76)</f>
        <v>159750</v>
      </c>
      <c r="G174" s="87">
        <f>VLOOKUP(A174,'Data shares'!$C$2:$CA$215,77,0)</f>
        <v>3.9899999999999998E-2</v>
      </c>
      <c r="H174" s="86">
        <f>VLOOKUP($A174,'Data shares'!$C:$FA,90)</f>
        <v>1386900</v>
      </c>
      <c r="I174" s="86">
        <f>VLOOKUP($A174,'Data shares'!$C:$FA,92)</f>
        <v>424350</v>
      </c>
      <c r="J174" s="87">
        <f>VLOOKUP($A174,'Data shares'!$C:$FA,93)</f>
        <v>0.44090000000000001</v>
      </c>
      <c r="K174" s="86">
        <f>VLOOKUP($A174,'Data shares'!$C:$FA,94)</f>
        <v>868950</v>
      </c>
      <c r="L174" s="86">
        <f>VLOOKUP($A174,'Data shares'!$C:$FA,96)</f>
        <v>61650</v>
      </c>
      <c r="M174" s="87">
        <f>VLOOKUP($A174,'Data shares'!$C:$FA,97)</f>
        <v>7.6399999999999996E-2</v>
      </c>
      <c r="N174" s="86">
        <f>VLOOKUP($A174,'Data shares'!$C:$FA,78)</f>
        <v>4126950</v>
      </c>
      <c r="O174" s="87">
        <f>VLOOKUP($A174,'Data shares'!$C:$FA,81)</f>
        <v>3.9100000000000003E-2</v>
      </c>
    </row>
    <row r="175" spans="1:15" x14ac:dyDescent="0.25">
      <c r="A175" s="100" t="str">
        <f>'OI(Value)'!A175</f>
        <v>RBLBANK</v>
      </c>
      <c r="B175" s="82">
        <f>VLOOKUP(A175,'Data shares'!$C$2:$CV$215,98,0)</f>
        <v>99507675</v>
      </c>
      <c r="C175" s="82">
        <f>VLOOKUP(A175,'Data shares'!$C$2:$CX$215,100,0)</f>
        <v>-1279525</v>
      </c>
      <c r="D175" s="141">
        <f>VLOOKUP(A175,'Data shares'!$C$2:$CY$538,101,0)</f>
        <v>-1.2699999999999999E-2</v>
      </c>
      <c r="E175" s="86">
        <f>VLOOKUP($A175,'Data shares'!$C:$FA,74)</f>
        <v>70186550</v>
      </c>
      <c r="F175" s="86">
        <f>VLOOKUP($A175,'Data shares'!$C:$FA,76)</f>
        <v>-1238250</v>
      </c>
      <c r="G175" s="87">
        <f>VLOOKUP(A175,'Data shares'!$C$2:$CA$215,77,0)</f>
        <v>-1.7299999999999999E-2</v>
      </c>
      <c r="H175" s="86">
        <f>VLOOKUP($A175,'Data shares'!$C:$FA,90)</f>
        <v>17703800</v>
      </c>
      <c r="I175" s="86">
        <f>VLOOKUP($A175,'Data shares'!$C:$FA,92)</f>
        <v>-444500</v>
      </c>
      <c r="J175" s="87">
        <f>VLOOKUP($A175,'Data shares'!$C:$FA,93)</f>
        <v>-2.4500000000000001E-2</v>
      </c>
      <c r="K175" s="86">
        <f>VLOOKUP($A175,'Data shares'!$C:$FA,94)</f>
        <v>11617325</v>
      </c>
      <c r="L175" s="86">
        <f>VLOOKUP($A175,'Data shares'!$C:$FA,96)</f>
        <v>403225</v>
      </c>
      <c r="M175" s="87">
        <f>VLOOKUP($A175,'Data shares'!$C:$FA,97)</f>
        <v>3.5999999999999997E-2</v>
      </c>
      <c r="N175" s="86">
        <f>VLOOKUP($A175,'Data shares'!$C:$FA,78)</f>
        <v>69526150</v>
      </c>
      <c r="O175" s="87">
        <f>VLOOKUP($A175,'Data shares'!$C:$FA,81)</f>
        <v>-1.78E-2</v>
      </c>
    </row>
    <row r="176" spans="1:15" x14ac:dyDescent="0.25">
      <c r="A176" s="100" t="str">
        <f>'OI(Value)'!A176</f>
        <v>RECLTD</v>
      </c>
      <c r="B176" s="82">
        <f>VLOOKUP(A176,'Data shares'!$C$2:$CV$215,98,0)</f>
        <v>155425200</v>
      </c>
      <c r="C176" s="82">
        <f>VLOOKUP(A176,'Data shares'!$C$2:$CX$215,100,0)</f>
        <v>4090800</v>
      </c>
      <c r="D176" s="141">
        <f>VLOOKUP(A176,'Data shares'!$C$2:$CY$538,101,0)</f>
        <v>2.7E-2</v>
      </c>
      <c r="E176" s="86">
        <f>VLOOKUP($A176,'Data shares'!$C:$FA,74)</f>
        <v>86368800</v>
      </c>
      <c r="F176" s="86">
        <f>VLOOKUP($A176,'Data shares'!$C:$FA,76)</f>
        <v>1169000</v>
      </c>
      <c r="G176" s="87">
        <f>VLOOKUP(A176,'Data shares'!$C$2:$CA$215,77,0)</f>
        <v>1.37E-2</v>
      </c>
      <c r="H176" s="86">
        <f>VLOOKUP($A176,'Data shares'!$C:$FA,90)</f>
        <v>38379600</v>
      </c>
      <c r="I176" s="86">
        <f>VLOOKUP($A176,'Data shares'!$C:$FA,92)</f>
        <v>565600</v>
      </c>
      <c r="J176" s="87">
        <f>VLOOKUP($A176,'Data shares'!$C:$FA,93)</f>
        <v>1.4999999999999999E-2</v>
      </c>
      <c r="K176" s="86">
        <f>VLOOKUP($A176,'Data shares'!$C:$FA,94)</f>
        <v>30676800</v>
      </c>
      <c r="L176" s="86">
        <f>VLOOKUP($A176,'Data shares'!$C:$FA,96)</f>
        <v>2356200</v>
      </c>
      <c r="M176" s="87">
        <f>VLOOKUP($A176,'Data shares'!$C:$FA,97)</f>
        <v>8.3199999999999996E-2</v>
      </c>
      <c r="N176" s="86">
        <f>VLOOKUP($A176,'Data shares'!$C:$FA,78)</f>
        <v>77221200</v>
      </c>
      <c r="O176" s="87">
        <f>VLOOKUP($A176,'Data shares'!$C:$FA,81)</f>
        <v>-3.8E-3</v>
      </c>
    </row>
    <row r="177" spans="1:15" x14ac:dyDescent="0.25">
      <c r="A177" s="100" t="str">
        <f>'OI(Value)'!A177</f>
        <v>RELIANCE</v>
      </c>
      <c r="B177" s="82">
        <f>VLOOKUP(A177,'Data shares'!$C$2:$CV$215,98,0)</f>
        <v>222600000</v>
      </c>
      <c r="C177" s="82">
        <f>VLOOKUP(A177,'Data shares'!$C$2:$CX$215,100,0)</f>
        <v>9926500</v>
      </c>
      <c r="D177" s="141">
        <f>VLOOKUP(A177,'Data shares'!$C$2:$CY$538,101,0)</f>
        <v>4.6699999999999998E-2</v>
      </c>
      <c r="E177" s="86">
        <f>VLOOKUP($A177,'Data shares'!$C:$FA,74)</f>
        <v>108036500</v>
      </c>
      <c r="F177" s="86">
        <f>VLOOKUP($A177,'Data shares'!$C:$FA,76)</f>
        <v>2506500</v>
      </c>
      <c r="G177" s="87">
        <f>VLOOKUP(A177,'Data shares'!$C$2:$CA$215,77,0)</f>
        <v>2.3800000000000002E-2</v>
      </c>
      <c r="H177" s="86">
        <f>VLOOKUP($A177,'Data shares'!$C:$FA,90)</f>
        <v>80809000</v>
      </c>
      <c r="I177" s="86">
        <f>VLOOKUP($A177,'Data shares'!$C:$FA,92)</f>
        <v>5186500</v>
      </c>
      <c r="J177" s="87">
        <f>VLOOKUP($A177,'Data shares'!$C:$FA,93)</f>
        <v>6.8599999999999994E-2</v>
      </c>
      <c r="K177" s="86">
        <f>VLOOKUP($A177,'Data shares'!$C:$FA,94)</f>
        <v>33754500</v>
      </c>
      <c r="L177" s="86">
        <f>VLOOKUP($A177,'Data shares'!$C:$FA,96)</f>
        <v>2233500</v>
      </c>
      <c r="M177" s="87">
        <f>VLOOKUP($A177,'Data shares'!$C:$FA,97)</f>
        <v>7.0900000000000005E-2</v>
      </c>
      <c r="N177" s="86">
        <f>VLOOKUP($A177,'Data shares'!$C:$FA,78)</f>
        <v>102560500</v>
      </c>
      <c r="O177" s="87">
        <f>VLOOKUP($A177,'Data shares'!$C:$FA,81)</f>
        <v>1.2999999999999999E-2</v>
      </c>
    </row>
    <row r="178" spans="1:15" x14ac:dyDescent="0.25">
      <c r="A178" s="100" t="str">
        <f>'OI(Value)'!A178</f>
        <v>RVNL</v>
      </c>
      <c r="B178" s="82">
        <f>VLOOKUP(A178,'Data shares'!$C$2:$CV$215,98,0)</f>
        <v>107748875</v>
      </c>
      <c r="C178" s="82">
        <f>VLOOKUP(A178,'Data shares'!$C$2:$CX$215,100,0)</f>
        <v>2975275</v>
      </c>
      <c r="D178" s="141">
        <f>VLOOKUP(A178,'Data shares'!$C$2:$CY$538,101,0)</f>
        <v>2.8400000000000002E-2</v>
      </c>
      <c r="E178" s="86">
        <f>VLOOKUP($A178,'Data shares'!$C:$FA,74)</f>
        <v>46029075</v>
      </c>
      <c r="F178" s="86">
        <f>VLOOKUP($A178,'Data shares'!$C:$FA,76)</f>
        <v>1831525</v>
      </c>
      <c r="G178" s="87">
        <f>VLOOKUP(A178,'Data shares'!$C$2:$CA$215,77,0)</f>
        <v>4.1399999999999999E-2</v>
      </c>
      <c r="H178" s="86">
        <f>VLOOKUP($A178,'Data shares'!$C:$FA,90)</f>
        <v>45481600</v>
      </c>
      <c r="I178" s="86">
        <f>VLOOKUP($A178,'Data shares'!$C:$FA,92)</f>
        <v>759450</v>
      </c>
      <c r="J178" s="87">
        <f>VLOOKUP($A178,'Data shares'!$C:$FA,93)</f>
        <v>1.7000000000000001E-2</v>
      </c>
      <c r="K178" s="86">
        <f>VLOOKUP($A178,'Data shares'!$C:$FA,94)</f>
        <v>16238200</v>
      </c>
      <c r="L178" s="86">
        <f>VLOOKUP($A178,'Data shares'!$C:$FA,96)</f>
        <v>384300</v>
      </c>
      <c r="M178" s="87">
        <f>VLOOKUP($A178,'Data shares'!$C:$FA,97)</f>
        <v>2.4199999999999999E-2</v>
      </c>
      <c r="N178" s="86">
        <f>VLOOKUP($A178,'Data shares'!$C:$FA,78)</f>
        <v>41236000</v>
      </c>
      <c r="O178" s="87">
        <f>VLOOKUP($A178,'Data shares'!$C:$FA,81)</f>
        <v>1.6400000000000001E-2</v>
      </c>
    </row>
    <row r="179" spans="1:15" x14ac:dyDescent="0.25">
      <c r="A179" s="100" t="str">
        <f>'OI(Value)'!A179</f>
        <v>SAIL</v>
      </c>
      <c r="B179" s="82">
        <f>VLOOKUP(A179,'Data shares'!$C$2:$CV$215,98,0)</f>
        <v>279419700</v>
      </c>
      <c r="C179" s="82">
        <f>VLOOKUP(A179,'Data shares'!$C$2:$CX$215,100,0)</f>
        <v>-2340600</v>
      </c>
      <c r="D179" s="141">
        <f>VLOOKUP(A179,'Data shares'!$C$2:$CY$538,101,0)</f>
        <v>-8.3000000000000001E-3</v>
      </c>
      <c r="E179" s="86">
        <f>VLOOKUP($A179,'Data shares'!$C:$FA,74)</f>
        <v>195379000</v>
      </c>
      <c r="F179" s="86">
        <f>VLOOKUP($A179,'Data shares'!$C:$FA,76)</f>
        <v>-1447600</v>
      </c>
      <c r="G179" s="87">
        <f>VLOOKUP(A179,'Data shares'!$C$2:$CA$215,77,0)</f>
        <v>-7.4000000000000003E-3</v>
      </c>
      <c r="H179" s="86">
        <f>VLOOKUP($A179,'Data shares'!$C:$FA,90)</f>
        <v>47460600</v>
      </c>
      <c r="I179" s="86">
        <f>VLOOKUP($A179,'Data shares'!$C:$FA,92)</f>
        <v>-427700</v>
      </c>
      <c r="J179" s="87">
        <f>VLOOKUP($A179,'Data shares'!$C:$FA,93)</f>
        <v>-8.8999999999999999E-3</v>
      </c>
      <c r="K179" s="86">
        <f>VLOOKUP($A179,'Data shares'!$C:$FA,94)</f>
        <v>36580100</v>
      </c>
      <c r="L179" s="86">
        <f>VLOOKUP($A179,'Data shares'!$C:$FA,96)</f>
        <v>-465300</v>
      </c>
      <c r="M179" s="87">
        <f>VLOOKUP($A179,'Data shares'!$C:$FA,97)</f>
        <v>-1.26E-2</v>
      </c>
      <c r="N179" s="86">
        <f>VLOOKUP($A179,'Data shares'!$C:$FA,78)</f>
        <v>188582800</v>
      </c>
      <c r="O179" s="87">
        <f>VLOOKUP($A179,'Data shares'!$C:$FA,81)</f>
        <v>-7.3000000000000001E-3</v>
      </c>
    </row>
    <row r="180" spans="1:15" x14ac:dyDescent="0.25">
      <c r="A180" s="100" t="str">
        <f>'OI(Value)'!A180</f>
        <v>SAMMAANCAP</v>
      </c>
      <c r="B180" s="82">
        <f>VLOOKUP(A180,'Data shares'!$C$2:$CV$215,98,0)</f>
        <v>180092600</v>
      </c>
      <c r="C180" s="82">
        <f>VLOOKUP(A180,'Data shares'!$C$2:$CX$215,100,0)</f>
        <v>-838500</v>
      </c>
      <c r="D180" s="141">
        <f>VLOOKUP(A180,'Data shares'!$C$2:$CY$538,101,0)</f>
        <v>-4.5999999999999999E-3</v>
      </c>
      <c r="E180" s="86">
        <f>VLOOKUP($A180,'Data shares'!$C:$FA,74)</f>
        <v>123646500</v>
      </c>
      <c r="F180" s="86">
        <f>VLOOKUP($A180,'Data shares'!$C:$FA,76)</f>
        <v>-460100</v>
      </c>
      <c r="G180" s="87">
        <f>VLOOKUP(A180,'Data shares'!$C$2:$CA$215,77,0)</f>
        <v>-3.7000000000000002E-3</v>
      </c>
      <c r="H180" s="86">
        <f>VLOOKUP($A180,'Data shares'!$C:$FA,90)</f>
        <v>32662800</v>
      </c>
      <c r="I180" s="86">
        <f>VLOOKUP($A180,'Data shares'!$C:$FA,92)</f>
        <v>-292400</v>
      </c>
      <c r="J180" s="87">
        <f>VLOOKUP($A180,'Data shares'!$C:$FA,93)</f>
        <v>-8.8999999999999999E-3</v>
      </c>
      <c r="K180" s="86">
        <f>VLOOKUP($A180,'Data shares'!$C:$FA,94)</f>
        <v>23783300</v>
      </c>
      <c r="L180" s="86">
        <f>VLOOKUP($A180,'Data shares'!$C:$FA,96)</f>
        <v>-86000</v>
      </c>
      <c r="M180" s="87">
        <f>VLOOKUP($A180,'Data shares'!$C:$FA,97)</f>
        <v>-3.5999999999999999E-3</v>
      </c>
      <c r="N180" s="86">
        <f>VLOOKUP($A180,'Data shares'!$C:$FA,78)</f>
        <v>116379500</v>
      </c>
      <c r="O180" s="87">
        <f>VLOOKUP($A180,'Data shares'!$C:$FA,81)</f>
        <v>-3.7000000000000002E-3</v>
      </c>
    </row>
    <row r="181" spans="1:15" x14ac:dyDescent="0.25">
      <c r="A181" s="100" t="str">
        <f>'OI(Value)'!A181</f>
        <v>SBICARD</v>
      </c>
      <c r="B181" s="82">
        <f>VLOOKUP(A181,'Data shares'!$C$2:$CV$215,98,0)</f>
        <v>26325600</v>
      </c>
      <c r="C181" s="82">
        <f>VLOOKUP(A181,'Data shares'!$C$2:$CX$215,100,0)</f>
        <v>1435200</v>
      </c>
      <c r="D181" s="141">
        <f>VLOOKUP(A181,'Data shares'!$C$2:$CY$538,101,0)</f>
        <v>5.7700000000000001E-2</v>
      </c>
      <c r="E181" s="86">
        <f>VLOOKUP($A181,'Data shares'!$C:$FA,74)</f>
        <v>17044800</v>
      </c>
      <c r="F181" s="86">
        <f>VLOOKUP($A181,'Data shares'!$C:$FA,76)</f>
        <v>541600</v>
      </c>
      <c r="G181" s="87">
        <f>VLOOKUP(A181,'Data shares'!$C$2:$CA$215,77,0)</f>
        <v>3.2800000000000003E-2</v>
      </c>
      <c r="H181" s="86">
        <f>VLOOKUP($A181,'Data shares'!$C:$FA,90)</f>
        <v>5376000</v>
      </c>
      <c r="I181" s="86">
        <f>VLOOKUP($A181,'Data shares'!$C:$FA,92)</f>
        <v>692000</v>
      </c>
      <c r="J181" s="87">
        <f>VLOOKUP($A181,'Data shares'!$C:$FA,93)</f>
        <v>0.1477</v>
      </c>
      <c r="K181" s="86">
        <f>VLOOKUP($A181,'Data shares'!$C:$FA,94)</f>
        <v>3904800</v>
      </c>
      <c r="L181" s="86">
        <f>VLOOKUP($A181,'Data shares'!$C:$FA,96)</f>
        <v>201600</v>
      </c>
      <c r="M181" s="87">
        <f>VLOOKUP($A181,'Data shares'!$C:$FA,97)</f>
        <v>5.4399999999999997E-2</v>
      </c>
      <c r="N181" s="86">
        <f>VLOOKUP($A181,'Data shares'!$C:$FA,78)</f>
        <v>16380000</v>
      </c>
      <c r="O181" s="87">
        <f>VLOOKUP($A181,'Data shares'!$C:$FA,81)</f>
        <v>3.1300000000000001E-2</v>
      </c>
    </row>
    <row r="182" spans="1:15" x14ac:dyDescent="0.25">
      <c r="A182" s="100" t="str">
        <f>'OI(Value)'!A182</f>
        <v>SBILIFE</v>
      </c>
      <c r="B182" s="82">
        <f>VLOOKUP(A182,'Data shares'!$C$2:$CV$215,98,0)</f>
        <v>17443500</v>
      </c>
      <c r="C182" s="82">
        <f>VLOOKUP(A182,'Data shares'!$C$2:$CX$215,100,0)</f>
        <v>1991250</v>
      </c>
      <c r="D182" s="141">
        <f>VLOOKUP(A182,'Data shares'!$C$2:$CY$538,101,0)</f>
        <v>0.12889999999999999</v>
      </c>
      <c r="E182" s="86">
        <f>VLOOKUP($A182,'Data shares'!$C:$FA,74)</f>
        <v>9090000</v>
      </c>
      <c r="F182" s="86">
        <f>VLOOKUP($A182,'Data shares'!$C:$FA,76)</f>
        <v>423375</v>
      </c>
      <c r="G182" s="87">
        <f>VLOOKUP(A182,'Data shares'!$C$2:$CA$215,77,0)</f>
        <v>4.8899999999999999E-2</v>
      </c>
      <c r="H182" s="86">
        <f>VLOOKUP($A182,'Data shares'!$C:$FA,90)</f>
        <v>6115500</v>
      </c>
      <c r="I182" s="86">
        <f>VLOOKUP($A182,'Data shares'!$C:$FA,92)</f>
        <v>1462125</v>
      </c>
      <c r="J182" s="87">
        <f>VLOOKUP($A182,'Data shares'!$C:$FA,93)</f>
        <v>0.31419999999999998</v>
      </c>
      <c r="K182" s="86">
        <f>VLOOKUP($A182,'Data shares'!$C:$FA,94)</f>
        <v>2238000</v>
      </c>
      <c r="L182" s="86">
        <f>VLOOKUP($A182,'Data shares'!$C:$FA,96)</f>
        <v>105750</v>
      </c>
      <c r="M182" s="87">
        <f>VLOOKUP($A182,'Data shares'!$C:$FA,97)</f>
        <v>4.9599999999999998E-2</v>
      </c>
      <c r="N182" s="86">
        <f>VLOOKUP($A182,'Data shares'!$C:$FA,78)</f>
        <v>8934375</v>
      </c>
      <c r="O182" s="87">
        <f>VLOOKUP($A182,'Data shares'!$C:$FA,81)</f>
        <v>4.9099999999999998E-2</v>
      </c>
    </row>
    <row r="183" spans="1:15" x14ac:dyDescent="0.25">
      <c r="A183" s="100" t="str">
        <f>'OI(Value)'!A183</f>
        <v>SBIN</v>
      </c>
      <c r="B183" s="82">
        <f>VLOOKUP(A183,'Data shares'!$C$2:$CV$215,98,0)</f>
        <v>139924500</v>
      </c>
      <c r="C183" s="82">
        <f>VLOOKUP(A183,'Data shares'!$C$2:$CX$215,100,0)</f>
        <v>-4680750</v>
      </c>
      <c r="D183" s="141">
        <f>VLOOKUP(A183,'Data shares'!$C$2:$CY$538,101,0)</f>
        <v>-3.2399999999999998E-2</v>
      </c>
      <c r="E183" s="86">
        <f>VLOOKUP($A183,'Data shares'!$C:$FA,74)</f>
        <v>74757000</v>
      </c>
      <c r="F183" s="86">
        <f>VLOOKUP($A183,'Data shares'!$C:$FA,76)</f>
        <v>-2698500</v>
      </c>
      <c r="G183" s="87">
        <f>VLOOKUP(A183,'Data shares'!$C$2:$CA$215,77,0)</f>
        <v>-3.4799999999999998E-2</v>
      </c>
      <c r="H183" s="86">
        <f>VLOOKUP($A183,'Data shares'!$C:$FA,90)</f>
        <v>38625750</v>
      </c>
      <c r="I183" s="86">
        <f>VLOOKUP($A183,'Data shares'!$C:$FA,92)</f>
        <v>2613000</v>
      </c>
      <c r="J183" s="87">
        <f>VLOOKUP($A183,'Data shares'!$C:$FA,93)</f>
        <v>7.2599999999999998E-2</v>
      </c>
      <c r="K183" s="86">
        <f>VLOOKUP($A183,'Data shares'!$C:$FA,94)</f>
        <v>26541750</v>
      </c>
      <c r="L183" s="86">
        <f>VLOOKUP($A183,'Data shares'!$C:$FA,96)</f>
        <v>-4595250</v>
      </c>
      <c r="M183" s="87">
        <f>VLOOKUP($A183,'Data shares'!$C:$FA,97)</f>
        <v>-0.14760000000000001</v>
      </c>
      <c r="N183" s="86">
        <f>VLOOKUP($A183,'Data shares'!$C:$FA,78)</f>
        <v>72723750</v>
      </c>
      <c r="O183" s="87">
        <f>VLOOKUP($A183,'Data shares'!$C:$FA,81)</f>
        <v>-3.6999999999999998E-2</v>
      </c>
    </row>
    <row r="184" spans="1:15" x14ac:dyDescent="0.25">
      <c r="A184" s="100" t="str">
        <f>'OI(Value)'!A184</f>
        <v>SHREECEM</v>
      </c>
      <c r="B184" s="82">
        <f>VLOOKUP(A184,'Data shares'!$C$2:$CV$215,98,0)</f>
        <v>394925</v>
      </c>
      <c r="C184" s="82">
        <f>VLOOKUP(A184,'Data shares'!$C$2:$CX$215,100,0)</f>
        <v>2625</v>
      </c>
      <c r="D184" s="141">
        <f>VLOOKUP(A184,'Data shares'!$C$2:$CY$538,101,0)</f>
        <v>6.7000000000000002E-3</v>
      </c>
      <c r="E184" s="86">
        <f>VLOOKUP($A184,'Data shares'!$C:$FA,74)</f>
        <v>271425</v>
      </c>
      <c r="F184" s="86">
        <f>VLOOKUP($A184,'Data shares'!$C:$FA,76)</f>
        <v>-1750</v>
      </c>
      <c r="G184" s="87">
        <f>VLOOKUP(A184,'Data shares'!$C$2:$CA$215,77,0)</f>
        <v>-6.4000000000000003E-3</v>
      </c>
      <c r="H184" s="86">
        <f>VLOOKUP($A184,'Data shares'!$C:$FA,90)</f>
        <v>73275</v>
      </c>
      <c r="I184" s="86">
        <f>VLOOKUP($A184,'Data shares'!$C:$FA,92)</f>
        <v>3425</v>
      </c>
      <c r="J184" s="87">
        <f>VLOOKUP($A184,'Data shares'!$C:$FA,93)</f>
        <v>4.9000000000000002E-2</v>
      </c>
      <c r="K184" s="86">
        <f>VLOOKUP($A184,'Data shares'!$C:$FA,94)</f>
        <v>50225</v>
      </c>
      <c r="L184" s="86">
        <f>VLOOKUP($A184,'Data shares'!$C:$FA,96)</f>
        <v>950</v>
      </c>
      <c r="M184" s="87">
        <f>VLOOKUP($A184,'Data shares'!$C:$FA,97)</f>
        <v>1.9300000000000001E-2</v>
      </c>
      <c r="N184" s="86">
        <f>VLOOKUP($A184,'Data shares'!$C:$FA,78)</f>
        <v>267775</v>
      </c>
      <c r="O184" s="87">
        <f>VLOOKUP($A184,'Data shares'!$C:$FA,81)</f>
        <v>-6.8999999999999999E-3</v>
      </c>
    </row>
    <row r="185" spans="1:15" x14ac:dyDescent="0.25">
      <c r="A185" s="100" t="str">
        <f>'OI(Value)'!A185</f>
        <v>SHRIRAMFIN</v>
      </c>
      <c r="B185" s="82">
        <f>VLOOKUP(A185,'Data shares'!$C$2:$CV$215,98,0)</f>
        <v>74051175</v>
      </c>
      <c r="C185" s="82">
        <f>VLOOKUP(A185,'Data shares'!$C$2:$CX$215,100,0)</f>
        <v>-14025</v>
      </c>
      <c r="D185" s="141">
        <f>VLOOKUP(A185,'Data shares'!$C$2:$CY$538,101,0)</f>
        <v>-2.0000000000000001E-4</v>
      </c>
      <c r="E185" s="86">
        <f>VLOOKUP($A185,'Data shares'!$C:$FA,74)</f>
        <v>47745225</v>
      </c>
      <c r="F185" s="86">
        <f>VLOOKUP($A185,'Data shares'!$C:$FA,76)</f>
        <v>404250</v>
      </c>
      <c r="G185" s="87">
        <f>VLOOKUP(A185,'Data shares'!$C$2:$CA$215,77,0)</f>
        <v>8.5000000000000006E-3</v>
      </c>
      <c r="H185" s="86">
        <f>VLOOKUP($A185,'Data shares'!$C:$FA,90)</f>
        <v>13986225</v>
      </c>
      <c r="I185" s="86">
        <f>VLOOKUP($A185,'Data shares'!$C:$FA,92)</f>
        <v>-150150</v>
      </c>
      <c r="J185" s="87">
        <f>VLOOKUP($A185,'Data shares'!$C:$FA,93)</f>
        <v>-1.06E-2</v>
      </c>
      <c r="K185" s="86">
        <f>VLOOKUP($A185,'Data shares'!$C:$FA,94)</f>
        <v>12319725</v>
      </c>
      <c r="L185" s="86">
        <f>VLOOKUP($A185,'Data shares'!$C:$FA,96)</f>
        <v>-268125</v>
      </c>
      <c r="M185" s="87">
        <f>VLOOKUP($A185,'Data shares'!$C:$FA,97)</f>
        <v>-2.1299999999999999E-2</v>
      </c>
      <c r="N185" s="86">
        <f>VLOOKUP($A185,'Data shares'!$C:$FA,78)</f>
        <v>44630850</v>
      </c>
      <c r="O185" s="87">
        <f>VLOOKUP($A185,'Data shares'!$C:$FA,81)</f>
        <v>7.7999999999999996E-3</v>
      </c>
    </row>
    <row r="186" spans="1:15" x14ac:dyDescent="0.25">
      <c r="A186" s="100" t="str">
        <f>'OI(Value)'!A186</f>
        <v>SIEMENS</v>
      </c>
      <c r="B186" s="82">
        <f>VLOOKUP(A186,'Data shares'!$C$2:$CV$215,98,0)</f>
        <v>4247075</v>
      </c>
      <c r="C186" s="82">
        <f>VLOOKUP(A186,'Data shares'!$C$2:$CX$215,100,0)</f>
        <v>55825</v>
      </c>
      <c r="D186" s="141">
        <f>VLOOKUP(A186,'Data shares'!$C$2:$CY$538,101,0)</f>
        <v>1.3299999999999999E-2</v>
      </c>
      <c r="E186" s="86">
        <f>VLOOKUP($A186,'Data shares'!$C:$FA,74)</f>
        <v>2585100</v>
      </c>
      <c r="F186" s="86">
        <f>VLOOKUP($A186,'Data shares'!$C:$FA,76)</f>
        <v>-31325</v>
      </c>
      <c r="G186" s="87">
        <f>VLOOKUP(A186,'Data shares'!$C$2:$CA$215,77,0)</f>
        <v>-1.2E-2</v>
      </c>
      <c r="H186" s="86">
        <f>VLOOKUP($A186,'Data shares'!$C:$FA,90)</f>
        <v>1062425</v>
      </c>
      <c r="I186" s="86">
        <f>VLOOKUP($A186,'Data shares'!$C:$FA,92)</f>
        <v>78925</v>
      </c>
      <c r="J186" s="87">
        <f>VLOOKUP($A186,'Data shares'!$C:$FA,93)</f>
        <v>8.0199999999999994E-2</v>
      </c>
      <c r="K186" s="86">
        <f>VLOOKUP($A186,'Data shares'!$C:$FA,94)</f>
        <v>599550</v>
      </c>
      <c r="L186" s="86">
        <f>VLOOKUP($A186,'Data shares'!$C:$FA,96)</f>
        <v>8225</v>
      </c>
      <c r="M186" s="87">
        <f>VLOOKUP($A186,'Data shares'!$C:$FA,97)</f>
        <v>1.3899999999999999E-2</v>
      </c>
      <c r="N186" s="86">
        <f>VLOOKUP($A186,'Data shares'!$C:$FA,78)</f>
        <v>2483950</v>
      </c>
      <c r="O186" s="87">
        <f>VLOOKUP($A186,'Data shares'!$C:$FA,81)</f>
        <v>-1.4E-2</v>
      </c>
    </row>
    <row r="187" spans="1:15" x14ac:dyDescent="0.25">
      <c r="A187" s="100" t="str">
        <f>'OI(Value)'!A187</f>
        <v>SOLARINDS</v>
      </c>
      <c r="B187" s="82">
        <f>VLOOKUP(A187,'Data shares'!$C$2:$CV$215,98,0)</f>
        <v>1816050</v>
      </c>
      <c r="C187" s="82">
        <f>VLOOKUP(A187,'Data shares'!$C$2:$CX$215,100,0)</f>
        <v>20450</v>
      </c>
      <c r="D187" s="141">
        <f>VLOOKUP(A187,'Data shares'!$C$2:$CY$538,101,0)</f>
        <v>1.14E-2</v>
      </c>
      <c r="E187" s="86">
        <f>VLOOKUP($A187,'Data shares'!$C:$FA,74)</f>
        <v>1118400</v>
      </c>
      <c r="F187" s="86">
        <f>VLOOKUP($A187,'Data shares'!$C:$FA,76)</f>
        <v>-42800</v>
      </c>
      <c r="G187" s="87">
        <f>VLOOKUP(A187,'Data shares'!$C$2:$CA$215,77,0)</f>
        <v>-3.6900000000000002E-2</v>
      </c>
      <c r="H187" s="86">
        <f>VLOOKUP($A187,'Data shares'!$C:$FA,90)</f>
        <v>385300</v>
      </c>
      <c r="I187" s="86">
        <f>VLOOKUP($A187,'Data shares'!$C:$FA,92)</f>
        <v>0</v>
      </c>
      <c r="J187" s="87">
        <f>VLOOKUP($A187,'Data shares'!$C:$FA,93)</f>
        <v>0</v>
      </c>
      <c r="K187" s="86">
        <f>VLOOKUP($A187,'Data shares'!$C:$FA,94)</f>
        <v>312350</v>
      </c>
      <c r="L187" s="86">
        <f>VLOOKUP($A187,'Data shares'!$C:$FA,96)</f>
        <v>63250</v>
      </c>
      <c r="M187" s="87">
        <f>VLOOKUP($A187,'Data shares'!$C:$FA,97)</f>
        <v>0.25390000000000001</v>
      </c>
      <c r="N187" s="86">
        <f>VLOOKUP($A187,'Data shares'!$C:$FA,78)</f>
        <v>1039600</v>
      </c>
      <c r="O187" s="87">
        <f>VLOOKUP($A187,'Data shares'!$C:$FA,81)</f>
        <v>-3.9100000000000003E-2</v>
      </c>
    </row>
    <row r="188" spans="1:15" x14ac:dyDescent="0.25">
      <c r="A188" s="100" t="str">
        <f>'OI(Value)'!A188</f>
        <v>SONACOMS</v>
      </c>
      <c r="B188" s="82">
        <f>VLOOKUP(A188,'Data shares'!$C$2:$CV$215,98,0)</f>
        <v>19826625</v>
      </c>
      <c r="C188" s="82">
        <f>VLOOKUP(A188,'Data shares'!$C$2:$CX$215,100,0)</f>
        <v>746025</v>
      </c>
      <c r="D188" s="141">
        <f>VLOOKUP(A188,'Data shares'!$C$2:$CY$538,101,0)</f>
        <v>3.9100000000000003E-2</v>
      </c>
      <c r="E188" s="86">
        <f>VLOOKUP($A188,'Data shares'!$C:$FA,74)</f>
        <v>14945000</v>
      </c>
      <c r="F188" s="86">
        <f>VLOOKUP($A188,'Data shares'!$C:$FA,76)</f>
        <v>115150</v>
      </c>
      <c r="G188" s="87">
        <f>VLOOKUP(A188,'Data shares'!$C$2:$CA$215,77,0)</f>
        <v>7.7999999999999996E-3</v>
      </c>
      <c r="H188" s="86">
        <f>VLOOKUP($A188,'Data shares'!$C:$FA,90)</f>
        <v>3014725</v>
      </c>
      <c r="I188" s="86">
        <f>VLOOKUP($A188,'Data shares'!$C:$FA,92)</f>
        <v>469175</v>
      </c>
      <c r="J188" s="87">
        <f>VLOOKUP($A188,'Data shares'!$C:$FA,93)</f>
        <v>0.18429999999999999</v>
      </c>
      <c r="K188" s="86">
        <f>VLOOKUP($A188,'Data shares'!$C:$FA,94)</f>
        <v>1866900</v>
      </c>
      <c r="L188" s="86">
        <f>VLOOKUP($A188,'Data shares'!$C:$FA,96)</f>
        <v>161700</v>
      </c>
      <c r="M188" s="87">
        <f>VLOOKUP($A188,'Data shares'!$C:$FA,97)</f>
        <v>9.4799999999999995E-2</v>
      </c>
      <c r="N188" s="86">
        <f>VLOOKUP($A188,'Data shares'!$C:$FA,78)</f>
        <v>14548100</v>
      </c>
      <c r="O188" s="87">
        <f>VLOOKUP($A188,'Data shares'!$C:$FA,81)</f>
        <v>5.7000000000000002E-3</v>
      </c>
    </row>
    <row r="189" spans="1:15" x14ac:dyDescent="0.25">
      <c r="A189" s="100" t="str">
        <f>'OI(Value)'!A189</f>
        <v>ZYDUSLIFE</v>
      </c>
      <c r="B189" s="82">
        <f>VLOOKUP(A189,'Data shares'!$C$2:$CV$215,98,0)</f>
        <v>17306100</v>
      </c>
      <c r="C189" s="82">
        <f>VLOOKUP(A189,'Data shares'!$C$2:$CX$215,100,0)</f>
        <v>970200</v>
      </c>
      <c r="D189" s="141">
        <f>VLOOKUP(A189,'Data shares'!$C$2:$CY$538,101,0)</f>
        <v>5.9400000000000001E-2</v>
      </c>
      <c r="E189" s="86">
        <f>VLOOKUP($A189,'Data shares'!$C:$FA,74)</f>
        <v>10350900</v>
      </c>
      <c r="F189" s="86">
        <f>VLOOKUP($A189,'Data shares'!$C:$FA,76)</f>
        <v>258300</v>
      </c>
      <c r="G189" s="87">
        <f>VLOOKUP(A189,'Data shares'!$C$2:$CA$215,77,0)</f>
        <v>2.5600000000000001E-2</v>
      </c>
      <c r="H189" s="86">
        <f>VLOOKUP($A189,'Data shares'!$C:$FA,90)</f>
        <v>3669300</v>
      </c>
      <c r="I189" s="86">
        <f>VLOOKUP($A189,'Data shares'!$C:$FA,92)</f>
        <v>146700</v>
      </c>
      <c r="J189" s="87">
        <f>VLOOKUP($A189,'Data shares'!$C:$FA,93)</f>
        <v>4.1599999999999998E-2</v>
      </c>
      <c r="K189" s="86">
        <f>VLOOKUP($A189,'Data shares'!$C:$FA,94)</f>
        <v>3285900</v>
      </c>
      <c r="L189" s="86">
        <f>VLOOKUP($A189,'Data shares'!$C:$FA,96)</f>
        <v>565200</v>
      </c>
      <c r="M189" s="87">
        <f>VLOOKUP($A189,'Data shares'!$C:$FA,97)</f>
        <v>0.2077</v>
      </c>
      <c r="N189" s="86">
        <f>VLOOKUP($A189,'Data shares'!$C:$FA,78)</f>
        <v>10061100</v>
      </c>
      <c r="O189" s="87">
        <f>VLOOKUP($A189,'Data shares'!$C:$FA,81)</f>
        <v>2.3400000000000001E-2</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24522018931</v>
      </c>
      <c r="C216" s="119">
        <f>SUM(C7:C215)</f>
        <v>115978060</v>
      </c>
      <c r="D216" s="120">
        <f>C216*100/(B216-C216)</f>
        <v>0.47520226903253554</v>
      </c>
      <c r="E216" s="119">
        <f>SUM(E7:E215)</f>
        <v>14687211266</v>
      </c>
      <c r="F216" s="119">
        <f>SUM(F7:F215)</f>
        <v>36943858</v>
      </c>
      <c r="G216" s="120">
        <f>F216*100/(E216-F216)</f>
        <v>0.25217190219904279</v>
      </c>
      <c r="H216" s="119">
        <f>SUM(H7:H215)</f>
        <v>6055254610</v>
      </c>
      <c r="I216" s="119">
        <f>SUM(I7:I215)</f>
        <v>276065552</v>
      </c>
      <c r="J216" s="120">
        <f>I216*100/(H216-I216)</f>
        <v>4.7768908272320445</v>
      </c>
      <c r="K216" s="119">
        <f>SUM(K7:K215)</f>
        <v>3779553055</v>
      </c>
      <c r="L216" s="119">
        <f>SUM(L7:L215)</f>
        <v>109764815</v>
      </c>
      <c r="M216" s="120">
        <f>L216*100/(K216-L216)</f>
        <v>2.9910394775258204</v>
      </c>
      <c r="N216" s="119">
        <f>SUM(N7:N215)</f>
        <v>13929373596</v>
      </c>
      <c r="O216" s="120">
        <f>(N216-FII!V3)/N216*100</f>
        <v>-16.499508991990712</v>
      </c>
    </row>
    <row r="217" spans="1:15" s="89" customFormat="1" ht="16.5" customHeight="1" x14ac:dyDescent="0.25">
      <c r="A217" s="118" t="s">
        <v>409</v>
      </c>
      <c r="B217" s="121">
        <f>B216/10000000</f>
        <v>2452.2018930999998</v>
      </c>
      <c r="C217" s="121">
        <f>C216/10000000</f>
        <v>11.597806</v>
      </c>
      <c r="D217" s="120">
        <f>D216</f>
        <v>0.47520226903253554</v>
      </c>
      <c r="E217" s="121">
        <f>E216/10000000</f>
        <v>1468.7211265999999</v>
      </c>
      <c r="F217" s="121">
        <f>F216/10000000</f>
        <v>3.6943858000000001</v>
      </c>
      <c r="G217" s="120">
        <f>G216</f>
        <v>0.25217190219904279</v>
      </c>
      <c r="H217" s="121">
        <f>H216/10000000</f>
        <v>605.52546099999995</v>
      </c>
      <c r="I217" s="121">
        <f>I216/10000000</f>
        <v>27.606555199999999</v>
      </c>
      <c r="J217" s="120">
        <f>J216</f>
        <v>4.7768908272320445</v>
      </c>
      <c r="K217" s="121">
        <f>K216/10000000</f>
        <v>377.95530550000001</v>
      </c>
      <c r="L217" s="121">
        <f>L216/10000000</f>
        <v>10.9764815</v>
      </c>
      <c r="M217" s="120">
        <f>M216</f>
        <v>2.9910394775258204</v>
      </c>
      <c r="N217" s="121">
        <f>N216/10000000</f>
        <v>1392.9373596</v>
      </c>
      <c r="O217" s="120">
        <f>O216</f>
        <v>-16.499508991990712</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1468.7211265999999</v>
      </c>
      <c r="C227" s="37">
        <f>F217</f>
        <v>3.6943858000000001</v>
      </c>
      <c r="D227" s="39">
        <f>C227/B227</f>
        <v>2.5153759506083219E-3</v>
      </c>
    </row>
    <row r="228" spans="1:4" x14ac:dyDescent="0.25">
      <c r="A228" s="36" t="s">
        <v>404</v>
      </c>
      <c r="B228" s="37">
        <f>H217</f>
        <v>605.52546099999995</v>
      </c>
      <c r="C228" s="37">
        <f>I217</f>
        <v>27.606555199999999</v>
      </c>
      <c r="D228" s="39">
        <f>C228/B228</f>
        <v>4.5591072511482721E-2</v>
      </c>
    </row>
    <row r="229" spans="1:4" x14ac:dyDescent="0.25">
      <c r="A229" s="36" t="s">
        <v>405</v>
      </c>
      <c r="B229" s="37">
        <f>K217</f>
        <v>377.95530550000001</v>
      </c>
      <c r="C229" s="37">
        <f>L217</f>
        <v>10.9764815</v>
      </c>
      <c r="D229" s="39">
        <f>C229/B229</f>
        <v>2.9041744725554593E-2</v>
      </c>
    </row>
    <row r="230" spans="1:4" x14ac:dyDescent="0.25">
      <c r="A230" s="36" t="s">
        <v>406</v>
      </c>
      <c r="B230" s="40">
        <f>SUM(B227:B229)</f>
        <v>2452.2018930999998</v>
      </c>
      <c r="C230" s="40">
        <f>SUM(C227:C229)</f>
        <v>42.2774225</v>
      </c>
      <c r="D230" s="41">
        <f>C230/B230</f>
        <v>1.724059614298485E-2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46029</v>
      </c>
      <c r="C6" s="76" t="s">
        <v>333</v>
      </c>
      <c r="D6" s="76" t="s">
        <v>328</v>
      </c>
      <c r="E6" s="3">
        <f>B6</f>
        <v>46029</v>
      </c>
      <c r="F6" s="76" t="s">
        <v>333</v>
      </c>
      <c r="G6" s="76" t="s">
        <v>328</v>
      </c>
      <c r="H6" s="3">
        <f>E6</f>
        <v>46029</v>
      </c>
      <c r="I6" s="76" t="s">
        <v>333</v>
      </c>
      <c r="J6" s="76" t="s">
        <v>328</v>
      </c>
      <c r="K6" s="3">
        <f>E6</f>
        <v>46029</v>
      </c>
      <c r="L6" s="76" t="s">
        <v>333</v>
      </c>
      <c r="M6" s="76" t="s">
        <v>328</v>
      </c>
      <c r="N6" s="76" t="s">
        <v>339</v>
      </c>
      <c r="O6" s="76" t="s">
        <v>328</v>
      </c>
    </row>
    <row r="7" spans="1:15" x14ac:dyDescent="0.25">
      <c r="A7" s="97" t="str">
        <f>'Data Vlaue (Cr)'!C2</f>
        <v>360ONE</v>
      </c>
      <c r="B7" s="142">
        <f>VLOOKUP(A7,'Data Vlaue (Cr)'!C2:CW215,99,0)</f>
        <v>497</v>
      </c>
      <c r="C7" s="90">
        <f>VLOOKUP(A7,'Data Vlaue (Cr)'!C2:CY215,101,0)</f>
        <v>-14</v>
      </c>
      <c r="D7" s="139">
        <f>VLOOKUP(A7,'Data Vlaue (Cr)'!C2:CZ215,102,0)</f>
        <v>-2.6599999999999999E-2</v>
      </c>
      <c r="E7" s="91">
        <f>VLOOKUP($A7,'Data Vlaue (Cr)'!$C:$FB,75)</f>
        <v>306</v>
      </c>
      <c r="F7" s="91">
        <f>VLOOKUP($A7,'Data Vlaue (Cr)'!$C:$FB,77)</f>
        <v>-13</v>
      </c>
      <c r="G7" s="92">
        <f>VLOOKUP(A7,'Data Vlaue (Cr)'!C2:CB215,78,0)</f>
        <v>-3.9300000000000002E-2</v>
      </c>
      <c r="H7" s="91">
        <f>VLOOKUP($A7,'Data Vlaue (Cr)'!$C:$FB,91)</f>
        <v>124</v>
      </c>
      <c r="I7" s="91">
        <f>VLOOKUP($A7,'Data Vlaue (Cr)'!$C:$FB,93)</f>
        <v>0</v>
      </c>
      <c r="J7" s="92">
        <f>VLOOKUP($A7,'Data Vlaue (Cr)'!$C:$FB,94)</f>
        <v>2.3999999999999998E-3</v>
      </c>
      <c r="K7" s="91">
        <f>VLOOKUP($A7,'Data Vlaue (Cr)'!$C:$FB,95)</f>
        <v>67</v>
      </c>
      <c r="L7" s="91">
        <f>VLOOKUP($A7,'Data Vlaue (Cr)'!$C:$FB,97)</f>
        <v>-1</v>
      </c>
      <c r="M7" s="92">
        <f>VLOOKUP($A7,'Data Vlaue (Cr)'!$C:$FB,98)</f>
        <v>-2.0199999999999999E-2</v>
      </c>
      <c r="N7" s="91">
        <f>VLOOKUP($A7,'Data Vlaue (Cr)'!$C:$FB,79)</f>
        <v>295</v>
      </c>
      <c r="O7" s="92">
        <f>VLOOKUP($A7,'Data Vlaue (Cr)'!$C:$FB,82)</f>
        <v>-5.16E-2</v>
      </c>
    </row>
    <row r="8" spans="1:15" x14ac:dyDescent="0.25">
      <c r="A8" s="97" t="str">
        <f>'Data Vlaue (Cr)'!C3</f>
        <v>ABB</v>
      </c>
      <c r="B8" s="142">
        <f>VLOOKUP(A8,'Data Vlaue (Cr)'!C3:CW216,99,0)</f>
        <v>1869</v>
      </c>
      <c r="C8" s="90">
        <f>VLOOKUP(A8,'Data Vlaue (Cr)'!C3:CY216,101,0)</f>
        <v>153</v>
      </c>
      <c r="D8" s="139">
        <f>VLOOKUP(A8,'Data Vlaue (Cr)'!C3:CZ216,102,0)</f>
        <v>8.8999999999999996E-2</v>
      </c>
      <c r="E8" s="91">
        <f>VLOOKUP($A8,'Data Vlaue (Cr)'!$C:$FB,75)</f>
        <v>1182</v>
      </c>
      <c r="F8" s="91">
        <f>VLOOKUP($A8,'Data Vlaue (Cr)'!$C:$FB,77)</f>
        <v>16</v>
      </c>
      <c r="G8" s="92">
        <f>VLOOKUP(A8,'Data Vlaue (Cr)'!C3:CB216,78,0)</f>
        <v>1.37E-2</v>
      </c>
      <c r="H8" s="91">
        <f>VLOOKUP($A8,'Data Vlaue (Cr)'!$C:$FB,91)</f>
        <v>416</v>
      </c>
      <c r="I8" s="91">
        <f>VLOOKUP($A8,'Data Vlaue (Cr)'!$C:$FB,93)</f>
        <v>117</v>
      </c>
      <c r="J8" s="92">
        <f>VLOOKUP($A8,'Data Vlaue (Cr)'!$C:$FB,94)</f>
        <v>0.39169999999999999</v>
      </c>
      <c r="K8" s="91">
        <f>VLOOKUP($A8,'Data Vlaue (Cr)'!$C:$FB,95)</f>
        <v>270</v>
      </c>
      <c r="L8" s="91">
        <f>VLOOKUP($A8,'Data Vlaue (Cr)'!$C:$FB,97)</f>
        <v>20</v>
      </c>
      <c r="M8" s="92">
        <f>VLOOKUP($A8,'Data Vlaue (Cr)'!$C:$FB,98)</f>
        <v>7.8299999999999995E-2</v>
      </c>
      <c r="N8" s="91">
        <f>VLOOKUP($A8,'Data Vlaue (Cr)'!$C:$FB,79)</f>
        <v>1137</v>
      </c>
      <c r="O8" s="92">
        <f>VLOOKUP($A8,'Data Vlaue (Cr)'!$C:$FB,82)</f>
        <v>0.01</v>
      </c>
    </row>
    <row r="9" spans="1:15" x14ac:dyDescent="0.25">
      <c r="A9" s="97" t="str">
        <f>'Data Vlaue (Cr)'!C4</f>
        <v>ABCAPITAL</v>
      </c>
      <c r="B9" s="142">
        <f>VLOOKUP(A9,'Data Vlaue (Cr)'!C4:CW217,99,0)</f>
        <v>4183</v>
      </c>
      <c r="C9" s="90">
        <f>VLOOKUP(A9,'Data Vlaue (Cr)'!C4:CY217,101,0)</f>
        <v>37</v>
      </c>
      <c r="D9" s="139">
        <f>VLOOKUP(A9,'Data Vlaue (Cr)'!C4:CZ217,102,0)</f>
        <v>8.8000000000000005E-3</v>
      </c>
      <c r="E9" s="91">
        <f>VLOOKUP($A9,'Data Vlaue (Cr)'!$C:$FB,75)</f>
        <v>2898</v>
      </c>
      <c r="F9" s="91">
        <f>VLOOKUP($A9,'Data Vlaue (Cr)'!$C:$FB,77)</f>
        <v>41</v>
      </c>
      <c r="G9" s="92">
        <f>VLOOKUP(A9,'Data Vlaue (Cr)'!C4:CB217,78,0)</f>
        <v>1.4500000000000001E-2</v>
      </c>
      <c r="H9" s="91">
        <f>VLOOKUP($A9,'Data Vlaue (Cr)'!$C:$FB,91)</f>
        <v>883</v>
      </c>
      <c r="I9" s="91">
        <f>VLOOKUP($A9,'Data Vlaue (Cr)'!$C:$FB,93)</f>
        <v>-21</v>
      </c>
      <c r="J9" s="92">
        <f>VLOOKUP($A9,'Data Vlaue (Cr)'!$C:$FB,94)</f>
        <v>-2.3599999999999999E-2</v>
      </c>
      <c r="K9" s="91">
        <f>VLOOKUP($A9,'Data Vlaue (Cr)'!$C:$FB,95)</f>
        <v>402</v>
      </c>
      <c r="L9" s="91">
        <f>VLOOKUP($A9,'Data Vlaue (Cr)'!$C:$FB,97)</f>
        <v>17</v>
      </c>
      <c r="M9" s="92">
        <f>VLOOKUP($A9,'Data Vlaue (Cr)'!$C:$FB,98)</f>
        <v>4.2799999999999998E-2</v>
      </c>
      <c r="N9" s="91">
        <f>VLOOKUP($A9,'Data Vlaue (Cr)'!$C:$FB,79)</f>
        <v>2837</v>
      </c>
      <c r="O9" s="92">
        <f>VLOOKUP($A9,'Data Vlaue (Cr)'!$C:$FB,82)</f>
        <v>7.3000000000000001E-3</v>
      </c>
    </row>
    <row r="10" spans="1:15" x14ac:dyDescent="0.25">
      <c r="A10" s="97" t="str">
        <f>'Data Vlaue (Cr)'!C5</f>
        <v>ADANIENSOL</v>
      </c>
      <c r="B10" s="142">
        <f>VLOOKUP(A10,'Data Vlaue (Cr)'!C5:CW218,99,0)</f>
        <v>2367</v>
      </c>
      <c r="C10" s="90">
        <f>VLOOKUP(A10,'Data Vlaue (Cr)'!C5:CY218,101,0)</f>
        <v>5</v>
      </c>
      <c r="D10" s="139">
        <f>VLOOKUP(A10,'Data Vlaue (Cr)'!C5:CZ218,102,0)</f>
        <v>2.2000000000000001E-3</v>
      </c>
      <c r="E10" s="91">
        <f>VLOOKUP($A10,'Data Vlaue (Cr)'!$C:$FB,75)</f>
        <v>1777</v>
      </c>
      <c r="F10" s="91">
        <f>VLOOKUP($A10,'Data Vlaue (Cr)'!$C:$FB,77)</f>
        <v>-6</v>
      </c>
      <c r="G10" s="92">
        <f>VLOOKUP(A10,'Data Vlaue (Cr)'!C5:CB218,78,0)</f>
        <v>-3.3999999999999998E-3</v>
      </c>
      <c r="H10" s="91">
        <f>VLOOKUP($A10,'Data Vlaue (Cr)'!$C:$FB,91)</f>
        <v>373</v>
      </c>
      <c r="I10" s="91">
        <f>VLOOKUP($A10,'Data Vlaue (Cr)'!$C:$FB,93)</f>
        <v>9</v>
      </c>
      <c r="J10" s="92">
        <f>VLOOKUP($A10,'Data Vlaue (Cr)'!$C:$FB,94)</f>
        <v>2.46E-2</v>
      </c>
      <c r="K10" s="91">
        <f>VLOOKUP($A10,'Data Vlaue (Cr)'!$C:$FB,95)</f>
        <v>217</v>
      </c>
      <c r="L10" s="91">
        <f>VLOOKUP($A10,'Data Vlaue (Cr)'!$C:$FB,97)</f>
        <v>2</v>
      </c>
      <c r="M10" s="92">
        <f>VLOOKUP($A10,'Data Vlaue (Cr)'!$C:$FB,98)</f>
        <v>1.11E-2</v>
      </c>
      <c r="N10" s="91">
        <f>VLOOKUP($A10,'Data Vlaue (Cr)'!$C:$FB,79)</f>
        <v>1758</v>
      </c>
      <c r="O10" s="92">
        <f>VLOOKUP($A10,'Data Vlaue (Cr)'!$C:$FB,82)</f>
        <v>-4.1000000000000003E-3</v>
      </c>
    </row>
    <row r="11" spans="1:15" x14ac:dyDescent="0.25">
      <c r="A11" s="97" t="str">
        <f>'Data Vlaue (Cr)'!C6</f>
        <v>ADANIENT</v>
      </c>
      <c r="B11" s="142">
        <f>VLOOKUP(A11,'Data Vlaue (Cr)'!C6:CW219,99,0)</f>
        <v>7821</v>
      </c>
      <c r="C11" s="90">
        <f>VLOOKUP(A11,'Data Vlaue (Cr)'!C6:CY219,101,0)</f>
        <v>85</v>
      </c>
      <c r="D11" s="139">
        <f>VLOOKUP(A11,'Data Vlaue (Cr)'!C6:CZ219,102,0)</f>
        <v>1.0999999999999999E-2</v>
      </c>
      <c r="E11" s="91">
        <f>VLOOKUP($A11,'Data Vlaue (Cr)'!$C:$FB,75)</f>
        <v>4871</v>
      </c>
      <c r="F11" s="91">
        <f>VLOOKUP($A11,'Data Vlaue (Cr)'!$C:$FB,77)</f>
        <v>4</v>
      </c>
      <c r="G11" s="92">
        <f>VLOOKUP(A11,'Data Vlaue (Cr)'!C6:CB219,78,0)</f>
        <v>8.0000000000000004E-4</v>
      </c>
      <c r="H11" s="91">
        <f>VLOOKUP($A11,'Data Vlaue (Cr)'!$C:$FB,91)</f>
        <v>1598</v>
      </c>
      <c r="I11" s="91">
        <f>VLOOKUP($A11,'Data Vlaue (Cr)'!$C:$FB,93)</f>
        <v>59</v>
      </c>
      <c r="J11" s="92">
        <f>VLOOKUP($A11,'Data Vlaue (Cr)'!$C:$FB,94)</f>
        <v>3.8699999999999998E-2</v>
      </c>
      <c r="K11" s="91">
        <f>VLOOKUP($A11,'Data Vlaue (Cr)'!$C:$FB,95)</f>
        <v>1351</v>
      </c>
      <c r="L11" s="91">
        <f>VLOOKUP($A11,'Data Vlaue (Cr)'!$C:$FB,97)</f>
        <v>22</v>
      </c>
      <c r="M11" s="92">
        <f>VLOOKUP($A11,'Data Vlaue (Cr)'!$C:$FB,98)</f>
        <v>1.6500000000000001E-2</v>
      </c>
      <c r="N11" s="91">
        <f>VLOOKUP($A11,'Data Vlaue (Cr)'!$C:$FB,79)</f>
        <v>4640</v>
      </c>
      <c r="O11" s="92">
        <f>VLOOKUP($A11,'Data Vlaue (Cr)'!$C:$FB,82)</f>
        <v>-2E-3</v>
      </c>
    </row>
    <row r="12" spans="1:15" x14ac:dyDescent="0.25">
      <c r="A12" s="97" t="str">
        <f>'Data Vlaue (Cr)'!C7</f>
        <v>ADANIGREEN</v>
      </c>
      <c r="B12" s="142">
        <f>VLOOKUP(A12,'Data Vlaue (Cr)'!C7:CW220,99,0)</f>
        <v>3512</v>
      </c>
      <c r="C12" s="90">
        <f>VLOOKUP(A12,'Data Vlaue (Cr)'!C7:CY220,101,0)</f>
        <v>27</v>
      </c>
      <c r="D12" s="139">
        <f>VLOOKUP(A12,'Data Vlaue (Cr)'!C7:CZ220,102,0)</f>
        <v>7.7999999999999996E-3</v>
      </c>
      <c r="E12" s="91">
        <f>VLOOKUP($A12,'Data Vlaue (Cr)'!$C:$FB,75)</f>
        <v>2420</v>
      </c>
      <c r="F12" s="91">
        <f>VLOOKUP($A12,'Data Vlaue (Cr)'!$C:$FB,77)</f>
        <v>-3</v>
      </c>
      <c r="G12" s="92">
        <f>VLOOKUP(A12,'Data Vlaue (Cr)'!C7:CB220,78,0)</f>
        <v>-1.1000000000000001E-3</v>
      </c>
      <c r="H12" s="91">
        <f>VLOOKUP($A12,'Data Vlaue (Cr)'!$C:$FB,91)</f>
        <v>682</v>
      </c>
      <c r="I12" s="91">
        <f>VLOOKUP($A12,'Data Vlaue (Cr)'!$C:$FB,93)</f>
        <v>21</v>
      </c>
      <c r="J12" s="92">
        <f>VLOOKUP($A12,'Data Vlaue (Cr)'!$C:$FB,94)</f>
        <v>3.1600000000000003E-2</v>
      </c>
      <c r="K12" s="91">
        <f>VLOOKUP($A12,'Data Vlaue (Cr)'!$C:$FB,95)</f>
        <v>411</v>
      </c>
      <c r="L12" s="91">
        <f>VLOOKUP($A12,'Data Vlaue (Cr)'!$C:$FB,97)</f>
        <v>9</v>
      </c>
      <c r="M12" s="92">
        <f>VLOOKUP($A12,'Data Vlaue (Cr)'!$C:$FB,98)</f>
        <v>2.18E-2</v>
      </c>
      <c r="N12" s="91">
        <f>VLOOKUP($A12,'Data Vlaue (Cr)'!$C:$FB,79)</f>
        <v>2363</v>
      </c>
      <c r="O12" s="92">
        <f>VLOOKUP($A12,'Data Vlaue (Cr)'!$C:$FB,82)</f>
        <v>-3.2000000000000002E-3</v>
      </c>
    </row>
    <row r="13" spans="1:15" x14ac:dyDescent="0.25">
      <c r="A13" s="97" t="str">
        <f>'Data Vlaue (Cr)'!C8</f>
        <v>ADANIPORTS</v>
      </c>
      <c r="B13" s="142">
        <f>VLOOKUP(A13,'Data Vlaue (Cr)'!C8:CW221,99,0)</f>
        <v>5440</v>
      </c>
      <c r="C13" s="90">
        <f>VLOOKUP(A13,'Data Vlaue (Cr)'!C8:CY221,101,0)</f>
        <v>133</v>
      </c>
      <c r="D13" s="139">
        <f>VLOOKUP(A13,'Data Vlaue (Cr)'!C8:CZ221,102,0)</f>
        <v>2.5100000000000001E-2</v>
      </c>
      <c r="E13" s="91">
        <f>VLOOKUP($A13,'Data Vlaue (Cr)'!$C:$FB,75)</f>
        <v>3814</v>
      </c>
      <c r="F13" s="91">
        <f>VLOOKUP($A13,'Data Vlaue (Cr)'!$C:$FB,77)</f>
        <v>82</v>
      </c>
      <c r="G13" s="92">
        <f>VLOOKUP(A13,'Data Vlaue (Cr)'!C8:CB221,78,0)</f>
        <v>2.1999999999999999E-2</v>
      </c>
      <c r="H13" s="91">
        <f>VLOOKUP($A13,'Data Vlaue (Cr)'!$C:$FB,91)</f>
        <v>947</v>
      </c>
      <c r="I13" s="91">
        <f>VLOOKUP($A13,'Data Vlaue (Cr)'!$C:$FB,93)</f>
        <v>49</v>
      </c>
      <c r="J13" s="92">
        <f>VLOOKUP($A13,'Data Vlaue (Cr)'!$C:$FB,94)</f>
        <v>5.4800000000000001E-2</v>
      </c>
      <c r="K13" s="91">
        <f>VLOOKUP($A13,'Data Vlaue (Cr)'!$C:$FB,95)</f>
        <v>679</v>
      </c>
      <c r="L13" s="91">
        <f>VLOOKUP($A13,'Data Vlaue (Cr)'!$C:$FB,97)</f>
        <v>2</v>
      </c>
      <c r="M13" s="92">
        <f>VLOOKUP($A13,'Data Vlaue (Cr)'!$C:$FB,98)</f>
        <v>2.5999999999999999E-3</v>
      </c>
      <c r="N13" s="91">
        <f>VLOOKUP($A13,'Data Vlaue (Cr)'!$C:$FB,79)</f>
        <v>3688</v>
      </c>
      <c r="O13" s="92">
        <f>VLOOKUP($A13,'Data Vlaue (Cr)'!$C:$FB,82)</f>
        <v>1.95E-2</v>
      </c>
    </row>
    <row r="14" spans="1:15" x14ac:dyDescent="0.25">
      <c r="A14" s="97" t="str">
        <f>'Data Vlaue (Cr)'!C9</f>
        <v>ALKEM</v>
      </c>
      <c r="B14" s="142">
        <f>VLOOKUP(A14,'Data Vlaue (Cr)'!C9:CW222,99,0)</f>
        <v>1087</v>
      </c>
      <c r="C14" s="90">
        <f>VLOOKUP(A14,'Data Vlaue (Cr)'!C9:CY222,101,0)</f>
        <v>48</v>
      </c>
      <c r="D14" s="139">
        <f>VLOOKUP(A14,'Data Vlaue (Cr)'!C9:CZ222,102,0)</f>
        <v>4.5900000000000003E-2</v>
      </c>
      <c r="E14" s="91">
        <f>VLOOKUP($A14,'Data Vlaue (Cr)'!$C:$FB,75)</f>
        <v>877</v>
      </c>
      <c r="F14" s="91">
        <f>VLOOKUP($A14,'Data Vlaue (Cr)'!$C:$FB,77)</f>
        <v>3</v>
      </c>
      <c r="G14" s="92">
        <f>VLOOKUP(A14,'Data Vlaue (Cr)'!C9:CB222,78,0)</f>
        <v>3.2000000000000002E-3</v>
      </c>
      <c r="H14" s="91">
        <f>VLOOKUP($A14,'Data Vlaue (Cr)'!$C:$FB,91)</f>
        <v>123</v>
      </c>
      <c r="I14" s="91">
        <f>VLOOKUP($A14,'Data Vlaue (Cr)'!$C:$FB,93)</f>
        <v>30</v>
      </c>
      <c r="J14" s="92">
        <f>VLOOKUP($A14,'Data Vlaue (Cr)'!$C:$FB,94)</f>
        <v>0.32450000000000001</v>
      </c>
      <c r="K14" s="91">
        <f>VLOOKUP($A14,'Data Vlaue (Cr)'!$C:$FB,95)</f>
        <v>87</v>
      </c>
      <c r="L14" s="91">
        <f>VLOOKUP($A14,'Data Vlaue (Cr)'!$C:$FB,97)</f>
        <v>15</v>
      </c>
      <c r="M14" s="92">
        <f>VLOOKUP($A14,'Data Vlaue (Cr)'!$C:$FB,98)</f>
        <v>0.20399999999999999</v>
      </c>
      <c r="N14" s="91">
        <f>VLOOKUP($A14,'Data Vlaue (Cr)'!$C:$FB,79)</f>
        <v>869</v>
      </c>
      <c r="O14" s="92">
        <f>VLOOKUP($A14,'Data Vlaue (Cr)'!$C:$FB,82)</f>
        <v>3.2000000000000002E-3</v>
      </c>
    </row>
    <row r="15" spans="1:15" x14ac:dyDescent="0.25">
      <c r="A15" s="97" t="str">
        <f>'Data Vlaue (Cr)'!C10</f>
        <v>AMBER</v>
      </c>
      <c r="B15" s="142">
        <f>VLOOKUP(A15,'Data Vlaue (Cr)'!C10:CW223,99,0)</f>
        <v>1154</v>
      </c>
      <c r="C15" s="90">
        <f>VLOOKUP(A15,'Data Vlaue (Cr)'!C10:CY223,101,0)</f>
        <v>34</v>
      </c>
      <c r="D15" s="139">
        <f>VLOOKUP(A15,'Data Vlaue (Cr)'!C10:CZ223,102,0)</f>
        <v>0.03</v>
      </c>
      <c r="E15" s="91">
        <f>VLOOKUP($A15,'Data Vlaue (Cr)'!$C:$FB,75)</f>
        <v>627</v>
      </c>
      <c r="F15" s="91">
        <f>VLOOKUP($A15,'Data Vlaue (Cr)'!$C:$FB,77)</f>
        <v>5</v>
      </c>
      <c r="G15" s="92">
        <f>VLOOKUP(A15,'Data Vlaue (Cr)'!C10:CB223,78,0)</f>
        <v>8.3000000000000001E-3</v>
      </c>
      <c r="H15" s="91">
        <f>VLOOKUP($A15,'Data Vlaue (Cr)'!$C:$FB,91)</f>
        <v>307</v>
      </c>
      <c r="I15" s="91">
        <f>VLOOKUP($A15,'Data Vlaue (Cr)'!$C:$FB,93)</f>
        <v>28</v>
      </c>
      <c r="J15" s="92">
        <f>VLOOKUP($A15,'Data Vlaue (Cr)'!$C:$FB,94)</f>
        <v>0.1021</v>
      </c>
      <c r="K15" s="91">
        <f>VLOOKUP($A15,'Data Vlaue (Cr)'!$C:$FB,95)</f>
        <v>220</v>
      </c>
      <c r="L15" s="91">
        <f>VLOOKUP($A15,'Data Vlaue (Cr)'!$C:$FB,97)</f>
        <v>0</v>
      </c>
      <c r="M15" s="92">
        <f>VLOOKUP($A15,'Data Vlaue (Cr)'!$C:$FB,98)</f>
        <v>2.9999999999999997E-4</v>
      </c>
      <c r="N15" s="91">
        <f>VLOOKUP($A15,'Data Vlaue (Cr)'!$C:$FB,79)</f>
        <v>586</v>
      </c>
      <c r="O15" s="92">
        <f>VLOOKUP($A15,'Data Vlaue (Cr)'!$C:$FB,82)</f>
        <v>2.2000000000000001E-3</v>
      </c>
    </row>
    <row r="16" spans="1:15" x14ac:dyDescent="0.25">
      <c r="A16" s="97" t="str">
        <f>'Data Vlaue (Cr)'!C11</f>
        <v>AMBUJACEM</v>
      </c>
      <c r="B16" s="142">
        <f>VLOOKUP(A16,'Data Vlaue (Cr)'!C11:CW224,99,0)</f>
        <v>4184</v>
      </c>
      <c r="C16" s="90">
        <f>VLOOKUP(A16,'Data Vlaue (Cr)'!C11:CY224,101,0)</f>
        <v>10</v>
      </c>
      <c r="D16" s="139">
        <f>VLOOKUP(A16,'Data Vlaue (Cr)'!C11:CZ224,102,0)</f>
        <v>2.3999999999999998E-3</v>
      </c>
      <c r="E16" s="91">
        <f>VLOOKUP($A16,'Data Vlaue (Cr)'!$C:$FB,75)</f>
        <v>2923</v>
      </c>
      <c r="F16" s="91">
        <f>VLOOKUP($A16,'Data Vlaue (Cr)'!$C:$FB,77)</f>
        <v>12</v>
      </c>
      <c r="G16" s="92">
        <f>VLOOKUP(A16,'Data Vlaue (Cr)'!C11:CB224,78,0)</f>
        <v>4.0000000000000001E-3</v>
      </c>
      <c r="H16" s="91">
        <f>VLOOKUP($A16,'Data Vlaue (Cr)'!$C:$FB,91)</f>
        <v>663</v>
      </c>
      <c r="I16" s="91">
        <f>VLOOKUP($A16,'Data Vlaue (Cr)'!$C:$FB,93)</f>
        <v>-1</v>
      </c>
      <c r="J16" s="92">
        <f>VLOOKUP($A16,'Data Vlaue (Cr)'!$C:$FB,94)</f>
        <v>-2.0999999999999999E-3</v>
      </c>
      <c r="K16" s="91">
        <f>VLOOKUP($A16,'Data Vlaue (Cr)'!$C:$FB,95)</f>
        <v>598</v>
      </c>
      <c r="L16" s="91">
        <f>VLOOKUP($A16,'Data Vlaue (Cr)'!$C:$FB,97)</f>
        <v>0</v>
      </c>
      <c r="M16" s="92">
        <f>VLOOKUP($A16,'Data Vlaue (Cr)'!$C:$FB,98)</f>
        <v>-2.9999999999999997E-4</v>
      </c>
      <c r="N16" s="91">
        <f>VLOOKUP($A16,'Data Vlaue (Cr)'!$C:$FB,79)</f>
        <v>2865</v>
      </c>
      <c r="O16" s="92">
        <f>VLOOKUP($A16,'Data Vlaue (Cr)'!$C:$FB,82)</f>
        <v>3.3E-3</v>
      </c>
    </row>
    <row r="17" spans="1:15" x14ac:dyDescent="0.25">
      <c r="A17" s="97" t="str">
        <f>'Data Vlaue (Cr)'!C12</f>
        <v>ANGELONE</v>
      </c>
      <c r="B17" s="142">
        <f>VLOOKUP(A17,'Data Vlaue (Cr)'!C12:CW225,99,0)</f>
        <v>1956</v>
      </c>
      <c r="C17" s="90">
        <f>VLOOKUP(A17,'Data Vlaue (Cr)'!C12:CY225,101,0)</f>
        <v>-31</v>
      </c>
      <c r="D17" s="139">
        <f>VLOOKUP(A17,'Data Vlaue (Cr)'!C12:CZ225,102,0)</f>
        <v>-1.5800000000000002E-2</v>
      </c>
      <c r="E17" s="91">
        <f>VLOOKUP($A17,'Data Vlaue (Cr)'!$C:$FB,75)</f>
        <v>989</v>
      </c>
      <c r="F17" s="91">
        <f>VLOOKUP($A17,'Data Vlaue (Cr)'!$C:$FB,77)</f>
        <v>-12</v>
      </c>
      <c r="G17" s="92">
        <f>VLOOKUP(A17,'Data Vlaue (Cr)'!C12:CB225,78,0)</f>
        <v>-1.1900000000000001E-2</v>
      </c>
      <c r="H17" s="91">
        <f>VLOOKUP($A17,'Data Vlaue (Cr)'!$C:$FB,91)</f>
        <v>483</v>
      </c>
      <c r="I17" s="91">
        <f>VLOOKUP($A17,'Data Vlaue (Cr)'!$C:$FB,93)</f>
        <v>-43</v>
      </c>
      <c r="J17" s="92">
        <f>VLOOKUP($A17,'Data Vlaue (Cr)'!$C:$FB,94)</f>
        <v>-8.1000000000000003E-2</v>
      </c>
      <c r="K17" s="91">
        <f>VLOOKUP($A17,'Data Vlaue (Cr)'!$C:$FB,95)</f>
        <v>484</v>
      </c>
      <c r="L17" s="91">
        <f>VLOOKUP($A17,'Data Vlaue (Cr)'!$C:$FB,97)</f>
        <v>23</v>
      </c>
      <c r="M17" s="92">
        <f>VLOOKUP($A17,'Data Vlaue (Cr)'!$C:$FB,98)</f>
        <v>5.0099999999999999E-2</v>
      </c>
      <c r="N17" s="91">
        <f>VLOOKUP($A17,'Data Vlaue (Cr)'!$C:$FB,79)</f>
        <v>930</v>
      </c>
      <c r="O17" s="92">
        <f>VLOOKUP($A17,'Data Vlaue (Cr)'!$C:$FB,82)</f>
        <v>-1.6199999999999999E-2</v>
      </c>
    </row>
    <row r="18" spans="1:15" x14ac:dyDescent="0.25">
      <c r="A18" s="97" t="str">
        <f>'Data Vlaue (Cr)'!C13</f>
        <v>APLAPOLLO</v>
      </c>
      <c r="B18" s="142">
        <f>VLOOKUP(A18,'Data Vlaue (Cr)'!C13:CW226,99,0)</f>
        <v>2286</v>
      </c>
      <c r="C18" s="90">
        <f>VLOOKUP(A18,'Data Vlaue (Cr)'!C13:CY226,101,0)</f>
        <v>-5</v>
      </c>
      <c r="D18" s="139">
        <f>VLOOKUP(A18,'Data Vlaue (Cr)'!C13:CZ226,102,0)</f>
        <v>-2.2000000000000001E-3</v>
      </c>
      <c r="E18" s="91">
        <f>VLOOKUP($A18,'Data Vlaue (Cr)'!$C:$FB,75)</f>
        <v>1929</v>
      </c>
      <c r="F18" s="91">
        <f>VLOOKUP($A18,'Data Vlaue (Cr)'!$C:$FB,77)</f>
        <v>-11</v>
      </c>
      <c r="G18" s="92">
        <f>VLOOKUP(A18,'Data Vlaue (Cr)'!C13:CB226,78,0)</f>
        <v>-5.5999999999999999E-3</v>
      </c>
      <c r="H18" s="91">
        <f>VLOOKUP($A18,'Data Vlaue (Cr)'!$C:$FB,91)</f>
        <v>231</v>
      </c>
      <c r="I18" s="91">
        <f>VLOOKUP($A18,'Data Vlaue (Cr)'!$C:$FB,93)</f>
        <v>4</v>
      </c>
      <c r="J18" s="92">
        <f>VLOOKUP($A18,'Data Vlaue (Cr)'!$C:$FB,94)</f>
        <v>1.5699999999999999E-2</v>
      </c>
      <c r="K18" s="91">
        <f>VLOOKUP($A18,'Data Vlaue (Cr)'!$C:$FB,95)</f>
        <v>126</v>
      </c>
      <c r="L18" s="91">
        <f>VLOOKUP($A18,'Data Vlaue (Cr)'!$C:$FB,97)</f>
        <v>2</v>
      </c>
      <c r="M18" s="92">
        <f>VLOOKUP($A18,'Data Vlaue (Cr)'!$C:$FB,98)</f>
        <v>1.83E-2</v>
      </c>
      <c r="N18" s="91">
        <f>VLOOKUP($A18,'Data Vlaue (Cr)'!$C:$FB,79)</f>
        <v>1913</v>
      </c>
      <c r="O18" s="92">
        <f>VLOOKUP($A18,'Data Vlaue (Cr)'!$C:$FB,82)</f>
        <v>-5.7000000000000002E-3</v>
      </c>
    </row>
    <row r="19" spans="1:15" x14ac:dyDescent="0.25">
      <c r="A19" s="97" t="str">
        <f>'Data Vlaue (Cr)'!C14</f>
        <v>APOLLOHOSP</v>
      </c>
      <c r="B19" s="142">
        <f>VLOOKUP(A19,'Data Vlaue (Cr)'!C14:CW227,99,0)</f>
        <v>4068</v>
      </c>
      <c r="C19" s="90">
        <f>VLOOKUP(A19,'Data Vlaue (Cr)'!C14:CY227,101,0)</f>
        <v>280</v>
      </c>
      <c r="D19" s="139">
        <f>VLOOKUP(A19,'Data Vlaue (Cr)'!C14:CZ227,102,0)</f>
        <v>7.3999999999999996E-2</v>
      </c>
      <c r="E19" s="91">
        <f>VLOOKUP($A19,'Data Vlaue (Cr)'!$C:$FB,75)</f>
        <v>2280</v>
      </c>
      <c r="F19" s="91">
        <f>VLOOKUP($A19,'Data Vlaue (Cr)'!$C:$FB,77)</f>
        <v>52</v>
      </c>
      <c r="G19" s="92">
        <f>VLOOKUP(A19,'Data Vlaue (Cr)'!C14:CB227,78,0)</f>
        <v>2.3400000000000001E-2</v>
      </c>
      <c r="H19" s="91">
        <f>VLOOKUP($A19,'Data Vlaue (Cr)'!$C:$FB,91)</f>
        <v>905</v>
      </c>
      <c r="I19" s="91">
        <f>VLOOKUP($A19,'Data Vlaue (Cr)'!$C:$FB,93)</f>
        <v>64</v>
      </c>
      <c r="J19" s="92">
        <f>VLOOKUP($A19,'Data Vlaue (Cr)'!$C:$FB,94)</f>
        <v>7.5800000000000006E-2</v>
      </c>
      <c r="K19" s="91">
        <f>VLOOKUP($A19,'Data Vlaue (Cr)'!$C:$FB,95)</f>
        <v>883</v>
      </c>
      <c r="L19" s="91">
        <f>VLOOKUP($A19,'Data Vlaue (Cr)'!$C:$FB,97)</f>
        <v>164</v>
      </c>
      <c r="M19" s="92">
        <f>VLOOKUP($A19,'Data Vlaue (Cr)'!$C:$FB,98)</f>
        <v>0.22850000000000001</v>
      </c>
      <c r="N19" s="91">
        <f>VLOOKUP($A19,'Data Vlaue (Cr)'!$C:$FB,79)</f>
        <v>2232</v>
      </c>
      <c r="O19" s="92">
        <f>VLOOKUP($A19,'Data Vlaue (Cr)'!$C:$FB,82)</f>
        <v>2.23E-2</v>
      </c>
    </row>
    <row r="20" spans="1:15" x14ac:dyDescent="0.25">
      <c r="A20" s="97" t="str">
        <f>'Data Vlaue (Cr)'!C15</f>
        <v>ASHOKLEY</v>
      </c>
      <c r="B20" s="142">
        <f>VLOOKUP(A20,'Data Vlaue (Cr)'!C15:CW228,99,0)</f>
        <v>5157</v>
      </c>
      <c r="C20" s="90">
        <f>VLOOKUP(A20,'Data Vlaue (Cr)'!C15:CY228,101,0)</f>
        <v>6</v>
      </c>
      <c r="D20" s="139">
        <f>VLOOKUP(A20,'Data Vlaue (Cr)'!C15:CZ228,102,0)</f>
        <v>1.1999999999999999E-3</v>
      </c>
      <c r="E20" s="91">
        <f>VLOOKUP($A20,'Data Vlaue (Cr)'!$C:$FB,75)</f>
        <v>3236</v>
      </c>
      <c r="F20" s="91">
        <f>VLOOKUP($A20,'Data Vlaue (Cr)'!$C:$FB,77)</f>
        <v>-7</v>
      </c>
      <c r="G20" s="92">
        <f>VLOOKUP(A20,'Data Vlaue (Cr)'!C15:CB228,78,0)</f>
        <v>-2.0999999999999999E-3</v>
      </c>
      <c r="H20" s="91">
        <f>VLOOKUP($A20,'Data Vlaue (Cr)'!$C:$FB,91)</f>
        <v>1110</v>
      </c>
      <c r="I20" s="91">
        <f>VLOOKUP($A20,'Data Vlaue (Cr)'!$C:$FB,93)</f>
        <v>-2</v>
      </c>
      <c r="J20" s="92">
        <f>VLOOKUP($A20,'Data Vlaue (Cr)'!$C:$FB,94)</f>
        <v>-1.8E-3</v>
      </c>
      <c r="K20" s="91">
        <f>VLOOKUP($A20,'Data Vlaue (Cr)'!$C:$FB,95)</f>
        <v>811</v>
      </c>
      <c r="L20" s="91">
        <f>VLOOKUP($A20,'Data Vlaue (Cr)'!$C:$FB,97)</f>
        <v>15</v>
      </c>
      <c r="M20" s="92">
        <f>VLOOKUP($A20,'Data Vlaue (Cr)'!$C:$FB,98)</f>
        <v>1.9300000000000001E-2</v>
      </c>
      <c r="N20" s="91">
        <f>VLOOKUP($A20,'Data Vlaue (Cr)'!$C:$FB,79)</f>
        <v>3128</v>
      </c>
      <c r="O20" s="92">
        <f>VLOOKUP($A20,'Data Vlaue (Cr)'!$C:$FB,82)</f>
        <v>-1.38E-2</v>
      </c>
    </row>
    <row r="21" spans="1:15" x14ac:dyDescent="0.25">
      <c r="A21" s="97" t="str">
        <f>'Data Vlaue (Cr)'!C16</f>
        <v>ASIANPAINT</v>
      </c>
      <c r="B21" s="142">
        <f>VLOOKUP(A21,'Data Vlaue (Cr)'!C16:CW229,99,0)</f>
        <v>5855</v>
      </c>
      <c r="C21" s="90">
        <f>VLOOKUP(A21,'Data Vlaue (Cr)'!C16:CY229,101,0)</f>
        <v>93</v>
      </c>
      <c r="D21" s="139">
        <f>VLOOKUP(A21,'Data Vlaue (Cr)'!C16:CZ229,102,0)</f>
        <v>1.61E-2</v>
      </c>
      <c r="E21" s="91">
        <f>VLOOKUP($A21,'Data Vlaue (Cr)'!$C:$FB,75)</f>
        <v>3762</v>
      </c>
      <c r="F21" s="91">
        <f>VLOOKUP($A21,'Data Vlaue (Cr)'!$C:$FB,77)</f>
        <v>25</v>
      </c>
      <c r="G21" s="92">
        <f>VLOOKUP(A21,'Data Vlaue (Cr)'!C16:CB229,78,0)</f>
        <v>6.7999999999999996E-3</v>
      </c>
      <c r="H21" s="91">
        <f>VLOOKUP($A21,'Data Vlaue (Cr)'!$C:$FB,91)</f>
        <v>1212</v>
      </c>
      <c r="I21" s="91">
        <f>VLOOKUP($A21,'Data Vlaue (Cr)'!$C:$FB,93)</f>
        <v>37</v>
      </c>
      <c r="J21" s="92">
        <f>VLOOKUP($A21,'Data Vlaue (Cr)'!$C:$FB,94)</f>
        <v>3.1800000000000002E-2</v>
      </c>
      <c r="K21" s="91">
        <f>VLOOKUP($A21,'Data Vlaue (Cr)'!$C:$FB,95)</f>
        <v>881</v>
      </c>
      <c r="L21" s="91">
        <f>VLOOKUP($A21,'Data Vlaue (Cr)'!$C:$FB,97)</f>
        <v>30</v>
      </c>
      <c r="M21" s="92">
        <f>VLOOKUP($A21,'Data Vlaue (Cr)'!$C:$FB,98)</f>
        <v>3.5200000000000002E-2</v>
      </c>
      <c r="N21" s="91">
        <f>VLOOKUP($A21,'Data Vlaue (Cr)'!$C:$FB,79)</f>
        <v>3682</v>
      </c>
      <c r="O21" s="92">
        <f>VLOOKUP($A21,'Data Vlaue (Cr)'!$C:$FB,82)</f>
        <v>6.1000000000000004E-3</v>
      </c>
    </row>
    <row r="22" spans="1:15" x14ac:dyDescent="0.25">
      <c r="A22" s="97" t="str">
        <f>'Data Vlaue (Cr)'!C17</f>
        <v>ASTRAL</v>
      </c>
      <c r="B22" s="142">
        <f>VLOOKUP(A22,'Data Vlaue (Cr)'!C17:CW230,99,0)</f>
        <v>1721</v>
      </c>
      <c r="C22" s="90">
        <f>VLOOKUP(A22,'Data Vlaue (Cr)'!C17:CY230,101,0)</f>
        <v>25</v>
      </c>
      <c r="D22" s="139">
        <f>VLOOKUP(A22,'Data Vlaue (Cr)'!C17:CZ230,102,0)</f>
        <v>1.4500000000000001E-2</v>
      </c>
      <c r="E22" s="91">
        <f>VLOOKUP($A22,'Data Vlaue (Cr)'!$C:$FB,75)</f>
        <v>1063</v>
      </c>
      <c r="F22" s="91">
        <f>VLOOKUP($A22,'Data Vlaue (Cr)'!$C:$FB,77)</f>
        <v>-8</v>
      </c>
      <c r="G22" s="92">
        <f>VLOOKUP(A22,'Data Vlaue (Cr)'!C17:CB230,78,0)</f>
        <v>-7.3000000000000001E-3</v>
      </c>
      <c r="H22" s="91">
        <f>VLOOKUP($A22,'Data Vlaue (Cr)'!$C:$FB,91)</f>
        <v>374</v>
      </c>
      <c r="I22" s="91">
        <f>VLOOKUP($A22,'Data Vlaue (Cr)'!$C:$FB,93)</f>
        <v>19</v>
      </c>
      <c r="J22" s="92">
        <f>VLOOKUP($A22,'Data Vlaue (Cr)'!$C:$FB,94)</f>
        <v>5.3999999999999999E-2</v>
      </c>
      <c r="K22" s="91">
        <f>VLOOKUP($A22,'Data Vlaue (Cr)'!$C:$FB,95)</f>
        <v>283</v>
      </c>
      <c r="L22" s="91">
        <f>VLOOKUP($A22,'Data Vlaue (Cr)'!$C:$FB,97)</f>
        <v>13</v>
      </c>
      <c r="M22" s="92">
        <f>VLOOKUP($A22,'Data Vlaue (Cr)'!$C:$FB,98)</f>
        <v>4.9200000000000001E-2</v>
      </c>
      <c r="N22" s="91">
        <f>VLOOKUP($A22,'Data Vlaue (Cr)'!$C:$FB,79)</f>
        <v>1001</v>
      </c>
      <c r="O22" s="92">
        <f>VLOOKUP($A22,'Data Vlaue (Cr)'!$C:$FB,82)</f>
        <v>-1.26E-2</v>
      </c>
    </row>
    <row r="23" spans="1:15" x14ac:dyDescent="0.25">
      <c r="A23" s="97" t="str">
        <f>'Data Vlaue (Cr)'!C18</f>
        <v>AUBANK</v>
      </c>
      <c r="B23" s="142">
        <f>VLOOKUP(A23,'Data Vlaue (Cr)'!C18:CW231,99,0)</f>
        <v>2930</v>
      </c>
      <c r="C23" s="90">
        <f>VLOOKUP(A23,'Data Vlaue (Cr)'!C18:CY231,101,0)</f>
        <v>22</v>
      </c>
      <c r="D23" s="139">
        <f>VLOOKUP(A23,'Data Vlaue (Cr)'!C18:CZ231,102,0)</f>
        <v>7.7000000000000002E-3</v>
      </c>
      <c r="E23" s="91">
        <f>VLOOKUP($A23,'Data Vlaue (Cr)'!$C:$FB,75)</f>
        <v>2010</v>
      </c>
      <c r="F23" s="91">
        <f>VLOOKUP($A23,'Data Vlaue (Cr)'!$C:$FB,77)</f>
        <v>2</v>
      </c>
      <c r="G23" s="92">
        <f>VLOOKUP(A23,'Data Vlaue (Cr)'!C18:CB231,78,0)</f>
        <v>8.0000000000000004E-4</v>
      </c>
      <c r="H23" s="91">
        <f>VLOOKUP($A23,'Data Vlaue (Cr)'!$C:$FB,91)</f>
        <v>541</v>
      </c>
      <c r="I23" s="91">
        <f>VLOOKUP($A23,'Data Vlaue (Cr)'!$C:$FB,93)</f>
        <v>31</v>
      </c>
      <c r="J23" s="92">
        <f>VLOOKUP($A23,'Data Vlaue (Cr)'!$C:$FB,94)</f>
        <v>6.0900000000000003E-2</v>
      </c>
      <c r="K23" s="91">
        <f>VLOOKUP($A23,'Data Vlaue (Cr)'!$C:$FB,95)</f>
        <v>379</v>
      </c>
      <c r="L23" s="91">
        <f>VLOOKUP($A23,'Data Vlaue (Cr)'!$C:$FB,97)</f>
        <v>-10</v>
      </c>
      <c r="M23" s="92">
        <f>VLOOKUP($A23,'Data Vlaue (Cr)'!$C:$FB,98)</f>
        <v>-2.6100000000000002E-2</v>
      </c>
      <c r="N23" s="91">
        <f>VLOOKUP($A23,'Data Vlaue (Cr)'!$C:$FB,79)</f>
        <v>1960</v>
      </c>
      <c r="O23" s="92">
        <f>VLOOKUP($A23,'Data Vlaue (Cr)'!$C:$FB,82)</f>
        <v>2.0000000000000001E-4</v>
      </c>
    </row>
    <row r="24" spans="1:15" x14ac:dyDescent="0.25">
      <c r="A24" s="97" t="str">
        <f>'Data Vlaue (Cr)'!C19</f>
        <v>AUROPHARMA</v>
      </c>
      <c r="B24" s="142">
        <f>VLOOKUP(A24,'Data Vlaue (Cr)'!C19:CW232,99,0)</f>
        <v>3817</v>
      </c>
      <c r="C24" s="90">
        <f>VLOOKUP(A24,'Data Vlaue (Cr)'!C19:CY232,101,0)</f>
        <v>243</v>
      </c>
      <c r="D24" s="139">
        <f>VLOOKUP(A24,'Data Vlaue (Cr)'!C19:CZ232,102,0)</f>
        <v>6.8000000000000005E-2</v>
      </c>
      <c r="E24" s="91">
        <f>VLOOKUP($A24,'Data Vlaue (Cr)'!$C:$FB,75)</f>
        <v>2789</v>
      </c>
      <c r="F24" s="91">
        <f>VLOOKUP($A24,'Data Vlaue (Cr)'!$C:$FB,77)</f>
        <v>34</v>
      </c>
      <c r="G24" s="92">
        <f>VLOOKUP(A24,'Data Vlaue (Cr)'!C19:CB232,78,0)</f>
        <v>1.23E-2</v>
      </c>
      <c r="H24" s="91">
        <f>VLOOKUP($A24,'Data Vlaue (Cr)'!$C:$FB,91)</f>
        <v>667</v>
      </c>
      <c r="I24" s="91">
        <f>VLOOKUP($A24,'Data Vlaue (Cr)'!$C:$FB,93)</f>
        <v>153</v>
      </c>
      <c r="J24" s="92">
        <f>VLOOKUP($A24,'Data Vlaue (Cr)'!$C:$FB,94)</f>
        <v>0.29809999999999998</v>
      </c>
      <c r="K24" s="91">
        <f>VLOOKUP($A24,'Data Vlaue (Cr)'!$C:$FB,95)</f>
        <v>361</v>
      </c>
      <c r="L24" s="91">
        <f>VLOOKUP($A24,'Data Vlaue (Cr)'!$C:$FB,97)</f>
        <v>56</v>
      </c>
      <c r="M24" s="92">
        <f>VLOOKUP($A24,'Data Vlaue (Cr)'!$C:$FB,98)</f>
        <v>0.18390000000000001</v>
      </c>
      <c r="N24" s="91">
        <f>VLOOKUP($A24,'Data Vlaue (Cr)'!$C:$FB,79)</f>
        <v>2739</v>
      </c>
      <c r="O24" s="92">
        <f>VLOOKUP($A24,'Data Vlaue (Cr)'!$C:$FB,82)</f>
        <v>5.8999999999999999E-3</v>
      </c>
    </row>
    <row r="25" spans="1:15" x14ac:dyDescent="0.25">
      <c r="A25" s="97" t="str">
        <f>'Data Vlaue (Cr)'!C20</f>
        <v>AXISBANK</v>
      </c>
      <c r="B25" s="142">
        <f>VLOOKUP(A25,'Data Vlaue (Cr)'!C20:CW233,99,0)</f>
        <v>15096</v>
      </c>
      <c r="C25" s="90">
        <f>VLOOKUP(A25,'Data Vlaue (Cr)'!C20:CY233,101,0)</f>
        <v>414</v>
      </c>
      <c r="D25" s="139">
        <f>VLOOKUP(A25,'Data Vlaue (Cr)'!C20:CZ233,102,0)</f>
        <v>2.8199999999999999E-2</v>
      </c>
      <c r="E25" s="91">
        <f>VLOOKUP($A25,'Data Vlaue (Cr)'!$C:$FB,75)</f>
        <v>9469</v>
      </c>
      <c r="F25" s="91">
        <f>VLOOKUP($A25,'Data Vlaue (Cr)'!$C:$FB,77)</f>
        <v>-71</v>
      </c>
      <c r="G25" s="92">
        <f>VLOOKUP(A25,'Data Vlaue (Cr)'!C20:CB233,78,0)</f>
        <v>-7.4999999999999997E-3</v>
      </c>
      <c r="H25" s="91">
        <f>VLOOKUP($A25,'Data Vlaue (Cr)'!$C:$FB,91)</f>
        <v>3634</v>
      </c>
      <c r="I25" s="91">
        <f>VLOOKUP($A25,'Data Vlaue (Cr)'!$C:$FB,93)</f>
        <v>374</v>
      </c>
      <c r="J25" s="92">
        <f>VLOOKUP($A25,'Data Vlaue (Cr)'!$C:$FB,94)</f>
        <v>0.1147</v>
      </c>
      <c r="K25" s="91">
        <f>VLOOKUP($A25,'Data Vlaue (Cr)'!$C:$FB,95)</f>
        <v>1992</v>
      </c>
      <c r="L25" s="91">
        <f>VLOOKUP($A25,'Data Vlaue (Cr)'!$C:$FB,97)</f>
        <v>111</v>
      </c>
      <c r="M25" s="92">
        <f>VLOOKUP($A25,'Data Vlaue (Cr)'!$C:$FB,98)</f>
        <v>5.9200000000000003E-2</v>
      </c>
      <c r="N25" s="91">
        <f>VLOOKUP($A25,'Data Vlaue (Cr)'!$C:$FB,79)</f>
        <v>9399</v>
      </c>
      <c r="O25" s="92">
        <f>VLOOKUP($A25,'Data Vlaue (Cr)'!$C:$FB,82)</f>
        <v>-7.7999999999999996E-3</v>
      </c>
    </row>
    <row r="26" spans="1:15" x14ac:dyDescent="0.25">
      <c r="A26" s="97" t="str">
        <f>'Data Vlaue (Cr)'!C21</f>
        <v>BAJAJ-AUTO</v>
      </c>
      <c r="B26" s="142">
        <f>VLOOKUP(A26,'Data Vlaue (Cr)'!C21:CW234,99,0)</f>
        <v>6229</v>
      </c>
      <c r="C26" s="90">
        <f>VLOOKUP(A26,'Data Vlaue (Cr)'!C21:CY234,101,0)</f>
        <v>373</v>
      </c>
      <c r="D26" s="139">
        <f>VLOOKUP(A26,'Data Vlaue (Cr)'!C21:CZ234,102,0)</f>
        <v>6.3700000000000007E-2</v>
      </c>
      <c r="E26" s="91">
        <f>VLOOKUP($A26,'Data Vlaue (Cr)'!$C:$FB,75)</f>
        <v>3563</v>
      </c>
      <c r="F26" s="91">
        <f>VLOOKUP($A26,'Data Vlaue (Cr)'!$C:$FB,77)</f>
        <v>92</v>
      </c>
      <c r="G26" s="92">
        <f>VLOOKUP(A26,'Data Vlaue (Cr)'!C21:CB234,78,0)</f>
        <v>2.6599999999999999E-2</v>
      </c>
      <c r="H26" s="91">
        <f>VLOOKUP($A26,'Data Vlaue (Cr)'!$C:$FB,91)</f>
        <v>1466</v>
      </c>
      <c r="I26" s="91">
        <f>VLOOKUP($A26,'Data Vlaue (Cr)'!$C:$FB,93)</f>
        <v>126</v>
      </c>
      <c r="J26" s="92">
        <f>VLOOKUP($A26,'Data Vlaue (Cr)'!$C:$FB,94)</f>
        <v>9.4299999999999995E-2</v>
      </c>
      <c r="K26" s="91">
        <f>VLOOKUP($A26,'Data Vlaue (Cr)'!$C:$FB,95)</f>
        <v>1200</v>
      </c>
      <c r="L26" s="91">
        <f>VLOOKUP($A26,'Data Vlaue (Cr)'!$C:$FB,97)</f>
        <v>154</v>
      </c>
      <c r="M26" s="92">
        <f>VLOOKUP($A26,'Data Vlaue (Cr)'!$C:$FB,98)</f>
        <v>0.14749999999999999</v>
      </c>
      <c r="N26" s="91">
        <f>VLOOKUP($A26,'Data Vlaue (Cr)'!$C:$FB,79)</f>
        <v>3484</v>
      </c>
      <c r="O26" s="92">
        <f>VLOOKUP($A26,'Data Vlaue (Cr)'!$C:$FB,82)</f>
        <v>2.23E-2</v>
      </c>
    </row>
    <row r="27" spans="1:15" x14ac:dyDescent="0.25">
      <c r="A27" s="97" t="str">
        <f>'Data Vlaue (Cr)'!C22</f>
        <v>BAJAJFINSV</v>
      </c>
      <c r="B27" s="142">
        <f>VLOOKUP(A27,'Data Vlaue (Cr)'!C22:CW235,99,0)</f>
        <v>5152</v>
      </c>
      <c r="C27" s="90">
        <f>VLOOKUP(A27,'Data Vlaue (Cr)'!C22:CY235,101,0)</f>
        <v>79</v>
      </c>
      <c r="D27" s="139">
        <f>VLOOKUP(A27,'Data Vlaue (Cr)'!C22:CZ235,102,0)</f>
        <v>1.5699999999999999E-2</v>
      </c>
      <c r="E27" s="91">
        <f>VLOOKUP($A27,'Data Vlaue (Cr)'!$C:$FB,75)</f>
        <v>3632</v>
      </c>
      <c r="F27" s="91">
        <f>VLOOKUP($A27,'Data Vlaue (Cr)'!$C:$FB,77)</f>
        <v>-13</v>
      </c>
      <c r="G27" s="92">
        <f>VLOOKUP(A27,'Data Vlaue (Cr)'!C22:CB235,78,0)</f>
        <v>-3.5000000000000001E-3</v>
      </c>
      <c r="H27" s="91">
        <f>VLOOKUP($A27,'Data Vlaue (Cr)'!$C:$FB,91)</f>
        <v>900</v>
      </c>
      <c r="I27" s="91">
        <f>VLOOKUP($A27,'Data Vlaue (Cr)'!$C:$FB,93)</f>
        <v>67</v>
      </c>
      <c r="J27" s="92">
        <f>VLOOKUP($A27,'Data Vlaue (Cr)'!$C:$FB,94)</f>
        <v>8.0500000000000002E-2</v>
      </c>
      <c r="K27" s="91">
        <f>VLOOKUP($A27,'Data Vlaue (Cr)'!$C:$FB,95)</f>
        <v>620</v>
      </c>
      <c r="L27" s="91">
        <f>VLOOKUP($A27,'Data Vlaue (Cr)'!$C:$FB,97)</f>
        <v>25</v>
      </c>
      <c r="M27" s="92">
        <f>VLOOKUP($A27,'Data Vlaue (Cr)'!$C:$FB,98)</f>
        <v>4.2500000000000003E-2</v>
      </c>
      <c r="N27" s="91">
        <f>VLOOKUP($A27,'Data Vlaue (Cr)'!$C:$FB,79)</f>
        <v>3576</v>
      </c>
      <c r="O27" s="92">
        <f>VLOOKUP($A27,'Data Vlaue (Cr)'!$C:$FB,82)</f>
        <v>-4.0000000000000001E-3</v>
      </c>
    </row>
    <row r="28" spans="1:15" x14ac:dyDescent="0.25">
      <c r="A28" s="97" t="str">
        <f>'Data Vlaue (Cr)'!C23</f>
        <v>BAJAJHLDNG</v>
      </c>
      <c r="B28" s="142">
        <f>VLOOKUP(A28,'Data Vlaue (Cr)'!C23:CW236,99,0)</f>
        <v>214</v>
      </c>
      <c r="C28" s="90">
        <f>VLOOKUP(A28,'Data Vlaue (Cr)'!C23:CY236,101,0)</f>
        <v>0</v>
      </c>
      <c r="D28" s="139">
        <f>VLOOKUP(A28,'Data Vlaue (Cr)'!C23:CZ236,102,0)</f>
        <v>1.1000000000000001E-3</v>
      </c>
      <c r="E28" s="91">
        <f>VLOOKUP($A28,'Data Vlaue (Cr)'!$C:$FB,75)</f>
        <v>112</v>
      </c>
      <c r="F28" s="91">
        <f>VLOOKUP($A28,'Data Vlaue (Cr)'!$C:$FB,77)</f>
        <v>3</v>
      </c>
      <c r="G28" s="92">
        <f>VLOOKUP(A28,'Data Vlaue (Cr)'!C23:CB236,78,0)</f>
        <v>2.64E-2</v>
      </c>
      <c r="H28" s="91">
        <f>VLOOKUP($A28,'Data Vlaue (Cr)'!$C:$FB,91)</f>
        <v>71</v>
      </c>
      <c r="I28" s="91">
        <f>VLOOKUP($A28,'Data Vlaue (Cr)'!$C:$FB,93)</f>
        <v>0</v>
      </c>
      <c r="J28" s="92">
        <f>VLOOKUP($A28,'Data Vlaue (Cr)'!$C:$FB,94)</f>
        <v>4.0000000000000001E-3</v>
      </c>
      <c r="K28" s="91">
        <f>VLOOKUP($A28,'Data Vlaue (Cr)'!$C:$FB,95)</f>
        <v>31</v>
      </c>
      <c r="L28" s="91">
        <f>VLOOKUP($A28,'Data Vlaue (Cr)'!$C:$FB,97)</f>
        <v>-3</v>
      </c>
      <c r="M28" s="92">
        <f>VLOOKUP($A28,'Data Vlaue (Cr)'!$C:$FB,98)</f>
        <v>-8.5199999999999998E-2</v>
      </c>
      <c r="N28" s="91">
        <f>VLOOKUP($A28,'Data Vlaue (Cr)'!$C:$FB,79)</f>
        <v>106</v>
      </c>
      <c r="O28" s="92">
        <f>VLOOKUP($A28,'Data Vlaue (Cr)'!$C:$FB,82)</f>
        <v>2.4400000000000002E-2</v>
      </c>
    </row>
    <row r="29" spans="1:15" x14ac:dyDescent="0.25">
      <c r="A29" s="97" t="str">
        <f>'Data Vlaue (Cr)'!C24</f>
        <v>BAJFINANCE</v>
      </c>
      <c r="B29" s="142">
        <f>VLOOKUP(A29,'Data Vlaue (Cr)'!C24:CW237,99,0)</f>
        <v>14404</v>
      </c>
      <c r="C29" s="90">
        <f>VLOOKUP(A29,'Data Vlaue (Cr)'!C24:CY237,101,0)</f>
        <v>371</v>
      </c>
      <c r="D29" s="139">
        <f>VLOOKUP(A29,'Data Vlaue (Cr)'!C24:CZ237,102,0)</f>
        <v>2.64E-2</v>
      </c>
      <c r="E29" s="91">
        <f>VLOOKUP($A29,'Data Vlaue (Cr)'!$C:$FB,75)</f>
        <v>9580</v>
      </c>
      <c r="F29" s="91">
        <f>VLOOKUP($A29,'Data Vlaue (Cr)'!$C:$FB,77)</f>
        <v>117</v>
      </c>
      <c r="G29" s="92">
        <f>VLOOKUP(A29,'Data Vlaue (Cr)'!C24:CB237,78,0)</f>
        <v>1.24E-2</v>
      </c>
      <c r="H29" s="91">
        <f>VLOOKUP($A29,'Data Vlaue (Cr)'!$C:$FB,91)</f>
        <v>2881</v>
      </c>
      <c r="I29" s="91">
        <f>VLOOKUP($A29,'Data Vlaue (Cr)'!$C:$FB,93)</f>
        <v>168</v>
      </c>
      <c r="J29" s="92">
        <f>VLOOKUP($A29,'Data Vlaue (Cr)'!$C:$FB,94)</f>
        <v>6.2100000000000002E-2</v>
      </c>
      <c r="K29" s="91">
        <f>VLOOKUP($A29,'Data Vlaue (Cr)'!$C:$FB,95)</f>
        <v>1942</v>
      </c>
      <c r="L29" s="91">
        <f>VLOOKUP($A29,'Data Vlaue (Cr)'!$C:$FB,97)</f>
        <v>85</v>
      </c>
      <c r="M29" s="92">
        <f>VLOOKUP($A29,'Data Vlaue (Cr)'!$C:$FB,98)</f>
        <v>4.5999999999999999E-2</v>
      </c>
      <c r="N29" s="91">
        <f>VLOOKUP($A29,'Data Vlaue (Cr)'!$C:$FB,79)</f>
        <v>9358</v>
      </c>
      <c r="O29" s="92">
        <f>VLOOKUP($A29,'Data Vlaue (Cr)'!$C:$FB,82)</f>
        <v>8.6E-3</v>
      </c>
    </row>
    <row r="30" spans="1:15" x14ac:dyDescent="0.25">
      <c r="A30" s="97" t="str">
        <f>'Data Vlaue (Cr)'!C25</f>
        <v>BANDHANBNK</v>
      </c>
      <c r="B30" s="142">
        <f>VLOOKUP(A30,'Data Vlaue (Cr)'!C25:CW238,99,0)</f>
        <v>2918</v>
      </c>
      <c r="C30" s="90">
        <f>VLOOKUP(A30,'Data Vlaue (Cr)'!C25:CY238,101,0)</f>
        <v>50</v>
      </c>
      <c r="D30" s="139">
        <f>VLOOKUP(A30,'Data Vlaue (Cr)'!C25:CZ238,102,0)</f>
        <v>1.7299999999999999E-2</v>
      </c>
      <c r="E30" s="91">
        <f>VLOOKUP($A30,'Data Vlaue (Cr)'!$C:$FB,75)</f>
        <v>1953</v>
      </c>
      <c r="F30" s="91">
        <f>VLOOKUP($A30,'Data Vlaue (Cr)'!$C:$FB,77)</f>
        <v>22</v>
      </c>
      <c r="G30" s="92">
        <f>VLOOKUP(A30,'Data Vlaue (Cr)'!C25:CB238,78,0)</f>
        <v>1.15E-2</v>
      </c>
      <c r="H30" s="91">
        <f>VLOOKUP($A30,'Data Vlaue (Cr)'!$C:$FB,91)</f>
        <v>502</v>
      </c>
      <c r="I30" s="91">
        <f>VLOOKUP($A30,'Data Vlaue (Cr)'!$C:$FB,93)</f>
        <v>8</v>
      </c>
      <c r="J30" s="92">
        <f>VLOOKUP($A30,'Data Vlaue (Cr)'!$C:$FB,94)</f>
        <v>1.6899999999999998E-2</v>
      </c>
      <c r="K30" s="91">
        <f>VLOOKUP($A30,'Data Vlaue (Cr)'!$C:$FB,95)</f>
        <v>463</v>
      </c>
      <c r="L30" s="91">
        <f>VLOOKUP($A30,'Data Vlaue (Cr)'!$C:$FB,97)</f>
        <v>19</v>
      </c>
      <c r="M30" s="92">
        <f>VLOOKUP($A30,'Data Vlaue (Cr)'!$C:$FB,98)</f>
        <v>4.2799999999999998E-2</v>
      </c>
      <c r="N30" s="91">
        <f>VLOOKUP($A30,'Data Vlaue (Cr)'!$C:$FB,79)</f>
        <v>1845</v>
      </c>
      <c r="O30" s="92">
        <f>VLOOKUP($A30,'Data Vlaue (Cr)'!$C:$FB,82)</f>
        <v>9.7999999999999997E-3</v>
      </c>
    </row>
    <row r="31" spans="1:15" x14ac:dyDescent="0.25">
      <c r="A31" s="97" t="str">
        <f>'Data Vlaue (Cr)'!C26</f>
        <v>BANKBARODA</v>
      </c>
      <c r="B31" s="142">
        <f>VLOOKUP(A31,'Data Vlaue (Cr)'!C26:CW239,99,0)</f>
        <v>5069</v>
      </c>
      <c r="C31" s="90">
        <f>VLOOKUP(A31,'Data Vlaue (Cr)'!C26:CY239,101,0)</f>
        <v>408</v>
      </c>
      <c r="D31" s="139">
        <f>VLOOKUP(A31,'Data Vlaue (Cr)'!C26:CZ239,102,0)</f>
        <v>8.7599999999999997E-2</v>
      </c>
      <c r="E31" s="91">
        <f>VLOOKUP($A31,'Data Vlaue (Cr)'!$C:$FB,75)</f>
        <v>2510</v>
      </c>
      <c r="F31" s="91">
        <f>VLOOKUP($A31,'Data Vlaue (Cr)'!$C:$FB,77)</f>
        <v>-64</v>
      </c>
      <c r="G31" s="92">
        <f>VLOOKUP(A31,'Data Vlaue (Cr)'!C26:CB239,78,0)</f>
        <v>-2.4799999999999999E-2</v>
      </c>
      <c r="H31" s="91">
        <f>VLOOKUP($A31,'Data Vlaue (Cr)'!$C:$FB,91)</f>
        <v>1571</v>
      </c>
      <c r="I31" s="91">
        <f>VLOOKUP($A31,'Data Vlaue (Cr)'!$C:$FB,93)</f>
        <v>413</v>
      </c>
      <c r="J31" s="92">
        <f>VLOOKUP($A31,'Data Vlaue (Cr)'!$C:$FB,94)</f>
        <v>0.35639999999999999</v>
      </c>
      <c r="K31" s="91">
        <f>VLOOKUP($A31,'Data Vlaue (Cr)'!$C:$FB,95)</f>
        <v>988</v>
      </c>
      <c r="L31" s="91">
        <f>VLOOKUP($A31,'Data Vlaue (Cr)'!$C:$FB,97)</f>
        <v>59</v>
      </c>
      <c r="M31" s="92">
        <f>VLOOKUP($A31,'Data Vlaue (Cr)'!$C:$FB,98)</f>
        <v>6.4000000000000001E-2</v>
      </c>
      <c r="N31" s="91">
        <f>VLOOKUP($A31,'Data Vlaue (Cr)'!$C:$FB,79)</f>
        <v>2441</v>
      </c>
      <c r="O31" s="92">
        <f>VLOOKUP($A31,'Data Vlaue (Cr)'!$C:$FB,82)</f>
        <v>-2.6100000000000002E-2</v>
      </c>
    </row>
    <row r="32" spans="1:15" x14ac:dyDescent="0.25">
      <c r="A32" s="97" t="str">
        <f>'Data Vlaue (Cr)'!C27</f>
        <v>BANKINDIA</v>
      </c>
      <c r="B32" s="142">
        <f>VLOOKUP(A32,'Data Vlaue (Cr)'!C27:CW240,99,0)</f>
        <v>1312</v>
      </c>
      <c r="C32" s="90">
        <f>VLOOKUP(A32,'Data Vlaue (Cr)'!C27:CY240,101,0)</f>
        <v>34</v>
      </c>
      <c r="D32" s="139">
        <f>VLOOKUP(A32,'Data Vlaue (Cr)'!C27:CZ240,102,0)</f>
        <v>2.6800000000000001E-2</v>
      </c>
      <c r="E32" s="91">
        <f>VLOOKUP($A32,'Data Vlaue (Cr)'!$C:$FB,75)</f>
        <v>796</v>
      </c>
      <c r="F32" s="91">
        <f>VLOOKUP($A32,'Data Vlaue (Cr)'!$C:$FB,77)</f>
        <v>11</v>
      </c>
      <c r="G32" s="92">
        <f>VLOOKUP(A32,'Data Vlaue (Cr)'!C27:CB240,78,0)</f>
        <v>1.37E-2</v>
      </c>
      <c r="H32" s="91">
        <f>VLOOKUP($A32,'Data Vlaue (Cr)'!$C:$FB,91)</f>
        <v>279</v>
      </c>
      <c r="I32" s="91">
        <f>VLOOKUP($A32,'Data Vlaue (Cr)'!$C:$FB,93)</f>
        <v>17</v>
      </c>
      <c r="J32" s="92">
        <f>VLOOKUP($A32,'Data Vlaue (Cr)'!$C:$FB,94)</f>
        <v>6.4799999999999996E-2</v>
      </c>
      <c r="K32" s="91">
        <f>VLOOKUP($A32,'Data Vlaue (Cr)'!$C:$FB,95)</f>
        <v>236</v>
      </c>
      <c r="L32" s="91">
        <f>VLOOKUP($A32,'Data Vlaue (Cr)'!$C:$FB,97)</f>
        <v>6</v>
      </c>
      <c r="M32" s="92">
        <f>VLOOKUP($A32,'Data Vlaue (Cr)'!$C:$FB,98)</f>
        <v>2.8199999999999999E-2</v>
      </c>
      <c r="N32" s="91">
        <f>VLOOKUP($A32,'Data Vlaue (Cr)'!$C:$FB,79)</f>
        <v>773</v>
      </c>
      <c r="O32" s="92">
        <f>VLOOKUP($A32,'Data Vlaue (Cr)'!$C:$FB,82)</f>
        <v>1.1599999999999999E-2</v>
      </c>
    </row>
    <row r="33" spans="1:15" x14ac:dyDescent="0.25">
      <c r="A33" s="97" t="str">
        <f>'Data Vlaue (Cr)'!C28</f>
        <v>BANKNIFTY</v>
      </c>
      <c r="B33" s="142">
        <f>VLOOKUP(A33,'Data Vlaue (Cr)'!C28:CW241,99,0)</f>
        <v>171899</v>
      </c>
      <c r="C33" s="90">
        <f>VLOOKUP(A33,'Data Vlaue (Cr)'!C28:CY241,101,0)</f>
        <v>1654</v>
      </c>
      <c r="D33" s="139">
        <f>VLOOKUP(A33,'Data Vlaue (Cr)'!C28:CZ241,102,0)</f>
        <v>9.7000000000000003E-3</v>
      </c>
      <c r="E33" s="91">
        <f>VLOOKUP($A33,'Data Vlaue (Cr)'!$C:$FB,75)</f>
        <v>8461</v>
      </c>
      <c r="F33" s="91">
        <f>VLOOKUP($A33,'Data Vlaue (Cr)'!$C:$FB,77)</f>
        <v>-969</v>
      </c>
      <c r="G33" s="92">
        <f>VLOOKUP(A33,'Data Vlaue (Cr)'!C28:CB241,78,0)</f>
        <v>-0.1028</v>
      </c>
      <c r="H33" s="91">
        <f>VLOOKUP($A33,'Data Vlaue (Cr)'!$C:$FB,91)</f>
        <v>78035</v>
      </c>
      <c r="I33" s="91">
        <f>VLOOKUP($A33,'Data Vlaue (Cr)'!$C:$FB,93)</f>
        <v>3249</v>
      </c>
      <c r="J33" s="92">
        <f>VLOOKUP($A33,'Data Vlaue (Cr)'!$C:$FB,94)</f>
        <v>4.3400000000000001E-2</v>
      </c>
      <c r="K33" s="91">
        <f>VLOOKUP($A33,'Data Vlaue (Cr)'!$C:$FB,95)</f>
        <v>85403</v>
      </c>
      <c r="L33" s="91">
        <f>VLOOKUP($A33,'Data Vlaue (Cr)'!$C:$FB,97)</f>
        <v>-626</v>
      </c>
      <c r="M33" s="92">
        <f>VLOOKUP($A33,'Data Vlaue (Cr)'!$C:$FB,98)</f>
        <v>-7.3000000000000001E-3</v>
      </c>
      <c r="N33" s="91">
        <f>VLOOKUP($A33,'Data Vlaue (Cr)'!$C:$FB,79)</f>
        <v>7696</v>
      </c>
      <c r="O33" s="92">
        <f>VLOOKUP($A33,'Data Vlaue (Cr)'!$C:$FB,82)</f>
        <v>-0.1099</v>
      </c>
    </row>
    <row r="34" spans="1:15" x14ac:dyDescent="0.25">
      <c r="A34" s="97" t="str">
        <f>'Data Vlaue (Cr)'!C29</f>
        <v>BDL</v>
      </c>
      <c r="B34" s="142">
        <f>VLOOKUP(A34,'Data Vlaue (Cr)'!C29:CW242,99,0)</f>
        <v>1777</v>
      </c>
      <c r="C34" s="90">
        <f>VLOOKUP(A34,'Data Vlaue (Cr)'!C29:CY242,101,0)</f>
        <v>1</v>
      </c>
      <c r="D34" s="139">
        <f>VLOOKUP(A34,'Data Vlaue (Cr)'!C29:CZ242,102,0)</f>
        <v>8.0000000000000004E-4</v>
      </c>
      <c r="E34" s="91">
        <f>VLOOKUP($A34,'Data Vlaue (Cr)'!$C:$FB,75)</f>
        <v>785</v>
      </c>
      <c r="F34" s="91">
        <f>VLOOKUP($A34,'Data Vlaue (Cr)'!$C:$FB,77)</f>
        <v>-26</v>
      </c>
      <c r="G34" s="92">
        <f>VLOOKUP(A34,'Data Vlaue (Cr)'!C29:CB242,78,0)</f>
        <v>-3.2399999999999998E-2</v>
      </c>
      <c r="H34" s="91">
        <f>VLOOKUP($A34,'Data Vlaue (Cr)'!$C:$FB,91)</f>
        <v>565</v>
      </c>
      <c r="I34" s="91">
        <f>VLOOKUP($A34,'Data Vlaue (Cr)'!$C:$FB,93)</f>
        <v>38</v>
      </c>
      <c r="J34" s="92">
        <f>VLOOKUP($A34,'Data Vlaue (Cr)'!$C:$FB,94)</f>
        <v>7.1199999999999999E-2</v>
      </c>
      <c r="K34" s="91">
        <f>VLOOKUP($A34,'Data Vlaue (Cr)'!$C:$FB,95)</f>
        <v>427</v>
      </c>
      <c r="L34" s="91">
        <f>VLOOKUP($A34,'Data Vlaue (Cr)'!$C:$FB,97)</f>
        <v>-10</v>
      </c>
      <c r="M34" s="92">
        <f>VLOOKUP($A34,'Data Vlaue (Cr)'!$C:$FB,98)</f>
        <v>-2.2599999999999999E-2</v>
      </c>
      <c r="N34" s="91">
        <f>VLOOKUP($A34,'Data Vlaue (Cr)'!$C:$FB,79)</f>
        <v>700</v>
      </c>
      <c r="O34" s="92">
        <f>VLOOKUP($A34,'Data Vlaue (Cr)'!$C:$FB,82)</f>
        <v>-3.9100000000000003E-2</v>
      </c>
    </row>
    <row r="35" spans="1:15" x14ac:dyDescent="0.25">
      <c r="A35" s="97" t="str">
        <f>'Data Vlaue (Cr)'!C30</f>
        <v>BEL</v>
      </c>
      <c r="B35" s="142">
        <f>VLOOKUP(A35,'Data Vlaue (Cr)'!C30:CW243,99,0)</f>
        <v>8443</v>
      </c>
      <c r="C35" s="90">
        <f>VLOOKUP(A35,'Data Vlaue (Cr)'!C30:CY243,101,0)</f>
        <v>67</v>
      </c>
      <c r="D35" s="139">
        <f>VLOOKUP(A35,'Data Vlaue (Cr)'!C30:CZ243,102,0)</f>
        <v>8.0000000000000002E-3</v>
      </c>
      <c r="E35" s="91">
        <f>VLOOKUP($A35,'Data Vlaue (Cr)'!$C:$FB,75)</f>
        <v>5029</v>
      </c>
      <c r="F35" s="91">
        <f>VLOOKUP($A35,'Data Vlaue (Cr)'!$C:$FB,77)</f>
        <v>8</v>
      </c>
      <c r="G35" s="92">
        <f>VLOOKUP(A35,'Data Vlaue (Cr)'!C30:CB243,78,0)</f>
        <v>1.5E-3</v>
      </c>
      <c r="H35" s="91">
        <f>VLOOKUP($A35,'Data Vlaue (Cr)'!$C:$FB,91)</f>
        <v>2048</v>
      </c>
      <c r="I35" s="91">
        <f>VLOOKUP($A35,'Data Vlaue (Cr)'!$C:$FB,93)</f>
        <v>45</v>
      </c>
      <c r="J35" s="92">
        <f>VLOOKUP($A35,'Data Vlaue (Cr)'!$C:$FB,94)</f>
        <v>2.2200000000000001E-2</v>
      </c>
      <c r="K35" s="91">
        <f>VLOOKUP($A35,'Data Vlaue (Cr)'!$C:$FB,95)</f>
        <v>1366</v>
      </c>
      <c r="L35" s="91">
        <f>VLOOKUP($A35,'Data Vlaue (Cr)'!$C:$FB,97)</f>
        <v>14</v>
      </c>
      <c r="M35" s="92">
        <f>VLOOKUP($A35,'Data Vlaue (Cr)'!$C:$FB,98)</f>
        <v>1.0699999999999999E-2</v>
      </c>
      <c r="N35" s="91">
        <f>VLOOKUP($A35,'Data Vlaue (Cr)'!$C:$FB,79)</f>
        <v>4782</v>
      </c>
      <c r="O35" s="92">
        <f>VLOOKUP($A35,'Data Vlaue (Cr)'!$C:$FB,82)</f>
        <v>8.9999999999999998E-4</v>
      </c>
    </row>
    <row r="36" spans="1:15" x14ac:dyDescent="0.25">
      <c r="A36" s="97" t="str">
        <f>'Data Vlaue (Cr)'!C31</f>
        <v>BHARATFORG</v>
      </c>
      <c r="B36" s="142">
        <f>VLOOKUP(A36,'Data Vlaue (Cr)'!C31:CW244,99,0)</f>
        <v>1860</v>
      </c>
      <c r="C36" s="90">
        <f>VLOOKUP(A36,'Data Vlaue (Cr)'!C31:CY244,101,0)</f>
        <v>-65</v>
      </c>
      <c r="D36" s="139">
        <f>VLOOKUP(A36,'Data Vlaue (Cr)'!C31:CZ244,102,0)</f>
        <v>-3.39E-2</v>
      </c>
      <c r="E36" s="91">
        <f>VLOOKUP($A36,'Data Vlaue (Cr)'!$C:$FB,75)</f>
        <v>1131</v>
      </c>
      <c r="F36" s="91">
        <f>VLOOKUP($A36,'Data Vlaue (Cr)'!$C:$FB,77)</f>
        <v>-60</v>
      </c>
      <c r="G36" s="92">
        <f>VLOOKUP(A36,'Data Vlaue (Cr)'!C31:CB244,78,0)</f>
        <v>-5.0200000000000002E-2</v>
      </c>
      <c r="H36" s="91">
        <f>VLOOKUP($A36,'Data Vlaue (Cr)'!$C:$FB,91)</f>
        <v>443</v>
      </c>
      <c r="I36" s="91">
        <f>VLOOKUP($A36,'Data Vlaue (Cr)'!$C:$FB,93)</f>
        <v>5</v>
      </c>
      <c r="J36" s="92">
        <f>VLOOKUP($A36,'Data Vlaue (Cr)'!$C:$FB,94)</f>
        <v>1.1900000000000001E-2</v>
      </c>
      <c r="K36" s="91">
        <f>VLOOKUP($A36,'Data Vlaue (Cr)'!$C:$FB,95)</f>
        <v>286</v>
      </c>
      <c r="L36" s="91">
        <f>VLOOKUP($A36,'Data Vlaue (Cr)'!$C:$FB,97)</f>
        <v>-11</v>
      </c>
      <c r="M36" s="92">
        <f>VLOOKUP($A36,'Data Vlaue (Cr)'!$C:$FB,98)</f>
        <v>-3.6299999999999999E-2</v>
      </c>
      <c r="N36" s="91">
        <f>VLOOKUP($A36,'Data Vlaue (Cr)'!$C:$FB,79)</f>
        <v>1108</v>
      </c>
      <c r="O36" s="92">
        <f>VLOOKUP($A36,'Data Vlaue (Cr)'!$C:$FB,82)</f>
        <v>-5.1900000000000002E-2</v>
      </c>
    </row>
    <row r="37" spans="1:15" x14ac:dyDescent="0.25">
      <c r="A37" s="97" t="str">
        <f>'Data Vlaue (Cr)'!C32</f>
        <v>BHARTIARTL</v>
      </c>
      <c r="B37" s="142">
        <f>VLOOKUP(A37,'Data Vlaue (Cr)'!C32:CW245,99,0)</f>
        <v>13422</v>
      </c>
      <c r="C37" s="90">
        <f>VLOOKUP(A37,'Data Vlaue (Cr)'!C32:CY245,101,0)</f>
        <v>314</v>
      </c>
      <c r="D37" s="139">
        <f>VLOOKUP(A37,'Data Vlaue (Cr)'!C32:CZ245,102,0)</f>
        <v>2.3900000000000001E-2</v>
      </c>
      <c r="E37" s="91">
        <f>VLOOKUP($A37,'Data Vlaue (Cr)'!$C:$FB,75)</f>
        <v>10345</v>
      </c>
      <c r="F37" s="91">
        <f>VLOOKUP($A37,'Data Vlaue (Cr)'!$C:$FB,77)</f>
        <v>38</v>
      </c>
      <c r="G37" s="92">
        <f>VLOOKUP(A37,'Data Vlaue (Cr)'!C32:CB245,78,0)</f>
        <v>3.7000000000000002E-3</v>
      </c>
      <c r="H37" s="91">
        <f>VLOOKUP($A37,'Data Vlaue (Cr)'!$C:$FB,91)</f>
        <v>1942</v>
      </c>
      <c r="I37" s="91">
        <f>VLOOKUP($A37,'Data Vlaue (Cr)'!$C:$FB,93)</f>
        <v>229</v>
      </c>
      <c r="J37" s="92">
        <f>VLOOKUP($A37,'Data Vlaue (Cr)'!$C:$FB,94)</f>
        <v>0.1338</v>
      </c>
      <c r="K37" s="91">
        <f>VLOOKUP($A37,'Data Vlaue (Cr)'!$C:$FB,95)</f>
        <v>1136</v>
      </c>
      <c r="L37" s="91">
        <f>VLOOKUP($A37,'Data Vlaue (Cr)'!$C:$FB,97)</f>
        <v>46</v>
      </c>
      <c r="M37" s="92">
        <f>VLOOKUP($A37,'Data Vlaue (Cr)'!$C:$FB,98)</f>
        <v>4.2500000000000003E-2</v>
      </c>
      <c r="N37" s="91">
        <f>VLOOKUP($A37,'Data Vlaue (Cr)'!$C:$FB,79)</f>
        <v>9848</v>
      </c>
      <c r="O37" s="92">
        <f>VLOOKUP($A37,'Data Vlaue (Cr)'!$C:$FB,82)</f>
        <v>2.3E-3</v>
      </c>
    </row>
    <row r="38" spans="1:15" x14ac:dyDescent="0.25">
      <c r="A38" s="97" t="str">
        <f>'Data Vlaue (Cr)'!C33</f>
        <v>BHEL</v>
      </c>
      <c r="B38" s="142">
        <f>VLOOKUP(A38,'Data Vlaue (Cr)'!C33:CW246,99,0)</f>
        <v>4241</v>
      </c>
      <c r="C38" s="90">
        <f>VLOOKUP(A38,'Data Vlaue (Cr)'!C33:CY246,101,0)</f>
        <v>102</v>
      </c>
      <c r="D38" s="139">
        <f>VLOOKUP(A38,'Data Vlaue (Cr)'!C33:CZ246,102,0)</f>
        <v>2.4799999999999999E-2</v>
      </c>
      <c r="E38" s="91">
        <f>VLOOKUP($A38,'Data Vlaue (Cr)'!$C:$FB,75)</f>
        <v>2308</v>
      </c>
      <c r="F38" s="91">
        <f>VLOOKUP($A38,'Data Vlaue (Cr)'!$C:$FB,77)</f>
        <v>1</v>
      </c>
      <c r="G38" s="92">
        <f>VLOOKUP(A38,'Data Vlaue (Cr)'!C33:CB246,78,0)</f>
        <v>4.0000000000000002E-4</v>
      </c>
      <c r="H38" s="91">
        <f>VLOOKUP($A38,'Data Vlaue (Cr)'!$C:$FB,91)</f>
        <v>1141</v>
      </c>
      <c r="I38" s="91">
        <f>VLOOKUP($A38,'Data Vlaue (Cr)'!$C:$FB,93)</f>
        <v>50</v>
      </c>
      <c r="J38" s="92">
        <f>VLOOKUP($A38,'Data Vlaue (Cr)'!$C:$FB,94)</f>
        <v>4.5499999999999999E-2</v>
      </c>
      <c r="K38" s="91">
        <f>VLOOKUP($A38,'Data Vlaue (Cr)'!$C:$FB,95)</f>
        <v>793</v>
      </c>
      <c r="L38" s="91">
        <f>VLOOKUP($A38,'Data Vlaue (Cr)'!$C:$FB,97)</f>
        <v>52</v>
      </c>
      <c r="M38" s="92">
        <f>VLOOKUP($A38,'Data Vlaue (Cr)'!$C:$FB,98)</f>
        <v>7.0199999999999999E-2</v>
      </c>
      <c r="N38" s="91">
        <f>VLOOKUP($A38,'Data Vlaue (Cr)'!$C:$FB,79)</f>
        <v>2236</v>
      </c>
      <c r="O38" s="92">
        <f>VLOOKUP($A38,'Data Vlaue (Cr)'!$C:$FB,82)</f>
        <v>-1E-3</v>
      </c>
    </row>
    <row r="39" spans="1:15" x14ac:dyDescent="0.25">
      <c r="A39" s="97" t="str">
        <f>'Data Vlaue (Cr)'!C34</f>
        <v>BIOCON</v>
      </c>
      <c r="B39" s="142">
        <f>VLOOKUP(A39,'Data Vlaue (Cr)'!C34:CW247,99,0)</f>
        <v>3001</v>
      </c>
      <c r="C39" s="90">
        <f>VLOOKUP(A39,'Data Vlaue (Cr)'!C34:CY247,101,0)</f>
        <v>225</v>
      </c>
      <c r="D39" s="139">
        <f>VLOOKUP(A39,'Data Vlaue (Cr)'!C34:CZ247,102,0)</f>
        <v>8.1000000000000003E-2</v>
      </c>
      <c r="E39" s="91">
        <f>VLOOKUP($A39,'Data Vlaue (Cr)'!$C:$FB,75)</f>
        <v>1836</v>
      </c>
      <c r="F39" s="91">
        <f>VLOOKUP($A39,'Data Vlaue (Cr)'!$C:$FB,77)</f>
        <v>78</v>
      </c>
      <c r="G39" s="92">
        <f>VLOOKUP(A39,'Data Vlaue (Cr)'!C34:CB247,78,0)</f>
        <v>4.4699999999999997E-2</v>
      </c>
      <c r="H39" s="91">
        <f>VLOOKUP($A39,'Data Vlaue (Cr)'!$C:$FB,91)</f>
        <v>755</v>
      </c>
      <c r="I39" s="91">
        <f>VLOOKUP($A39,'Data Vlaue (Cr)'!$C:$FB,93)</f>
        <v>103</v>
      </c>
      <c r="J39" s="92">
        <f>VLOOKUP($A39,'Data Vlaue (Cr)'!$C:$FB,94)</f>
        <v>0.15790000000000001</v>
      </c>
      <c r="K39" s="91">
        <f>VLOOKUP($A39,'Data Vlaue (Cr)'!$C:$FB,95)</f>
        <v>410</v>
      </c>
      <c r="L39" s="91">
        <f>VLOOKUP($A39,'Data Vlaue (Cr)'!$C:$FB,97)</f>
        <v>43</v>
      </c>
      <c r="M39" s="92">
        <f>VLOOKUP($A39,'Data Vlaue (Cr)'!$C:$FB,98)</f>
        <v>0.1183</v>
      </c>
      <c r="N39" s="91">
        <f>VLOOKUP($A39,'Data Vlaue (Cr)'!$C:$FB,79)</f>
        <v>1775</v>
      </c>
      <c r="O39" s="92">
        <f>VLOOKUP($A39,'Data Vlaue (Cr)'!$C:$FB,82)</f>
        <v>3.6400000000000002E-2</v>
      </c>
    </row>
    <row r="40" spans="1:15" x14ac:dyDescent="0.25">
      <c r="A40" s="97" t="str">
        <f>'Data Vlaue (Cr)'!C35</f>
        <v>BLUESTARCO</v>
      </c>
      <c r="B40" s="142">
        <f>VLOOKUP(A40,'Data Vlaue (Cr)'!C35:CW248,99,0)</f>
        <v>656</v>
      </c>
      <c r="C40" s="90">
        <f>VLOOKUP(A40,'Data Vlaue (Cr)'!C35:CY248,101,0)</f>
        <v>43</v>
      </c>
      <c r="D40" s="139">
        <f>VLOOKUP(A40,'Data Vlaue (Cr)'!C35:CZ248,102,0)</f>
        <v>7.0199999999999999E-2</v>
      </c>
      <c r="E40" s="91">
        <f>VLOOKUP($A40,'Data Vlaue (Cr)'!$C:$FB,75)</f>
        <v>459</v>
      </c>
      <c r="F40" s="91">
        <f>VLOOKUP($A40,'Data Vlaue (Cr)'!$C:$FB,77)</f>
        <v>0</v>
      </c>
      <c r="G40" s="92">
        <f>VLOOKUP(A40,'Data Vlaue (Cr)'!C35:CB248,78,0)</f>
        <v>5.0000000000000001E-4</v>
      </c>
      <c r="H40" s="91">
        <f>VLOOKUP($A40,'Data Vlaue (Cr)'!$C:$FB,91)</f>
        <v>112</v>
      </c>
      <c r="I40" s="91">
        <f>VLOOKUP($A40,'Data Vlaue (Cr)'!$C:$FB,93)</f>
        <v>25</v>
      </c>
      <c r="J40" s="92">
        <f>VLOOKUP($A40,'Data Vlaue (Cr)'!$C:$FB,94)</f>
        <v>0.28899999999999998</v>
      </c>
      <c r="K40" s="91">
        <f>VLOOKUP($A40,'Data Vlaue (Cr)'!$C:$FB,95)</f>
        <v>85</v>
      </c>
      <c r="L40" s="91">
        <f>VLOOKUP($A40,'Data Vlaue (Cr)'!$C:$FB,97)</f>
        <v>18</v>
      </c>
      <c r="M40" s="92">
        <f>VLOOKUP($A40,'Data Vlaue (Cr)'!$C:$FB,98)</f>
        <v>0.2616</v>
      </c>
      <c r="N40" s="91">
        <f>VLOOKUP($A40,'Data Vlaue (Cr)'!$C:$FB,79)</f>
        <v>438</v>
      </c>
      <c r="O40" s="92">
        <f>VLOOKUP($A40,'Data Vlaue (Cr)'!$C:$FB,82)</f>
        <v>-3.4299999999999997E-2</v>
      </c>
    </row>
    <row r="41" spans="1:15" x14ac:dyDescent="0.25">
      <c r="A41" s="97" t="str">
        <f>'Data Vlaue (Cr)'!C36</f>
        <v>BOSCHLTD</v>
      </c>
      <c r="B41" s="142">
        <f>VLOOKUP(A41,'Data Vlaue (Cr)'!C36:CW249,99,0)</f>
        <v>2423</v>
      </c>
      <c r="C41" s="90">
        <f>VLOOKUP(A41,'Data Vlaue (Cr)'!C36:CY249,101,0)</f>
        <v>-18</v>
      </c>
      <c r="D41" s="139">
        <f>VLOOKUP(A41,'Data Vlaue (Cr)'!C36:CZ249,102,0)</f>
        <v>-7.1999999999999998E-3</v>
      </c>
      <c r="E41" s="91">
        <f>VLOOKUP($A41,'Data Vlaue (Cr)'!$C:$FB,75)</f>
        <v>777</v>
      </c>
      <c r="F41" s="91">
        <f>VLOOKUP($A41,'Data Vlaue (Cr)'!$C:$FB,77)</f>
        <v>25</v>
      </c>
      <c r="G41" s="92">
        <f>VLOOKUP(A41,'Data Vlaue (Cr)'!C36:CB249,78,0)</f>
        <v>3.3099999999999997E-2</v>
      </c>
      <c r="H41" s="91">
        <f>VLOOKUP($A41,'Data Vlaue (Cr)'!$C:$FB,91)</f>
        <v>957</v>
      </c>
      <c r="I41" s="91">
        <f>VLOOKUP($A41,'Data Vlaue (Cr)'!$C:$FB,93)</f>
        <v>-8</v>
      </c>
      <c r="J41" s="92">
        <f>VLOOKUP($A41,'Data Vlaue (Cr)'!$C:$FB,94)</f>
        <v>-8.6999999999999994E-3</v>
      </c>
      <c r="K41" s="91">
        <f>VLOOKUP($A41,'Data Vlaue (Cr)'!$C:$FB,95)</f>
        <v>689</v>
      </c>
      <c r="L41" s="91">
        <f>VLOOKUP($A41,'Data Vlaue (Cr)'!$C:$FB,97)</f>
        <v>-34</v>
      </c>
      <c r="M41" s="92">
        <f>VLOOKUP($A41,'Data Vlaue (Cr)'!$C:$FB,98)</f>
        <v>-4.7199999999999999E-2</v>
      </c>
      <c r="N41" s="91">
        <f>VLOOKUP($A41,'Data Vlaue (Cr)'!$C:$FB,79)</f>
        <v>759</v>
      </c>
      <c r="O41" s="92">
        <f>VLOOKUP($A41,'Data Vlaue (Cr)'!$C:$FB,82)</f>
        <v>3.1699999999999999E-2</v>
      </c>
    </row>
    <row r="42" spans="1:15" x14ac:dyDescent="0.25">
      <c r="A42" s="97" t="str">
        <f>'Data Vlaue (Cr)'!C37</f>
        <v>BPCL</v>
      </c>
      <c r="B42" s="142">
        <f>VLOOKUP(A42,'Data Vlaue (Cr)'!C37:CW250,99,0)</f>
        <v>2023</v>
      </c>
      <c r="C42" s="90">
        <f>VLOOKUP(A42,'Data Vlaue (Cr)'!C37:CY250,101,0)</f>
        <v>66</v>
      </c>
      <c r="D42" s="139">
        <f>VLOOKUP(A42,'Data Vlaue (Cr)'!C37:CZ250,102,0)</f>
        <v>3.3500000000000002E-2</v>
      </c>
      <c r="E42" s="91">
        <f>VLOOKUP($A42,'Data Vlaue (Cr)'!$C:$FB,75)</f>
        <v>1098</v>
      </c>
      <c r="F42" s="91">
        <f>VLOOKUP($A42,'Data Vlaue (Cr)'!$C:$FB,77)</f>
        <v>6</v>
      </c>
      <c r="G42" s="92">
        <f>VLOOKUP(A42,'Data Vlaue (Cr)'!C37:CB250,78,0)</f>
        <v>5.5999999999999999E-3</v>
      </c>
      <c r="H42" s="91">
        <f>VLOOKUP($A42,'Data Vlaue (Cr)'!$C:$FB,91)</f>
        <v>577</v>
      </c>
      <c r="I42" s="91">
        <f>VLOOKUP($A42,'Data Vlaue (Cr)'!$C:$FB,93)</f>
        <v>40</v>
      </c>
      <c r="J42" s="92">
        <f>VLOOKUP($A42,'Data Vlaue (Cr)'!$C:$FB,94)</f>
        <v>7.3700000000000002E-2</v>
      </c>
      <c r="K42" s="91">
        <f>VLOOKUP($A42,'Data Vlaue (Cr)'!$C:$FB,95)</f>
        <v>348</v>
      </c>
      <c r="L42" s="91">
        <f>VLOOKUP($A42,'Data Vlaue (Cr)'!$C:$FB,97)</f>
        <v>20</v>
      </c>
      <c r="M42" s="92">
        <f>VLOOKUP($A42,'Data Vlaue (Cr)'!$C:$FB,98)</f>
        <v>6.0400000000000002E-2</v>
      </c>
      <c r="N42" s="91">
        <f>VLOOKUP($A42,'Data Vlaue (Cr)'!$C:$FB,79)</f>
        <v>1038</v>
      </c>
      <c r="O42" s="92">
        <f>VLOOKUP($A42,'Data Vlaue (Cr)'!$C:$FB,82)</f>
        <v>2.3E-3</v>
      </c>
    </row>
    <row r="43" spans="1:15" x14ac:dyDescent="0.25">
      <c r="A43" s="97" t="str">
        <f>'Data Vlaue (Cr)'!C38</f>
        <v>BRITANNIA</v>
      </c>
      <c r="B43" s="142">
        <f>VLOOKUP(A43,'Data Vlaue (Cr)'!C38:CW251,99,0)</f>
        <v>2662</v>
      </c>
      <c r="C43" s="90">
        <f>VLOOKUP(A43,'Data Vlaue (Cr)'!C38:CY251,101,0)</f>
        <v>78</v>
      </c>
      <c r="D43" s="139">
        <f>VLOOKUP(A43,'Data Vlaue (Cr)'!C38:CZ251,102,0)</f>
        <v>3.0300000000000001E-2</v>
      </c>
      <c r="E43" s="91">
        <f>VLOOKUP($A43,'Data Vlaue (Cr)'!$C:$FB,75)</f>
        <v>1864</v>
      </c>
      <c r="F43" s="91">
        <f>VLOOKUP($A43,'Data Vlaue (Cr)'!$C:$FB,77)</f>
        <v>-20</v>
      </c>
      <c r="G43" s="92">
        <f>VLOOKUP(A43,'Data Vlaue (Cr)'!C38:CB251,78,0)</f>
        <v>-1.0800000000000001E-2</v>
      </c>
      <c r="H43" s="91">
        <f>VLOOKUP($A43,'Data Vlaue (Cr)'!$C:$FB,91)</f>
        <v>476</v>
      </c>
      <c r="I43" s="91">
        <f>VLOOKUP($A43,'Data Vlaue (Cr)'!$C:$FB,93)</f>
        <v>50</v>
      </c>
      <c r="J43" s="92">
        <f>VLOOKUP($A43,'Data Vlaue (Cr)'!$C:$FB,94)</f>
        <v>0.11600000000000001</v>
      </c>
      <c r="K43" s="91">
        <f>VLOOKUP($A43,'Data Vlaue (Cr)'!$C:$FB,95)</f>
        <v>321</v>
      </c>
      <c r="L43" s="91">
        <f>VLOOKUP($A43,'Data Vlaue (Cr)'!$C:$FB,97)</f>
        <v>49</v>
      </c>
      <c r="M43" s="92">
        <f>VLOOKUP($A43,'Data Vlaue (Cr)'!$C:$FB,98)</f>
        <v>0.1807</v>
      </c>
      <c r="N43" s="91">
        <f>VLOOKUP($A43,'Data Vlaue (Cr)'!$C:$FB,79)</f>
        <v>1853</v>
      </c>
      <c r="O43" s="92">
        <f>VLOOKUP($A43,'Data Vlaue (Cr)'!$C:$FB,82)</f>
        <v>-1.0699999999999999E-2</v>
      </c>
    </row>
    <row r="44" spans="1:15" x14ac:dyDescent="0.25">
      <c r="A44" s="97" t="str">
        <f>'Data Vlaue (Cr)'!C39</f>
        <v>BSE</v>
      </c>
      <c r="B44" s="142">
        <f>VLOOKUP(A44,'Data Vlaue (Cr)'!C39:CW252,99,0)</f>
        <v>6470</v>
      </c>
      <c r="C44" s="90">
        <f>VLOOKUP(A44,'Data Vlaue (Cr)'!C39:CY252,101,0)</f>
        <v>-162</v>
      </c>
      <c r="D44" s="139">
        <f>VLOOKUP(A44,'Data Vlaue (Cr)'!C39:CZ252,102,0)</f>
        <v>-2.4400000000000002E-2</v>
      </c>
      <c r="E44" s="91">
        <f>VLOOKUP($A44,'Data Vlaue (Cr)'!$C:$FB,75)</f>
        <v>3406</v>
      </c>
      <c r="F44" s="91">
        <f>VLOOKUP($A44,'Data Vlaue (Cr)'!$C:$FB,77)</f>
        <v>-20</v>
      </c>
      <c r="G44" s="92">
        <f>VLOOKUP(A44,'Data Vlaue (Cr)'!C39:CB252,78,0)</f>
        <v>-5.8999999999999999E-3</v>
      </c>
      <c r="H44" s="91">
        <f>VLOOKUP($A44,'Data Vlaue (Cr)'!$C:$FB,91)</f>
        <v>1741</v>
      </c>
      <c r="I44" s="91">
        <f>VLOOKUP($A44,'Data Vlaue (Cr)'!$C:$FB,93)</f>
        <v>-145</v>
      </c>
      <c r="J44" s="92">
        <f>VLOOKUP($A44,'Data Vlaue (Cr)'!$C:$FB,94)</f>
        <v>-7.6999999999999999E-2</v>
      </c>
      <c r="K44" s="91">
        <f>VLOOKUP($A44,'Data Vlaue (Cr)'!$C:$FB,95)</f>
        <v>1323</v>
      </c>
      <c r="L44" s="91">
        <f>VLOOKUP($A44,'Data Vlaue (Cr)'!$C:$FB,97)</f>
        <v>3</v>
      </c>
      <c r="M44" s="92">
        <f>VLOOKUP($A44,'Data Vlaue (Cr)'!$C:$FB,98)</f>
        <v>2.5000000000000001E-3</v>
      </c>
      <c r="N44" s="91">
        <f>VLOOKUP($A44,'Data Vlaue (Cr)'!$C:$FB,79)</f>
        <v>3250</v>
      </c>
      <c r="O44" s="92">
        <f>VLOOKUP($A44,'Data Vlaue (Cr)'!$C:$FB,82)</f>
        <v>-6.6E-3</v>
      </c>
    </row>
    <row r="45" spans="1:15" x14ac:dyDescent="0.25">
      <c r="A45" s="97" t="str">
        <f>'Data Vlaue (Cr)'!C40</f>
        <v>CAMS</v>
      </c>
      <c r="B45" s="142">
        <f>VLOOKUP(A45,'Data Vlaue (Cr)'!C40:CW253,99,0)</f>
        <v>986</v>
      </c>
      <c r="C45" s="90">
        <f>VLOOKUP(A45,'Data Vlaue (Cr)'!C40:CY253,101,0)</f>
        <v>17</v>
      </c>
      <c r="D45" s="139">
        <f>VLOOKUP(A45,'Data Vlaue (Cr)'!C40:CZ253,102,0)</f>
        <v>1.77E-2</v>
      </c>
      <c r="E45" s="91">
        <f>VLOOKUP($A45,'Data Vlaue (Cr)'!$C:$FB,75)</f>
        <v>583</v>
      </c>
      <c r="F45" s="91">
        <f>VLOOKUP($A45,'Data Vlaue (Cr)'!$C:$FB,77)</f>
        <v>-4</v>
      </c>
      <c r="G45" s="92">
        <f>VLOOKUP(A45,'Data Vlaue (Cr)'!C40:CB253,78,0)</f>
        <v>-6.7999999999999996E-3</v>
      </c>
      <c r="H45" s="91">
        <f>VLOOKUP($A45,'Data Vlaue (Cr)'!$C:$FB,91)</f>
        <v>210</v>
      </c>
      <c r="I45" s="91">
        <f>VLOOKUP($A45,'Data Vlaue (Cr)'!$C:$FB,93)</f>
        <v>13</v>
      </c>
      <c r="J45" s="92">
        <f>VLOOKUP($A45,'Data Vlaue (Cr)'!$C:$FB,94)</f>
        <v>6.8400000000000002E-2</v>
      </c>
      <c r="K45" s="91">
        <f>VLOOKUP($A45,'Data Vlaue (Cr)'!$C:$FB,95)</f>
        <v>194</v>
      </c>
      <c r="L45" s="91">
        <f>VLOOKUP($A45,'Data Vlaue (Cr)'!$C:$FB,97)</f>
        <v>8</v>
      </c>
      <c r="M45" s="92">
        <f>VLOOKUP($A45,'Data Vlaue (Cr)'!$C:$FB,98)</f>
        <v>4.1500000000000002E-2</v>
      </c>
      <c r="N45" s="91">
        <f>VLOOKUP($A45,'Data Vlaue (Cr)'!$C:$FB,79)</f>
        <v>545</v>
      </c>
      <c r="O45" s="92">
        <f>VLOOKUP($A45,'Data Vlaue (Cr)'!$C:$FB,82)</f>
        <v>-1.04E-2</v>
      </c>
    </row>
    <row r="46" spans="1:15" x14ac:dyDescent="0.25">
      <c r="A46" s="97" t="str">
        <f>'Data Vlaue (Cr)'!C41</f>
        <v>CANBK</v>
      </c>
      <c r="B46" s="142">
        <f>VLOOKUP(A46,'Data Vlaue (Cr)'!C41:CW254,99,0)</f>
        <v>4822</v>
      </c>
      <c r="C46" s="90">
        <f>VLOOKUP(A46,'Data Vlaue (Cr)'!C41:CY254,101,0)</f>
        <v>301</v>
      </c>
      <c r="D46" s="139">
        <f>VLOOKUP(A46,'Data Vlaue (Cr)'!C41:CZ254,102,0)</f>
        <v>6.6500000000000004E-2</v>
      </c>
      <c r="E46" s="91">
        <f>VLOOKUP($A46,'Data Vlaue (Cr)'!$C:$FB,75)</f>
        <v>2301</v>
      </c>
      <c r="F46" s="91">
        <f>VLOOKUP($A46,'Data Vlaue (Cr)'!$C:$FB,77)</f>
        <v>73</v>
      </c>
      <c r="G46" s="92">
        <f>VLOOKUP(A46,'Data Vlaue (Cr)'!C41:CB254,78,0)</f>
        <v>3.3000000000000002E-2</v>
      </c>
      <c r="H46" s="91">
        <f>VLOOKUP($A46,'Data Vlaue (Cr)'!$C:$FB,91)</f>
        <v>1454</v>
      </c>
      <c r="I46" s="91">
        <f>VLOOKUP($A46,'Data Vlaue (Cr)'!$C:$FB,93)</f>
        <v>168</v>
      </c>
      <c r="J46" s="92">
        <f>VLOOKUP($A46,'Data Vlaue (Cr)'!$C:$FB,94)</f>
        <v>0.1303</v>
      </c>
      <c r="K46" s="91">
        <f>VLOOKUP($A46,'Data Vlaue (Cr)'!$C:$FB,95)</f>
        <v>1067</v>
      </c>
      <c r="L46" s="91">
        <f>VLOOKUP($A46,'Data Vlaue (Cr)'!$C:$FB,97)</f>
        <v>60</v>
      </c>
      <c r="M46" s="92">
        <f>VLOOKUP($A46,'Data Vlaue (Cr)'!$C:$FB,98)</f>
        <v>5.9200000000000003E-2</v>
      </c>
      <c r="N46" s="91">
        <f>VLOOKUP($A46,'Data Vlaue (Cr)'!$C:$FB,79)</f>
        <v>2167</v>
      </c>
      <c r="O46" s="92">
        <f>VLOOKUP($A46,'Data Vlaue (Cr)'!$C:$FB,82)</f>
        <v>3.0200000000000001E-2</v>
      </c>
    </row>
    <row r="47" spans="1:15" x14ac:dyDescent="0.25">
      <c r="A47" s="97" t="str">
        <f>'Data Vlaue (Cr)'!C42</f>
        <v>CDSL</v>
      </c>
      <c r="B47" s="142">
        <f>VLOOKUP(A47,'Data Vlaue (Cr)'!C42:CW255,99,0)</f>
        <v>3365</v>
      </c>
      <c r="C47" s="90">
        <f>VLOOKUP(A47,'Data Vlaue (Cr)'!C42:CY255,101,0)</f>
        <v>-33</v>
      </c>
      <c r="D47" s="139">
        <f>VLOOKUP(A47,'Data Vlaue (Cr)'!C42:CZ255,102,0)</f>
        <v>-9.7999999999999997E-3</v>
      </c>
      <c r="E47" s="91">
        <f>VLOOKUP($A47,'Data Vlaue (Cr)'!$C:$FB,75)</f>
        <v>1620</v>
      </c>
      <c r="F47" s="91">
        <f>VLOOKUP($A47,'Data Vlaue (Cr)'!$C:$FB,77)</f>
        <v>-42</v>
      </c>
      <c r="G47" s="92">
        <f>VLOOKUP(A47,'Data Vlaue (Cr)'!C42:CB255,78,0)</f>
        <v>-2.5399999999999999E-2</v>
      </c>
      <c r="H47" s="91">
        <f>VLOOKUP($A47,'Data Vlaue (Cr)'!$C:$FB,91)</f>
        <v>1041</v>
      </c>
      <c r="I47" s="91">
        <f>VLOOKUP($A47,'Data Vlaue (Cr)'!$C:$FB,93)</f>
        <v>29</v>
      </c>
      <c r="J47" s="92">
        <f>VLOOKUP($A47,'Data Vlaue (Cr)'!$C:$FB,94)</f>
        <v>2.8899999999999999E-2</v>
      </c>
      <c r="K47" s="91">
        <f>VLOOKUP($A47,'Data Vlaue (Cr)'!$C:$FB,95)</f>
        <v>704</v>
      </c>
      <c r="L47" s="91">
        <f>VLOOKUP($A47,'Data Vlaue (Cr)'!$C:$FB,97)</f>
        <v>-20</v>
      </c>
      <c r="M47" s="92">
        <f>VLOOKUP($A47,'Data Vlaue (Cr)'!$C:$FB,98)</f>
        <v>-2.7900000000000001E-2</v>
      </c>
      <c r="N47" s="91">
        <f>VLOOKUP($A47,'Data Vlaue (Cr)'!$C:$FB,79)</f>
        <v>1511</v>
      </c>
      <c r="O47" s="92">
        <f>VLOOKUP($A47,'Data Vlaue (Cr)'!$C:$FB,82)</f>
        <v>-2.5999999999999999E-2</v>
      </c>
    </row>
    <row r="48" spans="1:15" x14ac:dyDescent="0.25">
      <c r="A48" s="97" t="str">
        <f>'Data Vlaue (Cr)'!C43</f>
        <v>CGPOWER</v>
      </c>
      <c r="B48" s="142">
        <f>VLOOKUP(A48,'Data Vlaue (Cr)'!C43:CW256,99,0)</f>
        <v>1599</v>
      </c>
      <c r="C48" s="90">
        <f>VLOOKUP(A48,'Data Vlaue (Cr)'!C43:CY256,101,0)</f>
        <v>62</v>
      </c>
      <c r="D48" s="139">
        <f>VLOOKUP(A48,'Data Vlaue (Cr)'!C43:CZ256,102,0)</f>
        <v>4.02E-2</v>
      </c>
      <c r="E48" s="91">
        <f>VLOOKUP($A48,'Data Vlaue (Cr)'!$C:$FB,75)</f>
        <v>1034</v>
      </c>
      <c r="F48" s="91">
        <f>VLOOKUP($A48,'Data Vlaue (Cr)'!$C:$FB,77)</f>
        <v>22</v>
      </c>
      <c r="G48" s="92">
        <f>VLOOKUP(A48,'Data Vlaue (Cr)'!C43:CB256,78,0)</f>
        <v>2.2200000000000001E-2</v>
      </c>
      <c r="H48" s="91">
        <f>VLOOKUP($A48,'Data Vlaue (Cr)'!$C:$FB,91)</f>
        <v>343</v>
      </c>
      <c r="I48" s="91">
        <f>VLOOKUP($A48,'Data Vlaue (Cr)'!$C:$FB,93)</f>
        <v>34</v>
      </c>
      <c r="J48" s="92">
        <f>VLOOKUP($A48,'Data Vlaue (Cr)'!$C:$FB,94)</f>
        <v>0.1089</v>
      </c>
      <c r="K48" s="91">
        <f>VLOOKUP($A48,'Data Vlaue (Cr)'!$C:$FB,95)</f>
        <v>222</v>
      </c>
      <c r="L48" s="91">
        <f>VLOOKUP($A48,'Data Vlaue (Cr)'!$C:$FB,97)</f>
        <v>6</v>
      </c>
      <c r="M48" s="92">
        <f>VLOOKUP($A48,'Data Vlaue (Cr)'!$C:$FB,98)</f>
        <v>2.6100000000000002E-2</v>
      </c>
      <c r="N48" s="91">
        <f>VLOOKUP($A48,'Data Vlaue (Cr)'!$C:$FB,79)</f>
        <v>997</v>
      </c>
      <c r="O48" s="92">
        <f>VLOOKUP($A48,'Data Vlaue (Cr)'!$C:$FB,82)</f>
        <v>1.9900000000000001E-2</v>
      </c>
    </row>
    <row r="49" spans="1:15" x14ac:dyDescent="0.25">
      <c r="A49" s="97" t="str">
        <f>'Data Vlaue (Cr)'!C44</f>
        <v>CHOLAFIN</v>
      </c>
      <c r="B49" s="142">
        <f>VLOOKUP(A49,'Data Vlaue (Cr)'!C44:CW257,99,0)</f>
        <v>3793</v>
      </c>
      <c r="C49" s="90">
        <f>VLOOKUP(A49,'Data Vlaue (Cr)'!C44:CY257,101,0)</f>
        <v>-14</v>
      </c>
      <c r="D49" s="139">
        <f>VLOOKUP(A49,'Data Vlaue (Cr)'!C44:CZ257,102,0)</f>
        <v>-3.8E-3</v>
      </c>
      <c r="E49" s="91">
        <f>VLOOKUP($A49,'Data Vlaue (Cr)'!$C:$FB,75)</f>
        <v>2028</v>
      </c>
      <c r="F49" s="91">
        <f>VLOOKUP($A49,'Data Vlaue (Cr)'!$C:$FB,77)</f>
        <v>-36</v>
      </c>
      <c r="G49" s="92">
        <f>VLOOKUP(A49,'Data Vlaue (Cr)'!C44:CB257,78,0)</f>
        <v>-1.77E-2</v>
      </c>
      <c r="H49" s="91">
        <f>VLOOKUP($A49,'Data Vlaue (Cr)'!$C:$FB,91)</f>
        <v>952</v>
      </c>
      <c r="I49" s="91">
        <f>VLOOKUP($A49,'Data Vlaue (Cr)'!$C:$FB,93)</f>
        <v>27</v>
      </c>
      <c r="J49" s="92">
        <f>VLOOKUP($A49,'Data Vlaue (Cr)'!$C:$FB,94)</f>
        <v>2.9700000000000001E-2</v>
      </c>
      <c r="K49" s="91">
        <f>VLOOKUP($A49,'Data Vlaue (Cr)'!$C:$FB,95)</f>
        <v>814</v>
      </c>
      <c r="L49" s="91">
        <f>VLOOKUP($A49,'Data Vlaue (Cr)'!$C:$FB,97)</f>
        <v>-5</v>
      </c>
      <c r="M49" s="92">
        <f>VLOOKUP($A49,'Data Vlaue (Cr)'!$C:$FB,98)</f>
        <v>-6.6E-3</v>
      </c>
      <c r="N49" s="91">
        <f>VLOOKUP($A49,'Data Vlaue (Cr)'!$C:$FB,79)</f>
        <v>1992</v>
      </c>
      <c r="O49" s="92">
        <f>VLOOKUP($A49,'Data Vlaue (Cr)'!$C:$FB,82)</f>
        <v>-1.8200000000000001E-2</v>
      </c>
    </row>
    <row r="50" spans="1:15" x14ac:dyDescent="0.25">
      <c r="A50" s="97" t="str">
        <f>'Data Vlaue (Cr)'!C45</f>
        <v>CIPLA</v>
      </c>
      <c r="B50" s="142">
        <f>VLOOKUP(A50,'Data Vlaue (Cr)'!C45:CW258,99,0)</f>
        <v>3528</v>
      </c>
      <c r="C50" s="90">
        <f>VLOOKUP(A50,'Data Vlaue (Cr)'!C45:CY258,101,0)</f>
        <v>854</v>
      </c>
      <c r="D50" s="139">
        <f>VLOOKUP(A50,'Data Vlaue (Cr)'!C45:CZ258,102,0)</f>
        <v>0.31929999999999997</v>
      </c>
      <c r="E50" s="91">
        <f>VLOOKUP($A50,'Data Vlaue (Cr)'!$C:$FB,75)</f>
        <v>1987</v>
      </c>
      <c r="F50" s="91">
        <f>VLOOKUP($A50,'Data Vlaue (Cr)'!$C:$FB,77)</f>
        <v>213</v>
      </c>
      <c r="G50" s="92">
        <f>VLOOKUP(A50,'Data Vlaue (Cr)'!C45:CB258,78,0)</f>
        <v>0.12</v>
      </c>
      <c r="H50" s="91">
        <f>VLOOKUP($A50,'Data Vlaue (Cr)'!$C:$FB,91)</f>
        <v>877</v>
      </c>
      <c r="I50" s="91">
        <f>VLOOKUP($A50,'Data Vlaue (Cr)'!$C:$FB,93)</f>
        <v>366</v>
      </c>
      <c r="J50" s="92">
        <f>VLOOKUP($A50,'Data Vlaue (Cr)'!$C:$FB,94)</f>
        <v>0.71630000000000005</v>
      </c>
      <c r="K50" s="91">
        <f>VLOOKUP($A50,'Data Vlaue (Cr)'!$C:$FB,95)</f>
        <v>663</v>
      </c>
      <c r="L50" s="91">
        <f>VLOOKUP($A50,'Data Vlaue (Cr)'!$C:$FB,97)</f>
        <v>275</v>
      </c>
      <c r="M50" s="92">
        <f>VLOOKUP($A50,'Data Vlaue (Cr)'!$C:$FB,98)</f>
        <v>0.7077</v>
      </c>
      <c r="N50" s="91">
        <f>VLOOKUP($A50,'Data Vlaue (Cr)'!$C:$FB,79)</f>
        <v>1930</v>
      </c>
      <c r="O50" s="92">
        <f>VLOOKUP($A50,'Data Vlaue (Cr)'!$C:$FB,82)</f>
        <v>0.1021</v>
      </c>
    </row>
    <row r="51" spans="1:15" x14ac:dyDescent="0.25">
      <c r="A51" s="97" t="str">
        <f>'Data Vlaue (Cr)'!C46</f>
        <v>COALINDIA</v>
      </c>
      <c r="B51" s="142">
        <f>VLOOKUP(A51,'Data Vlaue (Cr)'!C46:CW259,99,0)</f>
        <v>5606</v>
      </c>
      <c r="C51" s="90">
        <f>VLOOKUP(A51,'Data Vlaue (Cr)'!C46:CY259,101,0)</f>
        <v>81</v>
      </c>
      <c r="D51" s="139">
        <f>VLOOKUP(A51,'Data Vlaue (Cr)'!C46:CZ259,102,0)</f>
        <v>1.47E-2</v>
      </c>
      <c r="E51" s="91">
        <f>VLOOKUP($A51,'Data Vlaue (Cr)'!$C:$FB,75)</f>
        <v>2331</v>
      </c>
      <c r="F51" s="91">
        <f>VLOOKUP($A51,'Data Vlaue (Cr)'!$C:$FB,77)</f>
        <v>-50</v>
      </c>
      <c r="G51" s="92">
        <f>VLOOKUP(A51,'Data Vlaue (Cr)'!C46:CB259,78,0)</f>
        <v>-2.0799999999999999E-2</v>
      </c>
      <c r="H51" s="91">
        <f>VLOOKUP($A51,'Data Vlaue (Cr)'!$C:$FB,91)</f>
        <v>2093</v>
      </c>
      <c r="I51" s="91">
        <f>VLOOKUP($A51,'Data Vlaue (Cr)'!$C:$FB,93)</f>
        <v>84</v>
      </c>
      <c r="J51" s="92">
        <f>VLOOKUP($A51,'Data Vlaue (Cr)'!$C:$FB,94)</f>
        <v>4.2000000000000003E-2</v>
      </c>
      <c r="K51" s="91">
        <f>VLOOKUP($A51,'Data Vlaue (Cr)'!$C:$FB,95)</f>
        <v>1182</v>
      </c>
      <c r="L51" s="91">
        <f>VLOOKUP($A51,'Data Vlaue (Cr)'!$C:$FB,97)</f>
        <v>46</v>
      </c>
      <c r="M51" s="92">
        <f>VLOOKUP($A51,'Data Vlaue (Cr)'!$C:$FB,98)</f>
        <v>4.0800000000000003E-2</v>
      </c>
      <c r="N51" s="91">
        <f>VLOOKUP($A51,'Data Vlaue (Cr)'!$C:$FB,79)</f>
        <v>2178</v>
      </c>
      <c r="O51" s="92">
        <f>VLOOKUP($A51,'Data Vlaue (Cr)'!$C:$FB,82)</f>
        <v>-2.2800000000000001E-2</v>
      </c>
    </row>
    <row r="52" spans="1:15" x14ac:dyDescent="0.25">
      <c r="A52" s="97" t="str">
        <f>'Data Vlaue (Cr)'!C47</f>
        <v>COFORGE</v>
      </c>
      <c r="B52" s="142">
        <f>VLOOKUP(A52,'Data Vlaue (Cr)'!C47:CW260,99,0)</f>
        <v>5501</v>
      </c>
      <c r="C52" s="90">
        <f>VLOOKUP(A52,'Data Vlaue (Cr)'!C47:CY260,101,0)</f>
        <v>-187</v>
      </c>
      <c r="D52" s="139">
        <f>VLOOKUP(A52,'Data Vlaue (Cr)'!C47:CZ260,102,0)</f>
        <v>-3.2899999999999999E-2</v>
      </c>
      <c r="E52" s="91">
        <f>VLOOKUP($A52,'Data Vlaue (Cr)'!$C:$FB,75)</f>
        <v>2837</v>
      </c>
      <c r="F52" s="91">
        <f>VLOOKUP($A52,'Data Vlaue (Cr)'!$C:$FB,77)</f>
        <v>-71</v>
      </c>
      <c r="G52" s="92">
        <f>VLOOKUP(A52,'Data Vlaue (Cr)'!C47:CB260,78,0)</f>
        <v>-2.4299999999999999E-2</v>
      </c>
      <c r="H52" s="91">
        <f>VLOOKUP($A52,'Data Vlaue (Cr)'!$C:$FB,91)</f>
        <v>1782</v>
      </c>
      <c r="I52" s="91">
        <f>VLOOKUP($A52,'Data Vlaue (Cr)'!$C:$FB,93)</f>
        <v>-86</v>
      </c>
      <c r="J52" s="92">
        <f>VLOOKUP($A52,'Data Vlaue (Cr)'!$C:$FB,94)</f>
        <v>-4.58E-2</v>
      </c>
      <c r="K52" s="91">
        <f>VLOOKUP($A52,'Data Vlaue (Cr)'!$C:$FB,95)</f>
        <v>882</v>
      </c>
      <c r="L52" s="91">
        <f>VLOOKUP($A52,'Data Vlaue (Cr)'!$C:$FB,97)</f>
        <v>-31</v>
      </c>
      <c r="M52" s="92">
        <f>VLOOKUP($A52,'Data Vlaue (Cr)'!$C:$FB,98)</f>
        <v>-3.3599999999999998E-2</v>
      </c>
      <c r="N52" s="91">
        <f>VLOOKUP($A52,'Data Vlaue (Cr)'!$C:$FB,79)</f>
        <v>2734</v>
      </c>
      <c r="O52" s="92">
        <f>VLOOKUP($A52,'Data Vlaue (Cr)'!$C:$FB,82)</f>
        <v>-2.46E-2</v>
      </c>
    </row>
    <row r="53" spans="1:15" x14ac:dyDescent="0.25">
      <c r="A53" s="97" t="str">
        <f>'Data Vlaue (Cr)'!C48</f>
        <v>COLPAL</v>
      </c>
      <c r="B53" s="142">
        <f>VLOOKUP(A53,'Data Vlaue (Cr)'!C48:CW261,99,0)</f>
        <v>2334</v>
      </c>
      <c r="C53" s="90">
        <f>VLOOKUP(A53,'Data Vlaue (Cr)'!C48:CY261,101,0)</f>
        <v>64</v>
      </c>
      <c r="D53" s="139">
        <f>VLOOKUP(A53,'Data Vlaue (Cr)'!C48:CZ261,102,0)</f>
        <v>2.8400000000000002E-2</v>
      </c>
      <c r="E53" s="91">
        <f>VLOOKUP($A53,'Data Vlaue (Cr)'!$C:$FB,75)</f>
        <v>1467</v>
      </c>
      <c r="F53" s="91">
        <f>VLOOKUP($A53,'Data Vlaue (Cr)'!$C:$FB,77)</f>
        <v>20</v>
      </c>
      <c r="G53" s="92">
        <f>VLOOKUP(A53,'Data Vlaue (Cr)'!C48:CB261,78,0)</f>
        <v>1.41E-2</v>
      </c>
      <c r="H53" s="91">
        <f>VLOOKUP($A53,'Data Vlaue (Cr)'!$C:$FB,91)</f>
        <v>538</v>
      </c>
      <c r="I53" s="91">
        <f>VLOOKUP($A53,'Data Vlaue (Cr)'!$C:$FB,93)</f>
        <v>37</v>
      </c>
      <c r="J53" s="92">
        <f>VLOOKUP($A53,'Data Vlaue (Cr)'!$C:$FB,94)</f>
        <v>7.3200000000000001E-2</v>
      </c>
      <c r="K53" s="91">
        <f>VLOOKUP($A53,'Data Vlaue (Cr)'!$C:$FB,95)</f>
        <v>329</v>
      </c>
      <c r="L53" s="91">
        <f>VLOOKUP($A53,'Data Vlaue (Cr)'!$C:$FB,97)</f>
        <v>7</v>
      </c>
      <c r="M53" s="92">
        <f>VLOOKUP($A53,'Data Vlaue (Cr)'!$C:$FB,98)</f>
        <v>2.3E-2</v>
      </c>
      <c r="N53" s="91">
        <f>VLOOKUP($A53,'Data Vlaue (Cr)'!$C:$FB,79)</f>
        <v>1397</v>
      </c>
      <c r="O53" s="92">
        <f>VLOOKUP($A53,'Data Vlaue (Cr)'!$C:$FB,82)</f>
        <v>7.4999999999999997E-3</v>
      </c>
    </row>
    <row r="54" spans="1:15" x14ac:dyDescent="0.25">
      <c r="A54" s="97" t="str">
        <f>'Data Vlaue (Cr)'!C49</f>
        <v>CONCOR</v>
      </c>
      <c r="B54" s="142">
        <f>VLOOKUP(A54,'Data Vlaue (Cr)'!C49:CW262,99,0)</f>
        <v>3024</v>
      </c>
      <c r="C54" s="90">
        <f>VLOOKUP(A54,'Data Vlaue (Cr)'!C49:CY262,101,0)</f>
        <v>-13</v>
      </c>
      <c r="D54" s="139">
        <f>VLOOKUP(A54,'Data Vlaue (Cr)'!C49:CZ262,102,0)</f>
        <v>-4.4000000000000003E-3</v>
      </c>
      <c r="E54" s="91">
        <f>VLOOKUP($A54,'Data Vlaue (Cr)'!$C:$FB,75)</f>
        <v>1862</v>
      </c>
      <c r="F54" s="91">
        <f>VLOOKUP($A54,'Data Vlaue (Cr)'!$C:$FB,77)</f>
        <v>-32</v>
      </c>
      <c r="G54" s="92">
        <f>VLOOKUP(A54,'Data Vlaue (Cr)'!C49:CB262,78,0)</f>
        <v>-1.67E-2</v>
      </c>
      <c r="H54" s="91">
        <f>VLOOKUP($A54,'Data Vlaue (Cr)'!$C:$FB,91)</f>
        <v>696</v>
      </c>
      <c r="I54" s="91">
        <f>VLOOKUP($A54,'Data Vlaue (Cr)'!$C:$FB,93)</f>
        <v>7</v>
      </c>
      <c r="J54" s="92">
        <f>VLOOKUP($A54,'Data Vlaue (Cr)'!$C:$FB,94)</f>
        <v>1.0800000000000001E-2</v>
      </c>
      <c r="K54" s="91">
        <f>VLOOKUP($A54,'Data Vlaue (Cr)'!$C:$FB,95)</f>
        <v>467</v>
      </c>
      <c r="L54" s="91">
        <f>VLOOKUP($A54,'Data Vlaue (Cr)'!$C:$FB,97)</f>
        <v>11</v>
      </c>
      <c r="M54" s="92">
        <f>VLOOKUP($A54,'Data Vlaue (Cr)'!$C:$FB,98)</f>
        <v>2.3699999999999999E-2</v>
      </c>
      <c r="N54" s="91">
        <f>VLOOKUP($A54,'Data Vlaue (Cr)'!$C:$FB,79)</f>
        <v>1702</v>
      </c>
      <c r="O54" s="92">
        <f>VLOOKUP($A54,'Data Vlaue (Cr)'!$C:$FB,82)</f>
        <v>-2.3699999999999999E-2</v>
      </c>
    </row>
    <row r="55" spans="1:15" x14ac:dyDescent="0.25">
      <c r="A55" s="97" t="str">
        <f>'Data Vlaue (Cr)'!C50</f>
        <v>CROMPTON</v>
      </c>
      <c r="B55" s="142">
        <f>VLOOKUP(A55,'Data Vlaue (Cr)'!C50:CW263,99,0)</f>
        <v>2214</v>
      </c>
      <c r="C55" s="90">
        <f>VLOOKUP(A55,'Data Vlaue (Cr)'!C50:CY263,101,0)</f>
        <v>-29</v>
      </c>
      <c r="D55" s="139">
        <f>VLOOKUP(A55,'Data Vlaue (Cr)'!C50:CZ263,102,0)</f>
        <v>-1.29E-2</v>
      </c>
      <c r="E55" s="91">
        <f>VLOOKUP($A55,'Data Vlaue (Cr)'!$C:$FB,75)</f>
        <v>1482</v>
      </c>
      <c r="F55" s="91">
        <f>VLOOKUP($A55,'Data Vlaue (Cr)'!$C:$FB,77)</f>
        <v>-24</v>
      </c>
      <c r="G55" s="92">
        <f>VLOOKUP(A55,'Data Vlaue (Cr)'!C50:CB263,78,0)</f>
        <v>-1.61E-2</v>
      </c>
      <c r="H55" s="91">
        <f>VLOOKUP($A55,'Data Vlaue (Cr)'!$C:$FB,91)</f>
        <v>436</v>
      </c>
      <c r="I55" s="91">
        <f>VLOOKUP($A55,'Data Vlaue (Cr)'!$C:$FB,93)</f>
        <v>-13</v>
      </c>
      <c r="J55" s="92">
        <f>VLOOKUP($A55,'Data Vlaue (Cr)'!$C:$FB,94)</f>
        <v>-2.93E-2</v>
      </c>
      <c r="K55" s="91">
        <f>VLOOKUP($A55,'Data Vlaue (Cr)'!$C:$FB,95)</f>
        <v>296</v>
      </c>
      <c r="L55" s="91">
        <f>VLOOKUP($A55,'Data Vlaue (Cr)'!$C:$FB,97)</f>
        <v>9</v>
      </c>
      <c r="M55" s="92">
        <f>VLOOKUP($A55,'Data Vlaue (Cr)'!$C:$FB,98)</f>
        <v>2.98E-2</v>
      </c>
      <c r="N55" s="91">
        <f>VLOOKUP($A55,'Data Vlaue (Cr)'!$C:$FB,79)</f>
        <v>1414</v>
      </c>
      <c r="O55" s="92">
        <f>VLOOKUP($A55,'Data Vlaue (Cr)'!$C:$FB,82)</f>
        <v>-1.7000000000000001E-2</v>
      </c>
    </row>
    <row r="56" spans="1:15" x14ac:dyDescent="0.25">
      <c r="A56" s="97" t="str">
        <f>'Data Vlaue (Cr)'!C51</f>
        <v>CUMMINSIND</v>
      </c>
      <c r="B56" s="142">
        <f>VLOOKUP(A56,'Data Vlaue (Cr)'!C51:CW264,99,0)</f>
        <v>2537</v>
      </c>
      <c r="C56" s="90">
        <f>VLOOKUP(A56,'Data Vlaue (Cr)'!C51:CY264,101,0)</f>
        <v>39</v>
      </c>
      <c r="D56" s="139">
        <f>VLOOKUP(A56,'Data Vlaue (Cr)'!C51:CZ264,102,0)</f>
        <v>1.5800000000000002E-2</v>
      </c>
      <c r="E56" s="91">
        <f>VLOOKUP($A56,'Data Vlaue (Cr)'!$C:$FB,75)</f>
        <v>1505</v>
      </c>
      <c r="F56" s="91">
        <f>VLOOKUP($A56,'Data Vlaue (Cr)'!$C:$FB,77)</f>
        <v>24</v>
      </c>
      <c r="G56" s="92">
        <f>VLOOKUP(A56,'Data Vlaue (Cr)'!C51:CB264,78,0)</f>
        <v>1.6299999999999999E-2</v>
      </c>
      <c r="H56" s="91">
        <f>VLOOKUP($A56,'Data Vlaue (Cr)'!$C:$FB,91)</f>
        <v>660</v>
      </c>
      <c r="I56" s="91">
        <f>VLOOKUP($A56,'Data Vlaue (Cr)'!$C:$FB,93)</f>
        <v>-5</v>
      </c>
      <c r="J56" s="92">
        <f>VLOOKUP($A56,'Data Vlaue (Cr)'!$C:$FB,94)</f>
        <v>-7.7999999999999996E-3</v>
      </c>
      <c r="K56" s="91">
        <f>VLOOKUP($A56,'Data Vlaue (Cr)'!$C:$FB,95)</f>
        <v>372</v>
      </c>
      <c r="L56" s="91">
        <f>VLOOKUP($A56,'Data Vlaue (Cr)'!$C:$FB,97)</f>
        <v>20</v>
      </c>
      <c r="M56" s="92">
        <f>VLOOKUP($A56,'Data Vlaue (Cr)'!$C:$FB,98)</f>
        <v>5.8000000000000003E-2</v>
      </c>
      <c r="N56" s="91">
        <f>VLOOKUP($A56,'Data Vlaue (Cr)'!$C:$FB,79)</f>
        <v>1468</v>
      </c>
      <c r="O56" s="92">
        <f>VLOOKUP($A56,'Data Vlaue (Cr)'!$C:$FB,82)</f>
        <v>1.49E-2</v>
      </c>
    </row>
    <row r="57" spans="1:15" x14ac:dyDescent="0.25">
      <c r="A57" s="97" t="str">
        <f>'Data Vlaue (Cr)'!C52</f>
        <v>DABUR</v>
      </c>
      <c r="B57" s="142">
        <f>VLOOKUP(A57,'Data Vlaue (Cr)'!C52:CW265,99,0)</f>
        <v>2511</v>
      </c>
      <c r="C57" s="90">
        <f>VLOOKUP(A57,'Data Vlaue (Cr)'!C52:CY265,101,0)</f>
        <v>-24</v>
      </c>
      <c r="D57" s="139">
        <f>VLOOKUP(A57,'Data Vlaue (Cr)'!C52:CZ265,102,0)</f>
        <v>-9.5999999999999992E-3</v>
      </c>
      <c r="E57" s="91">
        <f>VLOOKUP($A57,'Data Vlaue (Cr)'!$C:$FB,75)</f>
        <v>1193</v>
      </c>
      <c r="F57" s="91">
        <f>VLOOKUP($A57,'Data Vlaue (Cr)'!$C:$FB,77)</f>
        <v>-19</v>
      </c>
      <c r="G57" s="92">
        <f>VLOOKUP(A57,'Data Vlaue (Cr)'!C52:CB265,78,0)</f>
        <v>-1.5900000000000001E-2</v>
      </c>
      <c r="H57" s="91">
        <f>VLOOKUP($A57,'Data Vlaue (Cr)'!$C:$FB,91)</f>
        <v>799</v>
      </c>
      <c r="I57" s="91">
        <f>VLOOKUP($A57,'Data Vlaue (Cr)'!$C:$FB,93)</f>
        <v>-3</v>
      </c>
      <c r="J57" s="92">
        <f>VLOOKUP($A57,'Data Vlaue (Cr)'!$C:$FB,94)</f>
        <v>-3.8999999999999998E-3</v>
      </c>
      <c r="K57" s="91">
        <f>VLOOKUP($A57,'Data Vlaue (Cr)'!$C:$FB,95)</f>
        <v>519</v>
      </c>
      <c r="L57" s="91">
        <f>VLOOKUP($A57,'Data Vlaue (Cr)'!$C:$FB,97)</f>
        <v>-2</v>
      </c>
      <c r="M57" s="92">
        <f>VLOOKUP($A57,'Data Vlaue (Cr)'!$C:$FB,98)</f>
        <v>-3.5999999999999999E-3</v>
      </c>
      <c r="N57" s="91">
        <f>VLOOKUP($A57,'Data Vlaue (Cr)'!$C:$FB,79)</f>
        <v>1167</v>
      </c>
      <c r="O57" s="92">
        <f>VLOOKUP($A57,'Data Vlaue (Cr)'!$C:$FB,82)</f>
        <v>-1.6500000000000001E-2</v>
      </c>
    </row>
    <row r="58" spans="1:15" x14ac:dyDescent="0.25">
      <c r="A58" s="97" t="str">
        <f>'Data Vlaue (Cr)'!C53</f>
        <v>DALBHARAT</v>
      </c>
      <c r="B58" s="142">
        <f>VLOOKUP(A58,'Data Vlaue (Cr)'!C53:CW266,99,0)</f>
        <v>906</v>
      </c>
      <c r="C58" s="90">
        <f>VLOOKUP(A58,'Data Vlaue (Cr)'!C53:CY266,101,0)</f>
        <v>16</v>
      </c>
      <c r="D58" s="139">
        <f>VLOOKUP(A58,'Data Vlaue (Cr)'!C53:CZ266,102,0)</f>
        <v>1.78E-2</v>
      </c>
      <c r="E58" s="91">
        <f>VLOOKUP($A58,'Data Vlaue (Cr)'!$C:$FB,75)</f>
        <v>588</v>
      </c>
      <c r="F58" s="91">
        <f>VLOOKUP($A58,'Data Vlaue (Cr)'!$C:$FB,77)</f>
        <v>-10</v>
      </c>
      <c r="G58" s="92">
        <f>VLOOKUP(A58,'Data Vlaue (Cr)'!C53:CB266,78,0)</f>
        <v>-1.67E-2</v>
      </c>
      <c r="H58" s="91">
        <f>VLOOKUP($A58,'Data Vlaue (Cr)'!$C:$FB,91)</f>
        <v>200</v>
      </c>
      <c r="I58" s="91">
        <f>VLOOKUP($A58,'Data Vlaue (Cr)'!$C:$FB,93)</f>
        <v>11</v>
      </c>
      <c r="J58" s="92">
        <f>VLOOKUP($A58,'Data Vlaue (Cr)'!$C:$FB,94)</f>
        <v>5.9499999999999997E-2</v>
      </c>
      <c r="K58" s="91">
        <f>VLOOKUP($A58,'Data Vlaue (Cr)'!$C:$FB,95)</f>
        <v>118</v>
      </c>
      <c r="L58" s="91">
        <f>VLOOKUP($A58,'Data Vlaue (Cr)'!$C:$FB,97)</f>
        <v>15</v>
      </c>
      <c r="M58" s="92">
        <f>VLOOKUP($A58,'Data Vlaue (Cr)'!$C:$FB,98)</f>
        <v>0.1409</v>
      </c>
      <c r="N58" s="91">
        <f>VLOOKUP($A58,'Data Vlaue (Cr)'!$C:$FB,79)</f>
        <v>572</v>
      </c>
      <c r="O58" s="92">
        <f>VLOOKUP($A58,'Data Vlaue (Cr)'!$C:$FB,82)</f>
        <v>-1.9099999999999999E-2</v>
      </c>
    </row>
    <row r="59" spans="1:15" x14ac:dyDescent="0.25">
      <c r="A59" s="97" t="str">
        <f>'Data Vlaue (Cr)'!C54</f>
        <v>DELHIVERY</v>
      </c>
      <c r="B59" s="142">
        <f>VLOOKUP(A59,'Data Vlaue (Cr)'!C54:CW267,99,0)</f>
        <v>1408</v>
      </c>
      <c r="C59" s="90">
        <f>VLOOKUP(A59,'Data Vlaue (Cr)'!C54:CY267,101,0)</f>
        <v>127</v>
      </c>
      <c r="D59" s="139">
        <f>VLOOKUP(A59,'Data Vlaue (Cr)'!C54:CZ267,102,0)</f>
        <v>9.9199999999999997E-2</v>
      </c>
      <c r="E59" s="91">
        <f>VLOOKUP($A59,'Data Vlaue (Cr)'!$C:$FB,75)</f>
        <v>917</v>
      </c>
      <c r="F59" s="91">
        <f>VLOOKUP($A59,'Data Vlaue (Cr)'!$C:$FB,77)</f>
        <v>62</v>
      </c>
      <c r="G59" s="92">
        <f>VLOOKUP(A59,'Data Vlaue (Cr)'!C54:CB267,78,0)</f>
        <v>7.2700000000000001E-2</v>
      </c>
      <c r="H59" s="91">
        <f>VLOOKUP($A59,'Data Vlaue (Cr)'!$C:$FB,91)</f>
        <v>278</v>
      </c>
      <c r="I59" s="91">
        <f>VLOOKUP($A59,'Data Vlaue (Cr)'!$C:$FB,93)</f>
        <v>47</v>
      </c>
      <c r="J59" s="92">
        <f>VLOOKUP($A59,'Data Vlaue (Cr)'!$C:$FB,94)</f>
        <v>0.20449999999999999</v>
      </c>
      <c r="K59" s="91">
        <f>VLOOKUP($A59,'Data Vlaue (Cr)'!$C:$FB,95)</f>
        <v>213</v>
      </c>
      <c r="L59" s="91">
        <f>VLOOKUP($A59,'Data Vlaue (Cr)'!$C:$FB,97)</f>
        <v>18</v>
      </c>
      <c r="M59" s="92">
        <f>VLOOKUP($A59,'Data Vlaue (Cr)'!$C:$FB,98)</f>
        <v>9.0700000000000003E-2</v>
      </c>
      <c r="N59" s="91">
        <f>VLOOKUP($A59,'Data Vlaue (Cr)'!$C:$FB,79)</f>
        <v>896</v>
      </c>
      <c r="O59" s="92">
        <f>VLOOKUP($A59,'Data Vlaue (Cr)'!$C:$FB,82)</f>
        <v>7.0000000000000007E-2</v>
      </c>
    </row>
    <row r="60" spans="1:15" x14ac:dyDescent="0.25">
      <c r="A60" s="97" t="str">
        <f>'Data Vlaue (Cr)'!C55</f>
        <v>DIVISLAB</v>
      </c>
      <c r="B60" s="142">
        <f>VLOOKUP(A60,'Data Vlaue (Cr)'!C55:CW268,99,0)</f>
        <v>3632</v>
      </c>
      <c r="C60" s="90">
        <f>VLOOKUP(A60,'Data Vlaue (Cr)'!C55:CY268,101,0)</f>
        <v>90</v>
      </c>
      <c r="D60" s="139">
        <f>VLOOKUP(A60,'Data Vlaue (Cr)'!C55:CZ268,102,0)</f>
        <v>2.5499999999999998E-2</v>
      </c>
      <c r="E60" s="91">
        <f>VLOOKUP($A60,'Data Vlaue (Cr)'!$C:$FB,75)</f>
        <v>2275</v>
      </c>
      <c r="F60" s="91">
        <f>VLOOKUP($A60,'Data Vlaue (Cr)'!$C:$FB,77)</f>
        <v>-30</v>
      </c>
      <c r="G60" s="92">
        <f>VLOOKUP(A60,'Data Vlaue (Cr)'!C55:CB268,78,0)</f>
        <v>-1.29E-2</v>
      </c>
      <c r="H60" s="91">
        <f>VLOOKUP($A60,'Data Vlaue (Cr)'!$C:$FB,91)</f>
        <v>828</v>
      </c>
      <c r="I60" s="91">
        <f>VLOOKUP($A60,'Data Vlaue (Cr)'!$C:$FB,93)</f>
        <v>83</v>
      </c>
      <c r="J60" s="92">
        <f>VLOOKUP($A60,'Data Vlaue (Cr)'!$C:$FB,94)</f>
        <v>0.1108</v>
      </c>
      <c r="K60" s="91">
        <f>VLOOKUP($A60,'Data Vlaue (Cr)'!$C:$FB,95)</f>
        <v>528</v>
      </c>
      <c r="L60" s="91">
        <f>VLOOKUP($A60,'Data Vlaue (Cr)'!$C:$FB,97)</f>
        <v>37</v>
      </c>
      <c r="M60" s="92">
        <f>VLOOKUP($A60,'Data Vlaue (Cr)'!$C:$FB,98)</f>
        <v>7.5800000000000006E-2</v>
      </c>
      <c r="N60" s="91">
        <f>VLOOKUP($A60,'Data Vlaue (Cr)'!$C:$FB,79)</f>
        <v>2235</v>
      </c>
      <c r="O60" s="92">
        <f>VLOOKUP($A60,'Data Vlaue (Cr)'!$C:$FB,82)</f>
        <v>-1.34E-2</v>
      </c>
    </row>
    <row r="61" spans="1:15" x14ac:dyDescent="0.25">
      <c r="A61" s="97" t="str">
        <f>'Data Vlaue (Cr)'!C56</f>
        <v>DIXON</v>
      </c>
      <c r="B61" s="142">
        <f>VLOOKUP(A61,'Data Vlaue (Cr)'!C56:CW269,99,0)</f>
        <v>9278</v>
      </c>
      <c r="C61" s="90">
        <f>VLOOKUP(A61,'Data Vlaue (Cr)'!C56:CY269,101,0)</f>
        <v>260</v>
      </c>
      <c r="D61" s="139">
        <f>VLOOKUP(A61,'Data Vlaue (Cr)'!C56:CZ269,102,0)</f>
        <v>2.8799999999999999E-2</v>
      </c>
      <c r="E61" s="91">
        <f>VLOOKUP($A61,'Data Vlaue (Cr)'!$C:$FB,75)</f>
        <v>3581</v>
      </c>
      <c r="F61" s="91">
        <f>VLOOKUP($A61,'Data Vlaue (Cr)'!$C:$FB,77)</f>
        <v>1</v>
      </c>
      <c r="G61" s="92">
        <f>VLOOKUP(A61,'Data Vlaue (Cr)'!C56:CB269,78,0)</f>
        <v>2.0000000000000001E-4</v>
      </c>
      <c r="H61" s="91">
        <f>VLOOKUP($A61,'Data Vlaue (Cr)'!$C:$FB,91)</f>
        <v>3575</v>
      </c>
      <c r="I61" s="91">
        <f>VLOOKUP($A61,'Data Vlaue (Cr)'!$C:$FB,93)</f>
        <v>131</v>
      </c>
      <c r="J61" s="92">
        <f>VLOOKUP($A61,'Data Vlaue (Cr)'!$C:$FB,94)</f>
        <v>3.7999999999999999E-2</v>
      </c>
      <c r="K61" s="91">
        <f>VLOOKUP($A61,'Data Vlaue (Cr)'!$C:$FB,95)</f>
        <v>2122</v>
      </c>
      <c r="L61" s="91">
        <f>VLOOKUP($A61,'Data Vlaue (Cr)'!$C:$FB,97)</f>
        <v>128</v>
      </c>
      <c r="M61" s="92">
        <f>VLOOKUP($A61,'Data Vlaue (Cr)'!$C:$FB,98)</f>
        <v>6.4299999999999996E-2</v>
      </c>
      <c r="N61" s="91">
        <f>VLOOKUP($A61,'Data Vlaue (Cr)'!$C:$FB,79)</f>
        <v>3302</v>
      </c>
      <c r="O61" s="92">
        <f>VLOOKUP($A61,'Data Vlaue (Cr)'!$C:$FB,82)</f>
        <v>-6.6E-3</v>
      </c>
    </row>
    <row r="62" spans="1:15" x14ac:dyDescent="0.25">
      <c r="A62" s="97" t="str">
        <f>'Data Vlaue (Cr)'!C57</f>
        <v>DLF</v>
      </c>
      <c r="B62" s="142">
        <f>VLOOKUP(A62,'Data Vlaue (Cr)'!C57:CW270,99,0)</f>
        <v>5385</v>
      </c>
      <c r="C62" s="90">
        <f>VLOOKUP(A62,'Data Vlaue (Cr)'!C57:CY270,101,0)</f>
        <v>76</v>
      </c>
      <c r="D62" s="139">
        <f>VLOOKUP(A62,'Data Vlaue (Cr)'!C57:CZ270,102,0)</f>
        <v>1.43E-2</v>
      </c>
      <c r="E62" s="91">
        <f>VLOOKUP($A62,'Data Vlaue (Cr)'!$C:$FB,75)</f>
        <v>3548</v>
      </c>
      <c r="F62" s="91">
        <f>VLOOKUP($A62,'Data Vlaue (Cr)'!$C:$FB,77)</f>
        <v>12</v>
      </c>
      <c r="G62" s="92">
        <f>VLOOKUP(A62,'Data Vlaue (Cr)'!C57:CB270,78,0)</f>
        <v>3.5000000000000001E-3</v>
      </c>
      <c r="H62" s="91">
        <f>VLOOKUP($A62,'Data Vlaue (Cr)'!$C:$FB,91)</f>
        <v>1049</v>
      </c>
      <c r="I62" s="91">
        <f>VLOOKUP($A62,'Data Vlaue (Cr)'!$C:$FB,93)</f>
        <v>63</v>
      </c>
      <c r="J62" s="92">
        <f>VLOOKUP($A62,'Data Vlaue (Cr)'!$C:$FB,94)</f>
        <v>6.3700000000000007E-2</v>
      </c>
      <c r="K62" s="91">
        <f>VLOOKUP($A62,'Data Vlaue (Cr)'!$C:$FB,95)</f>
        <v>789</v>
      </c>
      <c r="L62" s="91">
        <f>VLOOKUP($A62,'Data Vlaue (Cr)'!$C:$FB,97)</f>
        <v>1</v>
      </c>
      <c r="M62" s="92">
        <f>VLOOKUP($A62,'Data Vlaue (Cr)'!$C:$FB,98)</f>
        <v>1E-3</v>
      </c>
      <c r="N62" s="91">
        <f>VLOOKUP($A62,'Data Vlaue (Cr)'!$C:$FB,79)</f>
        <v>3452</v>
      </c>
      <c r="O62" s="92">
        <f>VLOOKUP($A62,'Data Vlaue (Cr)'!$C:$FB,82)</f>
        <v>-8.9999999999999998E-4</v>
      </c>
    </row>
    <row r="63" spans="1:15" x14ac:dyDescent="0.25">
      <c r="A63" s="97" t="str">
        <f>'Data Vlaue (Cr)'!C58</f>
        <v>DMART</v>
      </c>
      <c r="B63" s="142">
        <f>VLOOKUP(A63,'Data Vlaue (Cr)'!C58:CW271,99,0)</f>
        <v>3529</v>
      </c>
      <c r="C63" s="90">
        <f>VLOOKUP(A63,'Data Vlaue (Cr)'!C58:CY271,101,0)</f>
        <v>48</v>
      </c>
      <c r="D63" s="139">
        <f>VLOOKUP(A63,'Data Vlaue (Cr)'!C58:CZ271,102,0)</f>
        <v>1.3899999999999999E-2</v>
      </c>
      <c r="E63" s="91">
        <f>VLOOKUP($A63,'Data Vlaue (Cr)'!$C:$FB,75)</f>
        <v>2126</v>
      </c>
      <c r="F63" s="91">
        <f>VLOOKUP($A63,'Data Vlaue (Cr)'!$C:$FB,77)</f>
        <v>-85</v>
      </c>
      <c r="G63" s="92">
        <f>VLOOKUP(A63,'Data Vlaue (Cr)'!C58:CB271,78,0)</f>
        <v>-3.8399999999999997E-2</v>
      </c>
      <c r="H63" s="91">
        <f>VLOOKUP($A63,'Data Vlaue (Cr)'!$C:$FB,91)</f>
        <v>778</v>
      </c>
      <c r="I63" s="91">
        <f>VLOOKUP($A63,'Data Vlaue (Cr)'!$C:$FB,93)</f>
        <v>76</v>
      </c>
      <c r="J63" s="92">
        <f>VLOOKUP($A63,'Data Vlaue (Cr)'!$C:$FB,94)</f>
        <v>0.1075</v>
      </c>
      <c r="K63" s="91">
        <f>VLOOKUP($A63,'Data Vlaue (Cr)'!$C:$FB,95)</f>
        <v>625</v>
      </c>
      <c r="L63" s="91">
        <f>VLOOKUP($A63,'Data Vlaue (Cr)'!$C:$FB,97)</f>
        <v>58</v>
      </c>
      <c r="M63" s="92">
        <f>VLOOKUP($A63,'Data Vlaue (Cr)'!$C:$FB,98)</f>
        <v>0.10199999999999999</v>
      </c>
      <c r="N63" s="91">
        <f>VLOOKUP($A63,'Data Vlaue (Cr)'!$C:$FB,79)</f>
        <v>2061</v>
      </c>
      <c r="O63" s="92">
        <f>VLOOKUP($A63,'Data Vlaue (Cr)'!$C:$FB,82)</f>
        <v>-3.5099999999999999E-2</v>
      </c>
    </row>
    <row r="64" spans="1:15" x14ac:dyDescent="0.25">
      <c r="A64" s="97" t="str">
        <f>'Data Vlaue (Cr)'!C59</f>
        <v>DRREDDY</v>
      </c>
      <c r="B64" s="142">
        <f>VLOOKUP(A64,'Data Vlaue (Cr)'!C59:CW272,99,0)</f>
        <v>2803</v>
      </c>
      <c r="C64" s="90">
        <f>VLOOKUP(A64,'Data Vlaue (Cr)'!C59:CY272,101,0)</f>
        <v>130</v>
      </c>
      <c r="D64" s="139">
        <f>VLOOKUP(A64,'Data Vlaue (Cr)'!C59:CZ272,102,0)</f>
        <v>4.8800000000000003E-2</v>
      </c>
      <c r="E64" s="91">
        <f>VLOOKUP($A64,'Data Vlaue (Cr)'!$C:$FB,75)</f>
        <v>1687</v>
      </c>
      <c r="F64" s="91">
        <f>VLOOKUP($A64,'Data Vlaue (Cr)'!$C:$FB,77)</f>
        <v>74</v>
      </c>
      <c r="G64" s="92">
        <f>VLOOKUP(A64,'Data Vlaue (Cr)'!C59:CB272,78,0)</f>
        <v>4.6100000000000002E-2</v>
      </c>
      <c r="H64" s="91">
        <f>VLOOKUP($A64,'Data Vlaue (Cr)'!$C:$FB,91)</f>
        <v>674</v>
      </c>
      <c r="I64" s="91">
        <f>VLOOKUP($A64,'Data Vlaue (Cr)'!$C:$FB,93)</f>
        <v>47</v>
      </c>
      <c r="J64" s="92">
        <f>VLOOKUP($A64,'Data Vlaue (Cr)'!$C:$FB,94)</f>
        <v>7.51E-2</v>
      </c>
      <c r="K64" s="91">
        <f>VLOOKUP($A64,'Data Vlaue (Cr)'!$C:$FB,95)</f>
        <v>442</v>
      </c>
      <c r="L64" s="91">
        <f>VLOOKUP($A64,'Data Vlaue (Cr)'!$C:$FB,97)</f>
        <v>9</v>
      </c>
      <c r="M64" s="92">
        <f>VLOOKUP($A64,'Data Vlaue (Cr)'!$C:$FB,98)</f>
        <v>2.07E-2</v>
      </c>
      <c r="N64" s="91">
        <f>VLOOKUP($A64,'Data Vlaue (Cr)'!$C:$FB,79)</f>
        <v>1661</v>
      </c>
      <c r="O64" s="92">
        <f>VLOOKUP($A64,'Data Vlaue (Cr)'!$C:$FB,82)</f>
        <v>4.41E-2</v>
      </c>
    </row>
    <row r="65" spans="1:15" x14ac:dyDescent="0.25">
      <c r="A65" s="97" t="str">
        <f>'Data Vlaue (Cr)'!C60</f>
        <v>EICHERMOT</v>
      </c>
      <c r="B65" s="142">
        <f>VLOOKUP(A65,'Data Vlaue (Cr)'!C60:CW273,99,0)</f>
        <v>4394</v>
      </c>
      <c r="C65" s="90">
        <f>VLOOKUP(A65,'Data Vlaue (Cr)'!C60:CY273,101,0)</f>
        <v>219</v>
      </c>
      <c r="D65" s="139">
        <f>VLOOKUP(A65,'Data Vlaue (Cr)'!C60:CZ273,102,0)</f>
        <v>5.2499999999999998E-2</v>
      </c>
      <c r="E65" s="91">
        <f>VLOOKUP($A65,'Data Vlaue (Cr)'!$C:$FB,75)</f>
        <v>2320</v>
      </c>
      <c r="F65" s="91">
        <f>VLOOKUP($A65,'Data Vlaue (Cr)'!$C:$FB,77)</f>
        <v>22</v>
      </c>
      <c r="G65" s="92">
        <f>VLOOKUP(A65,'Data Vlaue (Cr)'!C60:CB273,78,0)</f>
        <v>9.5999999999999992E-3</v>
      </c>
      <c r="H65" s="91">
        <f>VLOOKUP($A65,'Data Vlaue (Cr)'!$C:$FB,91)</f>
        <v>985</v>
      </c>
      <c r="I65" s="91">
        <f>VLOOKUP($A65,'Data Vlaue (Cr)'!$C:$FB,93)</f>
        <v>67</v>
      </c>
      <c r="J65" s="92">
        <f>VLOOKUP($A65,'Data Vlaue (Cr)'!$C:$FB,94)</f>
        <v>7.2499999999999995E-2</v>
      </c>
      <c r="K65" s="91">
        <f>VLOOKUP($A65,'Data Vlaue (Cr)'!$C:$FB,95)</f>
        <v>1090</v>
      </c>
      <c r="L65" s="91">
        <f>VLOOKUP($A65,'Data Vlaue (Cr)'!$C:$FB,97)</f>
        <v>131</v>
      </c>
      <c r="M65" s="92">
        <f>VLOOKUP($A65,'Data Vlaue (Cr)'!$C:$FB,98)</f>
        <v>0.1363</v>
      </c>
      <c r="N65" s="91">
        <f>VLOOKUP($A65,'Data Vlaue (Cr)'!$C:$FB,79)</f>
        <v>2265</v>
      </c>
      <c r="O65" s="92">
        <f>VLOOKUP($A65,'Data Vlaue (Cr)'!$C:$FB,82)</f>
        <v>7.7000000000000002E-3</v>
      </c>
    </row>
    <row r="66" spans="1:15" x14ac:dyDescent="0.25">
      <c r="A66" s="97" t="str">
        <f>'Data Vlaue (Cr)'!C61</f>
        <v>ETERNAL</v>
      </c>
      <c r="B66" s="142">
        <f>VLOOKUP(A66,'Data Vlaue (Cr)'!C61:CW274,99,0)</f>
        <v>10419</v>
      </c>
      <c r="C66" s="90">
        <f>VLOOKUP(A66,'Data Vlaue (Cr)'!C61:CY274,101,0)</f>
        <v>363</v>
      </c>
      <c r="D66" s="139">
        <f>VLOOKUP(A66,'Data Vlaue (Cr)'!C61:CZ274,102,0)</f>
        <v>3.61E-2</v>
      </c>
      <c r="E66" s="91">
        <f>VLOOKUP($A66,'Data Vlaue (Cr)'!$C:$FB,75)</f>
        <v>8144</v>
      </c>
      <c r="F66" s="91">
        <f>VLOOKUP($A66,'Data Vlaue (Cr)'!$C:$FB,77)</f>
        <v>225</v>
      </c>
      <c r="G66" s="92">
        <f>VLOOKUP(A66,'Data Vlaue (Cr)'!C61:CB274,78,0)</f>
        <v>2.8400000000000002E-2</v>
      </c>
      <c r="H66" s="91">
        <f>VLOOKUP($A66,'Data Vlaue (Cr)'!$C:$FB,91)</f>
        <v>1314</v>
      </c>
      <c r="I66" s="91">
        <f>VLOOKUP($A66,'Data Vlaue (Cr)'!$C:$FB,93)</f>
        <v>90</v>
      </c>
      <c r="J66" s="92">
        <f>VLOOKUP($A66,'Data Vlaue (Cr)'!$C:$FB,94)</f>
        <v>7.3099999999999998E-2</v>
      </c>
      <c r="K66" s="91">
        <f>VLOOKUP($A66,'Data Vlaue (Cr)'!$C:$FB,95)</f>
        <v>961</v>
      </c>
      <c r="L66" s="91">
        <f>VLOOKUP($A66,'Data Vlaue (Cr)'!$C:$FB,97)</f>
        <v>49</v>
      </c>
      <c r="M66" s="92">
        <f>VLOOKUP($A66,'Data Vlaue (Cr)'!$C:$FB,98)</f>
        <v>5.3400000000000003E-2</v>
      </c>
      <c r="N66" s="91">
        <f>VLOOKUP($A66,'Data Vlaue (Cr)'!$C:$FB,79)</f>
        <v>7985</v>
      </c>
      <c r="O66" s="92">
        <f>VLOOKUP($A66,'Data Vlaue (Cr)'!$C:$FB,82)</f>
        <v>2.7699999999999999E-2</v>
      </c>
    </row>
    <row r="67" spans="1:15" x14ac:dyDescent="0.25">
      <c r="A67" s="97" t="str">
        <f>'Data Vlaue (Cr)'!C62</f>
        <v>EXIDEIND</v>
      </c>
      <c r="B67" s="142">
        <f>VLOOKUP(A67,'Data Vlaue (Cr)'!C62:CW275,99,0)</f>
        <v>2074</v>
      </c>
      <c r="C67" s="90">
        <f>VLOOKUP(A67,'Data Vlaue (Cr)'!C62:CY275,101,0)</f>
        <v>157</v>
      </c>
      <c r="D67" s="139">
        <f>VLOOKUP(A67,'Data Vlaue (Cr)'!C62:CZ275,102,0)</f>
        <v>8.2100000000000006E-2</v>
      </c>
      <c r="E67" s="91">
        <f>VLOOKUP($A67,'Data Vlaue (Cr)'!$C:$FB,75)</f>
        <v>1188</v>
      </c>
      <c r="F67" s="91">
        <f>VLOOKUP($A67,'Data Vlaue (Cr)'!$C:$FB,77)</f>
        <v>44</v>
      </c>
      <c r="G67" s="92">
        <f>VLOOKUP(A67,'Data Vlaue (Cr)'!C62:CB275,78,0)</f>
        <v>3.8199999999999998E-2</v>
      </c>
      <c r="H67" s="91">
        <f>VLOOKUP($A67,'Data Vlaue (Cr)'!$C:$FB,91)</f>
        <v>541</v>
      </c>
      <c r="I67" s="91">
        <f>VLOOKUP($A67,'Data Vlaue (Cr)'!$C:$FB,93)</f>
        <v>69</v>
      </c>
      <c r="J67" s="92">
        <f>VLOOKUP($A67,'Data Vlaue (Cr)'!$C:$FB,94)</f>
        <v>0.1464</v>
      </c>
      <c r="K67" s="91">
        <f>VLOOKUP($A67,'Data Vlaue (Cr)'!$C:$FB,95)</f>
        <v>345</v>
      </c>
      <c r="L67" s="91">
        <f>VLOOKUP($A67,'Data Vlaue (Cr)'!$C:$FB,97)</f>
        <v>44</v>
      </c>
      <c r="M67" s="92">
        <f>VLOOKUP($A67,'Data Vlaue (Cr)'!$C:$FB,98)</f>
        <v>0.14829999999999999</v>
      </c>
      <c r="N67" s="91">
        <f>VLOOKUP($A67,'Data Vlaue (Cr)'!$C:$FB,79)</f>
        <v>1104</v>
      </c>
      <c r="O67" s="92">
        <f>VLOOKUP($A67,'Data Vlaue (Cr)'!$C:$FB,82)</f>
        <v>2.35E-2</v>
      </c>
    </row>
    <row r="68" spans="1:15" x14ac:dyDescent="0.25">
      <c r="A68" s="97" t="str">
        <f>'Data Vlaue (Cr)'!C63</f>
        <v>FEDERALBNK</v>
      </c>
      <c r="B68" s="142">
        <f>VLOOKUP(A68,'Data Vlaue (Cr)'!C63:CW276,99,0)</f>
        <v>2914</v>
      </c>
      <c r="C68" s="90">
        <f>VLOOKUP(A68,'Data Vlaue (Cr)'!C63:CY276,101,0)</f>
        <v>28</v>
      </c>
      <c r="D68" s="139">
        <f>VLOOKUP(A68,'Data Vlaue (Cr)'!C63:CZ276,102,0)</f>
        <v>9.9000000000000008E-3</v>
      </c>
      <c r="E68" s="91">
        <f>VLOOKUP($A68,'Data Vlaue (Cr)'!$C:$FB,75)</f>
        <v>1455</v>
      </c>
      <c r="F68" s="91">
        <f>VLOOKUP($A68,'Data Vlaue (Cr)'!$C:$FB,77)</f>
        <v>-38</v>
      </c>
      <c r="G68" s="92">
        <f>VLOOKUP(A68,'Data Vlaue (Cr)'!C63:CB276,78,0)</f>
        <v>-2.5499999999999998E-2</v>
      </c>
      <c r="H68" s="91">
        <f>VLOOKUP($A68,'Data Vlaue (Cr)'!$C:$FB,91)</f>
        <v>828</v>
      </c>
      <c r="I68" s="91">
        <f>VLOOKUP($A68,'Data Vlaue (Cr)'!$C:$FB,93)</f>
        <v>31</v>
      </c>
      <c r="J68" s="92">
        <f>VLOOKUP($A68,'Data Vlaue (Cr)'!$C:$FB,94)</f>
        <v>3.85E-2</v>
      </c>
      <c r="K68" s="91">
        <f>VLOOKUP($A68,'Data Vlaue (Cr)'!$C:$FB,95)</f>
        <v>631</v>
      </c>
      <c r="L68" s="91">
        <f>VLOOKUP($A68,'Data Vlaue (Cr)'!$C:$FB,97)</f>
        <v>36</v>
      </c>
      <c r="M68" s="92">
        <f>VLOOKUP($A68,'Data Vlaue (Cr)'!$C:$FB,98)</f>
        <v>6.0299999999999999E-2</v>
      </c>
      <c r="N68" s="91">
        <f>VLOOKUP($A68,'Data Vlaue (Cr)'!$C:$FB,79)</f>
        <v>1375</v>
      </c>
      <c r="O68" s="92">
        <f>VLOOKUP($A68,'Data Vlaue (Cr)'!$C:$FB,82)</f>
        <v>-3.09E-2</v>
      </c>
    </row>
    <row r="69" spans="1:15" x14ac:dyDescent="0.25">
      <c r="A69" s="97" t="str">
        <f>'Data Vlaue (Cr)'!C64</f>
        <v>FINNIFTY</v>
      </c>
      <c r="B69" s="142">
        <f>VLOOKUP(A69,'Data Vlaue (Cr)'!C64:CW277,99,0)</f>
        <v>2542</v>
      </c>
      <c r="C69" s="90">
        <f>VLOOKUP(A69,'Data Vlaue (Cr)'!C64:CY277,101,0)</f>
        <v>-196</v>
      </c>
      <c r="D69" s="139">
        <f>VLOOKUP(A69,'Data Vlaue (Cr)'!C64:CZ277,102,0)</f>
        <v>-7.1599999999999997E-2</v>
      </c>
      <c r="E69" s="91">
        <f>VLOOKUP($A69,'Data Vlaue (Cr)'!$C:$FB,75)</f>
        <v>90</v>
      </c>
      <c r="F69" s="91">
        <f>VLOOKUP($A69,'Data Vlaue (Cr)'!$C:$FB,77)</f>
        <v>0</v>
      </c>
      <c r="G69" s="92">
        <f>VLOOKUP(A69,'Data Vlaue (Cr)'!C64:CB277,78,0)</f>
        <v>1.9E-3</v>
      </c>
      <c r="H69" s="91">
        <f>VLOOKUP($A69,'Data Vlaue (Cr)'!$C:$FB,91)</f>
        <v>1398</v>
      </c>
      <c r="I69" s="91">
        <f>VLOOKUP($A69,'Data Vlaue (Cr)'!$C:$FB,93)</f>
        <v>-117</v>
      </c>
      <c r="J69" s="92">
        <f>VLOOKUP($A69,'Data Vlaue (Cr)'!$C:$FB,94)</f>
        <v>-7.6999999999999999E-2</v>
      </c>
      <c r="K69" s="91">
        <f>VLOOKUP($A69,'Data Vlaue (Cr)'!$C:$FB,95)</f>
        <v>1055</v>
      </c>
      <c r="L69" s="91">
        <f>VLOOKUP($A69,'Data Vlaue (Cr)'!$C:$FB,97)</f>
        <v>-80</v>
      </c>
      <c r="M69" s="92">
        <f>VLOOKUP($A69,'Data Vlaue (Cr)'!$C:$FB,98)</f>
        <v>-7.0199999999999999E-2</v>
      </c>
      <c r="N69" s="91">
        <f>VLOOKUP($A69,'Data Vlaue (Cr)'!$C:$FB,79)</f>
        <v>89</v>
      </c>
      <c r="O69" s="92">
        <f>VLOOKUP($A69,'Data Vlaue (Cr)'!$C:$FB,82)</f>
        <v>1.9E-3</v>
      </c>
    </row>
    <row r="70" spans="1:15" x14ac:dyDescent="0.25">
      <c r="A70" s="97" t="str">
        <f>'Data Vlaue (Cr)'!C65</f>
        <v>FORTIS</v>
      </c>
      <c r="B70" s="142">
        <f>VLOOKUP(A70,'Data Vlaue (Cr)'!C65:CW278,99,0)</f>
        <v>1581</v>
      </c>
      <c r="C70" s="90">
        <f>VLOOKUP(A70,'Data Vlaue (Cr)'!C65:CY278,101,0)</f>
        <v>27</v>
      </c>
      <c r="D70" s="139">
        <f>VLOOKUP(A70,'Data Vlaue (Cr)'!C65:CZ278,102,0)</f>
        <v>1.7100000000000001E-2</v>
      </c>
      <c r="E70" s="91">
        <f>VLOOKUP($A70,'Data Vlaue (Cr)'!$C:$FB,75)</f>
        <v>1080</v>
      </c>
      <c r="F70" s="91">
        <f>VLOOKUP($A70,'Data Vlaue (Cr)'!$C:$FB,77)</f>
        <v>-9</v>
      </c>
      <c r="G70" s="92">
        <f>VLOOKUP(A70,'Data Vlaue (Cr)'!C65:CB278,78,0)</f>
        <v>-8.0999999999999996E-3</v>
      </c>
      <c r="H70" s="91">
        <f>VLOOKUP($A70,'Data Vlaue (Cr)'!$C:$FB,91)</f>
        <v>303</v>
      </c>
      <c r="I70" s="91">
        <f>VLOOKUP($A70,'Data Vlaue (Cr)'!$C:$FB,93)</f>
        <v>20</v>
      </c>
      <c r="J70" s="92">
        <f>VLOOKUP($A70,'Data Vlaue (Cr)'!$C:$FB,94)</f>
        <v>6.9599999999999995E-2</v>
      </c>
      <c r="K70" s="91">
        <f>VLOOKUP($A70,'Data Vlaue (Cr)'!$C:$FB,95)</f>
        <v>198</v>
      </c>
      <c r="L70" s="91">
        <f>VLOOKUP($A70,'Data Vlaue (Cr)'!$C:$FB,97)</f>
        <v>16</v>
      </c>
      <c r="M70" s="92">
        <f>VLOOKUP($A70,'Data Vlaue (Cr)'!$C:$FB,98)</f>
        <v>8.5699999999999998E-2</v>
      </c>
      <c r="N70" s="91">
        <f>VLOOKUP($A70,'Data Vlaue (Cr)'!$C:$FB,79)</f>
        <v>1061</v>
      </c>
      <c r="O70" s="92">
        <f>VLOOKUP($A70,'Data Vlaue (Cr)'!$C:$FB,82)</f>
        <v>-9.1999999999999998E-3</v>
      </c>
    </row>
    <row r="71" spans="1:15" x14ac:dyDescent="0.25">
      <c r="A71" s="97" t="str">
        <f>'Data Vlaue (Cr)'!C66</f>
        <v>GAIL</v>
      </c>
      <c r="B71" s="142">
        <f>VLOOKUP(A71,'Data Vlaue (Cr)'!C66:CW279,99,0)</f>
        <v>2702</v>
      </c>
      <c r="C71" s="90">
        <f>VLOOKUP(A71,'Data Vlaue (Cr)'!C66:CY279,101,0)</f>
        <v>138</v>
      </c>
      <c r="D71" s="139">
        <f>VLOOKUP(A71,'Data Vlaue (Cr)'!C66:CZ279,102,0)</f>
        <v>5.3699999999999998E-2</v>
      </c>
      <c r="E71" s="91">
        <f>VLOOKUP($A71,'Data Vlaue (Cr)'!$C:$FB,75)</f>
        <v>1533</v>
      </c>
      <c r="F71" s="91">
        <f>VLOOKUP($A71,'Data Vlaue (Cr)'!$C:$FB,77)</f>
        <v>58</v>
      </c>
      <c r="G71" s="92">
        <f>VLOOKUP(A71,'Data Vlaue (Cr)'!C66:CB279,78,0)</f>
        <v>3.9199999999999999E-2</v>
      </c>
      <c r="H71" s="91">
        <f>VLOOKUP($A71,'Data Vlaue (Cr)'!$C:$FB,91)</f>
        <v>626</v>
      </c>
      <c r="I71" s="91">
        <f>VLOOKUP($A71,'Data Vlaue (Cr)'!$C:$FB,93)</f>
        <v>49</v>
      </c>
      <c r="J71" s="92">
        <f>VLOOKUP($A71,'Data Vlaue (Cr)'!$C:$FB,94)</f>
        <v>8.5500000000000007E-2</v>
      </c>
      <c r="K71" s="91">
        <f>VLOOKUP($A71,'Data Vlaue (Cr)'!$C:$FB,95)</f>
        <v>543</v>
      </c>
      <c r="L71" s="91">
        <f>VLOOKUP($A71,'Data Vlaue (Cr)'!$C:$FB,97)</f>
        <v>30</v>
      </c>
      <c r="M71" s="92">
        <f>VLOOKUP($A71,'Data Vlaue (Cr)'!$C:$FB,98)</f>
        <v>5.9400000000000001E-2</v>
      </c>
      <c r="N71" s="91">
        <f>VLOOKUP($A71,'Data Vlaue (Cr)'!$C:$FB,79)</f>
        <v>1448</v>
      </c>
      <c r="O71" s="92">
        <f>VLOOKUP($A71,'Data Vlaue (Cr)'!$C:$FB,82)</f>
        <v>3.0499999999999999E-2</v>
      </c>
    </row>
    <row r="72" spans="1:15" x14ac:dyDescent="0.25">
      <c r="A72" s="97" t="str">
        <f>'Data Vlaue (Cr)'!C67</f>
        <v>GLENMARK</v>
      </c>
      <c r="B72" s="142">
        <f>VLOOKUP(A72,'Data Vlaue (Cr)'!C67:CW280,99,0)</f>
        <v>3427</v>
      </c>
      <c r="C72" s="90">
        <f>VLOOKUP(A72,'Data Vlaue (Cr)'!C67:CY280,101,0)</f>
        <v>208</v>
      </c>
      <c r="D72" s="139">
        <f>VLOOKUP(A72,'Data Vlaue (Cr)'!C67:CZ280,102,0)</f>
        <v>6.4600000000000005E-2</v>
      </c>
      <c r="E72" s="91">
        <f>VLOOKUP($A72,'Data Vlaue (Cr)'!$C:$FB,75)</f>
        <v>2403</v>
      </c>
      <c r="F72" s="91">
        <f>VLOOKUP($A72,'Data Vlaue (Cr)'!$C:$FB,77)</f>
        <v>-28</v>
      </c>
      <c r="G72" s="92">
        <f>VLOOKUP(A72,'Data Vlaue (Cr)'!C67:CB280,78,0)</f>
        <v>-1.1299999999999999E-2</v>
      </c>
      <c r="H72" s="91">
        <f>VLOOKUP($A72,'Data Vlaue (Cr)'!$C:$FB,91)</f>
        <v>673</v>
      </c>
      <c r="I72" s="91">
        <f>VLOOKUP($A72,'Data Vlaue (Cr)'!$C:$FB,93)</f>
        <v>170</v>
      </c>
      <c r="J72" s="92">
        <f>VLOOKUP($A72,'Data Vlaue (Cr)'!$C:$FB,94)</f>
        <v>0.3367</v>
      </c>
      <c r="K72" s="91">
        <f>VLOOKUP($A72,'Data Vlaue (Cr)'!$C:$FB,95)</f>
        <v>351</v>
      </c>
      <c r="L72" s="91">
        <f>VLOOKUP($A72,'Data Vlaue (Cr)'!$C:$FB,97)</f>
        <v>66</v>
      </c>
      <c r="M72" s="92">
        <f>VLOOKUP($A72,'Data Vlaue (Cr)'!$C:$FB,98)</f>
        <v>0.23050000000000001</v>
      </c>
      <c r="N72" s="91">
        <f>VLOOKUP($A72,'Data Vlaue (Cr)'!$C:$FB,79)</f>
        <v>2390</v>
      </c>
      <c r="O72" s="92">
        <f>VLOOKUP($A72,'Data Vlaue (Cr)'!$C:$FB,82)</f>
        <v>-1.18E-2</v>
      </c>
    </row>
    <row r="73" spans="1:15" x14ac:dyDescent="0.25">
      <c r="A73" s="97" t="str">
        <f>'Data Vlaue (Cr)'!C68</f>
        <v>GMRAIRPORT</v>
      </c>
      <c r="B73" s="142">
        <f>VLOOKUP(A73,'Data Vlaue (Cr)'!C68:CW281,99,0)</f>
        <v>3369</v>
      </c>
      <c r="C73" s="90">
        <f>VLOOKUP(A73,'Data Vlaue (Cr)'!C68:CY281,101,0)</f>
        <v>102</v>
      </c>
      <c r="D73" s="139">
        <f>VLOOKUP(A73,'Data Vlaue (Cr)'!C68:CZ281,102,0)</f>
        <v>3.1099999999999999E-2</v>
      </c>
      <c r="E73" s="91">
        <f>VLOOKUP($A73,'Data Vlaue (Cr)'!$C:$FB,75)</f>
        <v>1808</v>
      </c>
      <c r="F73" s="91">
        <f>VLOOKUP($A73,'Data Vlaue (Cr)'!$C:$FB,77)</f>
        <v>27</v>
      </c>
      <c r="G73" s="92">
        <f>VLOOKUP(A73,'Data Vlaue (Cr)'!C68:CB281,78,0)</f>
        <v>1.52E-2</v>
      </c>
      <c r="H73" s="91">
        <f>VLOOKUP($A73,'Data Vlaue (Cr)'!$C:$FB,91)</f>
        <v>999</v>
      </c>
      <c r="I73" s="91">
        <f>VLOOKUP($A73,'Data Vlaue (Cr)'!$C:$FB,93)</f>
        <v>55</v>
      </c>
      <c r="J73" s="92">
        <f>VLOOKUP($A73,'Data Vlaue (Cr)'!$C:$FB,94)</f>
        <v>5.79E-2</v>
      </c>
      <c r="K73" s="91">
        <f>VLOOKUP($A73,'Data Vlaue (Cr)'!$C:$FB,95)</f>
        <v>562</v>
      </c>
      <c r="L73" s="91">
        <f>VLOOKUP($A73,'Data Vlaue (Cr)'!$C:$FB,97)</f>
        <v>20</v>
      </c>
      <c r="M73" s="92">
        <f>VLOOKUP($A73,'Data Vlaue (Cr)'!$C:$FB,98)</f>
        <v>3.6900000000000002E-2</v>
      </c>
      <c r="N73" s="91">
        <f>VLOOKUP($A73,'Data Vlaue (Cr)'!$C:$FB,79)</f>
        <v>1755</v>
      </c>
      <c r="O73" s="92">
        <f>VLOOKUP($A73,'Data Vlaue (Cr)'!$C:$FB,82)</f>
        <v>1.34E-2</v>
      </c>
    </row>
    <row r="74" spans="1:15" x14ac:dyDescent="0.25">
      <c r="A74" s="97" t="str">
        <f>'Data Vlaue (Cr)'!C69</f>
        <v>GODREJCP</v>
      </c>
      <c r="B74" s="142">
        <f>VLOOKUP(A74,'Data Vlaue (Cr)'!C69:CW282,99,0)</f>
        <v>1557</v>
      </c>
      <c r="C74" s="90">
        <f>VLOOKUP(A74,'Data Vlaue (Cr)'!C69:CY282,101,0)</f>
        <v>62</v>
      </c>
      <c r="D74" s="139">
        <f>VLOOKUP(A74,'Data Vlaue (Cr)'!C69:CZ282,102,0)</f>
        <v>4.1300000000000003E-2</v>
      </c>
      <c r="E74" s="91">
        <f>VLOOKUP($A74,'Data Vlaue (Cr)'!$C:$FB,75)</f>
        <v>1161</v>
      </c>
      <c r="F74" s="91">
        <f>VLOOKUP($A74,'Data Vlaue (Cr)'!$C:$FB,77)</f>
        <v>-46</v>
      </c>
      <c r="G74" s="92">
        <f>VLOOKUP(A74,'Data Vlaue (Cr)'!C69:CB282,78,0)</f>
        <v>-3.7900000000000003E-2</v>
      </c>
      <c r="H74" s="91">
        <f>VLOOKUP($A74,'Data Vlaue (Cr)'!$C:$FB,91)</f>
        <v>240</v>
      </c>
      <c r="I74" s="91">
        <f>VLOOKUP($A74,'Data Vlaue (Cr)'!$C:$FB,93)</f>
        <v>81</v>
      </c>
      <c r="J74" s="92">
        <f>VLOOKUP($A74,'Data Vlaue (Cr)'!$C:$FB,94)</f>
        <v>0.51259999999999994</v>
      </c>
      <c r="K74" s="91">
        <f>VLOOKUP($A74,'Data Vlaue (Cr)'!$C:$FB,95)</f>
        <v>157</v>
      </c>
      <c r="L74" s="91">
        <f>VLOOKUP($A74,'Data Vlaue (Cr)'!$C:$FB,97)</f>
        <v>26</v>
      </c>
      <c r="M74" s="92">
        <f>VLOOKUP($A74,'Data Vlaue (Cr)'!$C:$FB,98)</f>
        <v>0.20130000000000001</v>
      </c>
      <c r="N74" s="91">
        <f>VLOOKUP($A74,'Data Vlaue (Cr)'!$C:$FB,79)</f>
        <v>1153</v>
      </c>
      <c r="O74" s="92">
        <f>VLOOKUP($A74,'Data Vlaue (Cr)'!$C:$FB,82)</f>
        <v>-4.0399999999999998E-2</v>
      </c>
    </row>
    <row r="75" spans="1:15" x14ac:dyDescent="0.25">
      <c r="A75" s="97" t="str">
        <f>'Data Vlaue (Cr)'!C70</f>
        <v>GODREJPROP</v>
      </c>
      <c r="B75" s="142">
        <f>VLOOKUP(A75,'Data Vlaue (Cr)'!C70:CW283,99,0)</f>
        <v>2941</v>
      </c>
      <c r="C75" s="90">
        <f>VLOOKUP(A75,'Data Vlaue (Cr)'!C70:CY283,101,0)</f>
        <v>112</v>
      </c>
      <c r="D75" s="139">
        <f>VLOOKUP(A75,'Data Vlaue (Cr)'!C70:CZ283,102,0)</f>
        <v>3.9600000000000003E-2</v>
      </c>
      <c r="E75" s="91">
        <f>VLOOKUP($A75,'Data Vlaue (Cr)'!$C:$FB,75)</f>
        <v>1974</v>
      </c>
      <c r="F75" s="91">
        <f>VLOOKUP($A75,'Data Vlaue (Cr)'!$C:$FB,77)</f>
        <v>79</v>
      </c>
      <c r="G75" s="92">
        <f>VLOOKUP(A75,'Data Vlaue (Cr)'!C70:CB283,78,0)</f>
        <v>4.1700000000000001E-2</v>
      </c>
      <c r="H75" s="91">
        <f>VLOOKUP($A75,'Data Vlaue (Cr)'!$C:$FB,91)</f>
        <v>487</v>
      </c>
      <c r="I75" s="91">
        <f>VLOOKUP($A75,'Data Vlaue (Cr)'!$C:$FB,93)</f>
        <v>14</v>
      </c>
      <c r="J75" s="92">
        <f>VLOOKUP($A75,'Data Vlaue (Cr)'!$C:$FB,94)</f>
        <v>3.0300000000000001E-2</v>
      </c>
      <c r="K75" s="91">
        <f>VLOOKUP($A75,'Data Vlaue (Cr)'!$C:$FB,95)</f>
        <v>481</v>
      </c>
      <c r="L75" s="91">
        <f>VLOOKUP($A75,'Data Vlaue (Cr)'!$C:$FB,97)</f>
        <v>19</v>
      </c>
      <c r="M75" s="92">
        <f>VLOOKUP($A75,'Data Vlaue (Cr)'!$C:$FB,98)</f>
        <v>4.0500000000000001E-2</v>
      </c>
      <c r="N75" s="91">
        <f>VLOOKUP($A75,'Data Vlaue (Cr)'!$C:$FB,79)</f>
        <v>1933</v>
      </c>
      <c r="O75" s="92">
        <f>VLOOKUP($A75,'Data Vlaue (Cr)'!$C:$FB,82)</f>
        <v>4.2700000000000002E-2</v>
      </c>
    </row>
    <row r="76" spans="1:15" x14ac:dyDescent="0.25">
      <c r="A76" s="97" t="str">
        <f>'Data Vlaue (Cr)'!C71</f>
        <v>GRASIM</v>
      </c>
      <c r="B76" s="142">
        <f>VLOOKUP(A76,'Data Vlaue (Cr)'!C71:CW284,99,0)</f>
        <v>5383</v>
      </c>
      <c r="C76" s="90">
        <f>VLOOKUP(A76,'Data Vlaue (Cr)'!C71:CY284,101,0)</f>
        <v>67</v>
      </c>
      <c r="D76" s="139">
        <f>VLOOKUP(A76,'Data Vlaue (Cr)'!C71:CZ284,102,0)</f>
        <v>1.2500000000000001E-2</v>
      </c>
      <c r="E76" s="91">
        <f>VLOOKUP($A76,'Data Vlaue (Cr)'!$C:$FB,75)</f>
        <v>4632</v>
      </c>
      <c r="F76" s="91">
        <f>VLOOKUP($A76,'Data Vlaue (Cr)'!$C:$FB,77)</f>
        <v>29</v>
      </c>
      <c r="G76" s="92">
        <f>VLOOKUP(A76,'Data Vlaue (Cr)'!C71:CB284,78,0)</f>
        <v>6.3E-3</v>
      </c>
      <c r="H76" s="91">
        <f>VLOOKUP($A76,'Data Vlaue (Cr)'!$C:$FB,91)</f>
        <v>369</v>
      </c>
      <c r="I76" s="91">
        <f>VLOOKUP($A76,'Data Vlaue (Cr)'!$C:$FB,93)</f>
        <v>26</v>
      </c>
      <c r="J76" s="92">
        <f>VLOOKUP($A76,'Data Vlaue (Cr)'!$C:$FB,94)</f>
        <v>7.5300000000000006E-2</v>
      </c>
      <c r="K76" s="91">
        <f>VLOOKUP($A76,'Data Vlaue (Cr)'!$C:$FB,95)</f>
        <v>381</v>
      </c>
      <c r="L76" s="91">
        <f>VLOOKUP($A76,'Data Vlaue (Cr)'!$C:$FB,97)</f>
        <v>12</v>
      </c>
      <c r="M76" s="92">
        <f>VLOOKUP($A76,'Data Vlaue (Cr)'!$C:$FB,98)</f>
        <v>3.1800000000000002E-2</v>
      </c>
      <c r="N76" s="91">
        <f>VLOOKUP($A76,'Data Vlaue (Cr)'!$C:$FB,79)</f>
        <v>4613</v>
      </c>
      <c r="O76" s="92">
        <f>VLOOKUP($A76,'Data Vlaue (Cr)'!$C:$FB,82)</f>
        <v>6.1999999999999998E-3</v>
      </c>
    </row>
    <row r="77" spans="1:15" x14ac:dyDescent="0.25">
      <c r="A77" s="97" t="str">
        <f>'Data Vlaue (Cr)'!C72</f>
        <v>HAL</v>
      </c>
      <c r="B77" s="142">
        <f>VLOOKUP(A77,'Data Vlaue (Cr)'!C72:CW285,99,0)</f>
        <v>7823</v>
      </c>
      <c r="C77" s="90">
        <f>VLOOKUP(A77,'Data Vlaue (Cr)'!C72:CY285,101,0)</f>
        <v>133</v>
      </c>
      <c r="D77" s="139">
        <f>VLOOKUP(A77,'Data Vlaue (Cr)'!C72:CZ285,102,0)</f>
        <v>1.7299999999999999E-2</v>
      </c>
      <c r="E77" s="91">
        <f>VLOOKUP($A77,'Data Vlaue (Cr)'!$C:$FB,75)</f>
        <v>4415</v>
      </c>
      <c r="F77" s="91">
        <f>VLOOKUP($A77,'Data Vlaue (Cr)'!$C:$FB,77)</f>
        <v>-12</v>
      </c>
      <c r="G77" s="92">
        <f>VLOOKUP(A77,'Data Vlaue (Cr)'!C72:CB285,78,0)</f>
        <v>-2.8E-3</v>
      </c>
      <c r="H77" s="91">
        <f>VLOOKUP($A77,'Data Vlaue (Cr)'!$C:$FB,91)</f>
        <v>2010</v>
      </c>
      <c r="I77" s="91">
        <f>VLOOKUP($A77,'Data Vlaue (Cr)'!$C:$FB,93)</f>
        <v>88</v>
      </c>
      <c r="J77" s="92">
        <f>VLOOKUP($A77,'Data Vlaue (Cr)'!$C:$FB,94)</f>
        <v>4.5999999999999999E-2</v>
      </c>
      <c r="K77" s="91">
        <f>VLOOKUP($A77,'Data Vlaue (Cr)'!$C:$FB,95)</f>
        <v>1398</v>
      </c>
      <c r="L77" s="91">
        <f>VLOOKUP($A77,'Data Vlaue (Cr)'!$C:$FB,97)</f>
        <v>57</v>
      </c>
      <c r="M77" s="92">
        <f>VLOOKUP($A77,'Data Vlaue (Cr)'!$C:$FB,98)</f>
        <v>4.24E-2</v>
      </c>
      <c r="N77" s="91">
        <f>VLOOKUP($A77,'Data Vlaue (Cr)'!$C:$FB,79)</f>
        <v>4005</v>
      </c>
      <c r="O77" s="92">
        <f>VLOOKUP($A77,'Data Vlaue (Cr)'!$C:$FB,82)</f>
        <v>-5.7000000000000002E-3</v>
      </c>
    </row>
    <row r="78" spans="1:15" x14ac:dyDescent="0.25">
      <c r="A78" s="97" t="str">
        <f>'Data Vlaue (Cr)'!C73</f>
        <v>HAVELLS</v>
      </c>
      <c r="B78" s="142">
        <f>VLOOKUP(A78,'Data Vlaue (Cr)'!C73:CW286,99,0)</f>
        <v>2019</v>
      </c>
      <c r="C78" s="90">
        <f>VLOOKUP(A78,'Data Vlaue (Cr)'!C73:CY286,101,0)</f>
        <v>75</v>
      </c>
      <c r="D78" s="139">
        <f>VLOOKUP(A78,'Data Vlaue (Cr)'!C73:CZ286,102,0)</f>
        <v>3.8300000000000001E-2</v>
      </c>
      <c r="E78" s="91">
        <f>VLOOKUP($A78,'Data Vlaue (Cr)'!$C:$FB,75)</f>
        <v>1310</v>
      </c>
      <c r="F78" s="91">
        <f>VLOOKUP($A78,'Data Vlaue (Cr)'!$C:$FB,77)</f>
        <v>35</v>
      </c>
      <c r="G78" s="92">
        <f>VLOOKUP(A78,'Data Vlaue (Cr)'!C73:CB286,78,0)</f>
        <v>2.7199999999999998E-2</v>
      </c>
      <c r="H78" s="91">
        <f>VLOOKUP($A78,'Data Vlaue (Cr)'!$C:$FB,91)</f>
        <v>374</v>
      </c>
      <c r="I78" s="91">
        <f>VLOOKUP($A78,'Data Vlaue (Cr)'!$C:$FB,93)</f>
        <v>14</v>
      </c>
      <c r="J78" s="92">
        <f>VLOOKUP($A78,'Data Vlaue (Cr)'!$C:$FB,94)</f>
        <v>3.9399999999999998E-2</v>
      </c>
      <c r="K78" s="91">
        <f>VLOOKUP($A78,'Data Vlaue (Cr)'!$C:$FB,95)</f>
        <v>336</v>
      </c>
      <c r="L78" s="91">
        <f>VLOOKUP($A78,'Data Vlaue (Cr)'!$C:$FB,97)</f>
        <v>26</v>
      </c>
      <c r="M78" s="92">
        <f>VLOOKUP($A78,'Data Vlaue (Cr)'!$C:$FB,98)</f>
        <v>8.3000000000000004E-2</v>
      </c>
      <c r="N78" s="91">
        <f>VLOOKUP($A78,'Data Vlaue (Cr)'!$C:$FB,79)</f>
        <v>1276</v>
      </c>
      <c r="O78" s="92">
        <f>VLOOKUP($A78,'Data Vlaue (Cr)'!$C:$FB,82)</f>
        <v>2.75E-2</v>
      </c>
    </row>
    <row r="79" spans="1:15" x14ac:dyDescent="0.25">
      <c r="A79" s="97" t="str">
        <f>'Data Vlaue (Cr)'!C74</f>
        <v>HCLTECH</v>
      </c>
      <c r="B79" s="142">
        <f>VLOOKUP(A79,'Data Vlaue (Cr)'!C74:CW287,99,0)</f>
        <v>4858</v>
      </c>
      <c r="C79" s="90">
        <f>VLOOKUP(A79,'Data Vlaue (Cr)'!C74:CY287,101,0)</f>
        <v>622</v>
      </c>
      <c r="D79" s="139">
        <f>VLOOKUP(A79,'Data Vlaue (Cr)'!C74:CZ287,102,0)</f>
        <v>0.14680000000000001</v>
      </c>
      <c r="E79" s="91">
        <f>VLOOKUP($A79,'Data Vlaue (Cr)'!$C:$FB,75)</f>
        <v>2885</v>
      </c>
      <c r="F79" s="91">
        <f>VLOOKUP($A79,'Data Vlaue (Cr)'!$C:$FB,77)</f>
        <v>184</v>
      </c>
      <c r="G79" s="92">
        <f>VLOOKUP(A79,'Data Vlaue (Cr)'!C74:CB287,78,0)</f>
        <v>6.8000000000000005E-2</v>
      </c>
      <c r="H79" s="91">
        <f>VLOOKUP($A79,'Data Vlaue (Cr)'!$C:$FB,91)</f>
        <v>1343</v>
      </c>
      <c r="I79" s="91">
        <f>VLOOKUP($A79,'Data Vlaue (Cr)'!$C:$FB,93)</f>
        <v>354</v>
      </c>
      <c r="J79" s="92">
        <f>VLOOKUP($A79,'Data Vlaue (Cr)'!$C:$FB,94)</f>
        <v>0.35749999999999998</v>
      </c>
      <c r="K79" s="91">
        <f>VLOOKUP($A79,'Data Vlaue (Cr)'!$C:$FB,95)</f>
        <v>630</v>
      </c>
      <c r="L79" s="91">
        <f>VLOOKUP($A79,'Data Vlaue (Cr)'!$C:$FB,97)</f>
        <v>84</v>
      </c>
      <c r="M79" s="92">
        <f>VLOOKUP($A79,'Data Vlaue (Cr)'!$C:$FB,98)</f>
        <v>0.15479999999999999</v>
      </c>
      <c r="N79" s="91">
        <f>VLOOKUP($A79,'Data Vlaue (Cr)'!$C:$FB,79)</f>
        <v>2842</v>
      </c>
      <c r="O79" s="92">
        <f>VLOOKUP($A79,'Data Vlaue (Cr)'!$C:$FB,82)</f>
        <v>6.9199999999999998E-2</v>
      </c>
    </row>
    <row r="80" spans="1:15" x14ac:dyDescent="0.25">
      <c r="A80" s="97" t="str">
        <f>'Data Vlaue (Cr)'!C75</f>
        <v>HDFCAMC</v>
      </c>
      <c r="B80" s="142">
        <f>VLOOKUP(A80,'Data Vlaue (Cr)'!C75:CW288,99,0)</f>
        <v>2499</v>
      </c>
      <c r="C80" s="90">
        <f>VLOOKUP(A80,'Data Vlaue (Cr)'!C75:CY288,101,0)</f>
        <v>120</v>
      </c>
      <c r="D80" s="139">
        <f>VLOOKUP(A80,'Data Vlaue (Cr)'!C75:CZ288,102,0)</f>
        <v>5.0700000000000002E-2</v>
      </c>
      <c r="E80" s="91">
        <f>VLOOKUP($A80,'Data Vlaue (Cr)'!$C:$FB,75)</f>
        <v>1733</v>
      </c>
      <c r="F80" s="91">
        <f>VLOOKUP($A80,'Data Vlaue (Cr)'!$C:$FB,77)</f>
        <v>20</v>
      </c>
      <c r="G80" s="92">
        <f>VLOOKUP(A80,'Data Vlaue (Cr)'!C75:CB288,78,0)</f>
        <v>1.18E-2</v>
      </c>
      <c r="H80" s="91">
        <f>VLOOKUP($A80,'Data Vlaue (Cr)'!$C:$FB,91)</f>
        <v>465</v>
      </c>
      <c r="I80" s="91">
        <f>VLOOKUP($A80,'Data Vlaue (Cr)'!$C:$FB,93)</f>
        <v>73</v>
      </c>
      <c r="J80" s="92">
        <f>VLOOKUP($A80,'Data Vlaue (Cr)'!$C:$FB,94)</f>
        <v>0.1875</v>
      </c>
      <c r="K80" s="91">
        <f>VLOOKUP($A80,'Data Vlaue (Cr)'!$C:$FB,95)</f>
        <v>300</v>
      </c>
      <c r="L80" s="91">
        <f>VLOOKUP($A80,'Data Vlaue (Cr)'!$C:$FB,97)</f>
        <v>27</v>
      </c>
      <c r="M80" s="92">
        <f>VLOOKUP($A80,'Data Vlaue (Cr)'!$C:$FB,98)</f>
        <v>9.8000000000000004E-2</v>
      </c>
      <c r="N80" s="91">
        <f>VLOOKUP($A80,'Data Vlaue (Cr)'!$C:$FB,79)</f>
        <v>1699</v>
      </c>
      <c r="O80" s="92">
        <f>VLOOKUP($A80,'Data Vlaue (Cr)'!$C:$FB,82)</f>
        <v>9.4999999999999998E-3</v>
      </c>
    </row>
    <row r="81" spans="1:15" x14ac:dyDescent="0.25">
      <c r="A81" s="97" t="str">
        <f>'Data Vlaue (Cr)'!C76</f>
        <v>HDFCBANK</v>
      </c>
      <c r="B81" s="142">
        <f>VLOOKUP(A81,'Data Vlaue (Cr)'!C76:CW289,99,0)</f>
        <v>30738</v>
      </c>
      <c r="C81" s="90">
        <f>VLOOKUP(A81,'Data Vlaue (Cr)'!C76:CY289,101,0)</f>
        <v>1909</v>
      </c>
      <c r="D81" s="139">
        <f>VLOOKUP(A81,'Data Vlaue (Cr)'!C76:CZ289,102,0)</f>
        <v>6.6199999999999995E-2</v>
      </c>
      <c r="E81" s="91">
        <f>VLOOKUP($A81,'Data Vlaue (Cr)'!$C:$FB,75)</f>
        <v>21484</v>
      </c>
      <c r="F81" s="91">
        <f>VLOOKUP($A81,'Data Vlaue (Cr)'!$C:$FB,77)</f>
        <v>313</v>
      </c>
      <c r="G81" s="92">
        <f>VLOOKUP(A81,'Data Vlaue (Cr)'!C76:CB289,78,0)</f>
        <v>1.4800000000000001E-2</v>
      </c>
      <c r="H81" s="91">
        <f>VLOOKUP($A81,'Data Vlaue (Cr)'!$C:$FB,91)</f>
        <v>5880</v>
      </c>
      <c r="I81" s="91">
        <f>VLOOKUP($A81,'Data Vlaue (Cr)'!$C:$FB,93)</f>
        <v>1107</v>
      </c>
      <c r="J81" s="92">
        <f>VLOOKUP($A81,'Data Vlaue (Cr)'!$C:$FB,94)</f>
        <v>0.23200000000000001</v>
      </c>
      <c r="K81" s="91">
        <f>VLOOKUP($A81,'Data Vlaue (Cr)'!$C:$FB,95)</f>
        <v>3375</v>
      </c>
      <c r="L81" s="91">
        <f>VLOOKUP($A81,'Data Vlaue (Cr)'!$C:$FB,97)</f>
        <v>489</v>
      </c>
      <c r="M81" s="92">
        <f>VLOOKUP($A81,'Data Vlaue (Cr)'!$C:$FB,98)</f>
        <v>0.16930000000000001</v>
      </c>
      <c r="N81" s="91">
        <f>VLOOKUP($A81,'Data Vlaue (Cr)'!$C:$FB,79)</f>
        <v>20596</v>
      </c>
      <c r="O81" s="92">
        <f>VLOOKUP($A81,'Data Vlaue (Cr)'!$C:$FB,82)</f>
        <v>-3.3999999999999998E-3</v>
      </c>
    </row>
    <row r="82" spans="1:15" x14ac:dyDescent="0.25">
      <c r="A82" s="97" t="str">
        <f>'Data Vlaue (Cr)'!C77</f>
        <v>HDFCLIFE</v>
      </c>
      <c r="B82" s="142">
        <f>VLOOKUP(A82,'Data Vlaue (Cr)'!C77:CW290,99,0)</f>
        <v>4092</v>
      </c>
      <c r="C82" s="90">
        <f>VLOOKUP(A82,'Data Vlaue (Cr)'!C77:CY290,101,0)</f>
        <v>56</v>
      </c>
      <c r="D82" s="139">
        <f>VLOOKUP(A82,'Data Vlaue (Cr)'!C77:CZ290,102,0)</f>
        <v>1.3899999999999999E-2</v>
      </c>
      <c r="E82" s="91">
        <f>VLOOKUP($A82,'Data Vlaue (Cr)'!$C:$FB,75)</f>
        <v>2795</v>
      </c>
      <c r="F82" s="91">
        <f>VLOOKUP($A82,'Data Vlaue (Cr)'!$C:$FB,77)</f>
        <v>-20</v>
      </c>
      <c r="G82" s="92">
        <f>VLOOKUP(A82,'Data Vlaue (Cr)'!C77:CB290,78,0)</f>
        <v>-7.0000000000000001E-3</v>
      </c>
      <c r="H82" s="91">
        <f>VLOOKUP($A82,'Data Vlaue (Cr)'!$C:$FB,91)</f>
        <v>787</v>
      </c>
      <c r="I82" s="91">
        <f>VLOOKUP($A82,'Data Vlaue (Cr)'!$C:$FB,93)</f>
        <v>48</v>
      </c>
      <c r="J82" s="92">
        <f>VLOOKUP($A82,'Data Vlaue (Cr)'!$C:$FB,94)</f>
        <v>6.5600000000000006E-2</v>
      </c>
      <c r="K82" s="91">
        <f>VLOOKUP($A82,'Data Vlaue (Cr)'!$C:$FB,95)</f>
        <v>510</v>
      </c>
      <c r="L82" s="91">
        <f>VLOOKUP($A82,'Data Vlaue (Cr)'!$C:$FB,97)</f>
        <v>28</v>
      </c>
      <c r="M82" s="92">
        <f>VLOOKUP($A82,'Data Vlaue (Cr)'!$C:$FB,98)</f>
        <v>5.7200000000000001E-2</v>
      </c>
      <c r="N82" s="91">
        <f>VLOOKUP($A82,'Data Vlaue (Cr)'!$C:$FB,79)</f>
        <v>2762</v>
      </c>
      <c r="O82" s="92">
        <f>VLOOKUP($A82,'Data Vlaue (Cr)'!$C:$FB,82)</f>
        <v>-7.3000000000000001E-3</v>
      </c>
    </row>
    <row r="83" spans="1:15" x14ac:dyDescent="0.25">
      <c r="A83" s="97" t="str">
        <f>'Data Vlaue (Cr)'!C78</f>
        <v>HEROMOTOCO</v>
      </c>
      <c r="B83" s="142">
        <f>VLOOKUP(A83,'Data Vlaue (Cr)'!C78:CW291,99,0)</f>
        <v>5766</v>
      </c>
      <c r="C83" s="90">
        <f>VLOOKUP(A83,'Data Vlaue (Cr)'!C78:CY291,101,0)</f>
        <v>17</v>
      </c>
      <c r="D83" s="139">
        <f>VLOOKUP(A83,'Data Vlaue (Cr)'!C78:CZ291,102,0)</f>
        <v>2.8999999999999998E-3</v>
      </c>
      <c r="E83" s="91">
        <f>VLOOKUP($A83,'Data Vlaue (Cr)'!$C:$FB,75)</f>
        <v>3434</v>
      </c>
      <c r="F83" s="91">
        <f>VLOOKUP($A83,'Data Vlaue (Cr)'!$C:$FB,77)</f>
        <v>-2</v>
      </c>
      <c r="G83" s="92">
        <f>VLOOKUP(A83,'Data Vlaue (Cr)'!C78:CB291,78,0)</f>
        <v>-5.0000000000000001E-4</v>
      </c>
      <c r="H83" s="91">
        <f>VLOOKUP($A83,'Data Vlaue (Cr)'!$C:$FB,91)</f>
        <v>1400</v>
      </c>
      <c r="I83" s="91">
        <f>VLOOKUP($A83,'Data Vlaue (Cr)'!$C:$FB,93)</f>
        <v>12</v>
      </c>
      <c r="J83" s="92">
        <f>VLOOKUP($A83,'Data Vlaue (Cr)'!$C:$FB,94)</f>
        <v>8.3000000000000001E-3</v>
      </c>
      <c r="K83" s="91">
        <f>VLOOKUP($A83,'Data Vlaue (Cr)'!$C:$FB,95)</f>
        <v>932</v>
      </c>
      <c r="L83" s="91">
        <f>VLOOKUP($A83,'Data Vlaue (Cr)'!$C:$FB,97)</f>
        <v>7</v>
      </c>
      <c r="M83" s="92">
        <f>VLOOKUP($A83,'Data Vlaue (Cr)'!$C:$FB,98)</f>
        <v>7.4999999999999997E-3</v>
      </c>
      <c r="N83" s="91">
        <f>VLOOKUP($A83,'Data Vlaue (Cr)'!$C:$FB,79)</f>
        <v>3368</v>
      </c>
      <c r="O83" s="92">
        <f>VLOOKUP($A83,'Data Vlaue (Cr)'!$C:$FB,82)</f>
        <v>-6.9999999999999999E-4</v>
      </c>
    </row>
    <row r="84" spans="1:15" x14ac:dyDescent="0.25">
      <c r="A84" s="97" t="str">
        <f>'Data Vlaue (Cr)'!C79</f>
        <v>HINDALCO</v>
      </c>
      <c r="B84" s="142">
        <f>VLOOKUP(A84,'Data Vlaue (Cr)'!C79:CW292,99,0)</f>
        <v>8317</v>
      </c>
      <c r="C84" s="90">
        <f>VLOOKUP(A84,'Data Vlaue (Cr)'!C79:CY292,101,0)</f>
        <v>-261</v>
      </c>
      <c r="D84" s="139">
        <f>VLOOKUP(A84,'Data Vlaue (Cr)'!C79:CZ292,102,0)</f>
        <v>-3.0499999999999999E-2</v>
      </c>
      <c r="E84" s="91">
        <f>VLOOKUP($A84,'Data Vlaue (Cr)'!$C:$FB,75)</f>
        <v>5437</v>
      </c>
      <c r="F84" s="91">
        <f>VLOOKUP($A84,'Data Vlaue (Cr)'!$C:$FB,77)</f>
        <v>-252</v>
      </c>
      <c r="G84" s="92">
        <f>VLOOKUP(A84,'Data Vlaue (Cr)'!C79:CB292,78,0)</f>
        <v>-4.4200000000000003E-2</v>
      </c>
      <c r="H84" s="91">
        <f>VLOOKUP($A84,'Data Vlaue (Cr)'!$C:$FB,91)</f>
        <v>1572</v>
      </c>
      <c r="I84" s="91">
        <f>VLOOKUP($A84,'Data Vlaue (Cr)'!$C:$FB,93)</f>
        <v>45</v>
      </c>
      <c r="J84" s="92">
        <f>VLOOKUP($A84,'Data Vlaue (Cr)'!$C:$FB,94)</f>
        <v>2.92E-2</v>
      </c>
      <c r="K84" s="91">
        <f>VLOOKUP($A84,'Data Vlaue (Cr)'!$C:$FB,95)</f>
        <v>1308</v>
      </c>
      <c r="L84" s="91">
        <f>VLOOKUP($A84,'Data Vlaue (Cr)'!$C:$FB,97)</f>
        <v>-54</v>
      </c>
      <c r="M84" s="92">
        <f>VLOOKUP($A84,'Data Vlaue (Cr)'!$C:$FB,98)</f>
        <v>-0.04</v>
      </c>
      <c r="N84" s="91">
        <f>VLOOKUP($A84,'Data Vlaue (Cr)'!$C:$FB,79)</f>
        <v>5360</v>
      </c>
      <c r="O84" s="92">
        <f>VLOOKUP($A84,'Data Vlaue (Cr)'!$C:$FB,82)</f>
        <v>-4.4600000000000001E-2</v>
      </c>
    </row>
    <row r="85" spans="1:15" x14ac:dyDescent="0.25">
      <c r="A85" s="97" t="str">
        <f>'Data Vlaue (Cr)'!C80</f>
        <v>HINDPETRO</v>
      </c>
      <c r="B85" s="142">
        <f>VLOOKUP(A85,'Data Vlaue (Cr)'!C80:CW293,99,0)</f>
        <v>2930</v>
      </c>
      <c r="C85" s="90">
        <f>VLOOKUP(A85,'Data Vlaue (Cr)'!C80:CY293,101,0)</f>
        <v>57</v>
      </c>
      <c r="D85" s="139">
        <f>VLOOKUP(A85,'Data Vlaue (Cr)'!C80:CZ293,102,0)</f>
        <v>1.9699999999999999E-2</v>
      </c>
      <c r="E85" s="91">
        <f>VLOOKUP($A85,'Data Vlaue (Cr)'!$C:$FB,75)</f>
        <v>1803</v>
      </c>
      <c r="F85" s="91">
        <f>VLOOKUP($A85,'Data Vlaue (Cr)'!$C:$FB,77)</f>
        <v>-8</v>
      </c>
      <c r="G85" s="92">
        <f>VLOOKUP(A85,'Data Vlaue (Cr)'!C80:CB293,78,0)</f>
        <v>-4.4999999999999997E-3</v>
      </c>
      <c r="H85" s="91">
        <f>VLOOKUP($A85,'Data Vlaue (Cr)'!$C:$FB,91)</f>
        <v>729</v>
      </c>
      <c r="I85" s="91">
        <f>VLOOKUP($A85,'Data Vlaue (Cr)'!$C:$FB,93)</f>
        <v>43</v>
      </c>
      <c r="J85" s="92">
        <f>VLOOKUP($A85,'Data Vlaue (Cr)'!$C:$FB,94)</f>
        <v>6.2399999999999997E-2</v>
      </c>
      <c r="K85" s="91">
        <f>VLOOKUP($A85,'Data Vlaue (Cr)'!$C:$FB,95)</f>
        <v>398</v>
      </c>
      <c r="L85" s="91">
        <f>VLOOKUP($A85,'Data Vlaue (Cr)'!$C:$FB,97)</f>
        <v>22</v>
      </c>
      <c r="M85" s="92">
        <f>VLOOKUP($A85,'Data Vlaue (Cr)'!$C:$FB,98)</f>
        <v>5.8500000000000003E-2</v>
      </c>
      <c r="N85" s="91">
        <f>VLOOKUP($A85,'Data Vlaue (Cr)'!$C:$FB,79)</f>
        <v>1731</v>
      </c>
      <c r="O85" s="92">
        <f>VLOOKUP($A85,'Data Vlaue (Cr)'!$C:$FB,82)</f>
        <v>-5.0000000000000001E-3</v>
      </c>
    </row>
    <row r="86" spans="1:15" x14ac:dyDescent="0.25">
      <c r="A86" s="97" t="str">
        <f>'Data Vlaue (Cr)'!C81</f>
        <v>HINDUNILVR</v>
      </c>
      <c r="B86" s="142">
        <f>VLOOKUP(A86,'Data Vlaue (Cr)'!C81:CW294,99,0)</f>
        <v>5454</v>
      </c>
      <c r="C86" s="90">
        <f>VLOOKUP(A86,'Data Vlaue (Cr)'!C81:CY294,101,0)</f>
        <v>170</v>
      </c>
      <c r="D86" s="139">
        <f>VLOOKUP(A86,'Data Vlaue (Cr)'!C81:CZ294,102,0)</f>
        <v>3.2300000000000002E-2</v>
      </c>
      <c r="E86" s="91">
        <f>VLOOKUP($A86,'Data Vlaue (Cr)'!$C:$FB,75)</f>
        <v>3305</v>
      </c>
      <c r="F86" s="91">
        <f>VLOOKUP($A86,'Data Vlaue (Cr)'!$C:$FB,77)</f>
        <v>94</v>
      </c>
      <c r="G86" s="92">
        <f>VLOOKUP(A86,'Data Vlaue (Cr)'!C81:CB294,78,0)</f>
        <v>2.93E-2</v>
      </c>
      <c r="H86" s="91">
        <f>VLOOKUP($A86,'Data Vlaue (Cr)'!$C:$FB,91)</f>
        <v>1337</v>
      </c>
      <c r="I86" s="91">
        <f>VLOOKUP($A86,'Data Vlaue (Cr)'!$C:$FB,93)</f>
        <v>108</v>
      </c>
      <c r="J86" s="92">
        <f>VLOOKUP($A86,'Data Vlaue (Cr)'!$C:$FB,94)</f>
        <v>8.7800000000000003E-2</v>
      </c>
      <c r="K86" s="91">
        <f>VLOOKUP($A86,'Data Vlaue (Cr)'!$C:$FB,95)</f>
        <v>812</v>
      </c>
      <c r="L86" s="91">
        <f>VLOOKUP($A86,'Data Vlaue (Cr)'!$C:$FB,97)</f>
        <v>-32</v>
      </c>
      <c r="M86" s="92">
        <f>VLOOKUP($A86,'Data Vlaue (Cr)'!$C:$FB,98)</f>
        <v>-3.7499999999999999E-2</v>
      </c>
      <c r="N86" s="91">
        <f>VLOOKUP($A86,'Data Vlaue (Cr)'!$C:$FB,79)</f>
        <v>3241</v>
      </c>
      <c r="O86" s="92">
        <f>VLOOKUP($A86,'Data Vlaue (Cr)'!$C:$FB,82)</f>
        <v>2.8199999999999999E-2</v>
      </c>
    </row>
    <row r="87" spans="1:15" x14ac:dyDescent="0.25">
      <c r="A87" s="97" t="str">
        <f>'Data Vlaue (Cr)'!C82</f>
        <v>HINDZINC</v>
      </c>
      <c r="B87" s="142">
        <f>VLOOKUP(A87,'Data Vlaue (Cr)'!C82:CW295,99,0)</f>
        <v>6427</v>
      </c>
      <c r="C87" s="90">
        <f>VLOOKUP(A87,'Data Vlaue (Cr)'!C82:CY295,101,0)</f>
        <v>379</v>
      </c>
      <c r="D87" s="139">
        <f>VLOOKUP(A87,'Data Vlaue (Cr)'!C82:CZ295,102,0)</f>
        <v>6.2700000000000006E-2</v>
      </c>
      <c r="E87" s="91">
        <f>VLOOKUP($A87,'Data Vlaue (Cr)'!$C:$FB,75)</f>
        <v>2184</v>
      </c>
      <c r="F87" s="91">
        <f>VLOOKUP($A87,'Data Vlaue (Cr)'!$C:$FB,77)</f>
        <v>-1</v>
      </c>
      <c r="G87" s="92">
        <f>VLOOKUP(A87,'Data Vlaue (Cr)'!C82:CB295,78,0)</f>
        <v>-4.0000000000000002E-4</v>
      </c>
      <c r="H87" s="91">
        <f>VLOOKUP($A87,'Data Vlaue (Cr)'!$C:$FB,91)</f>
        <v>2632</v>
      </c>
      <c r="I87" s="91">
        <f>VLOOKUP($A87,'Data Vlaue (Cr)'!$C:$FB,93)</f>
        <v>316</v>
      </c>
      <c r="J87" s="92">
        <f>VLOOKUP($A87,'Data Vlaue (Cr)'!$C:$FB,94)</f>
        <v>0.13639999999999999</v>
      </c>
      <c r="K87" s="91">
        <f>VLOOKUP($A87,'Data Vlaue (Cr)'!$C:$FB,95)</f>
        <v>1611</v>
      </c>
      <c r="L87" s="91">
        <f>VLOOKUP($A87,'Data Vlaue (Cr)'!$C:$FB,97)</f>
        <v>64</v>
      </c>
      <c r="M87" s="92">
        <f>VLOOKUP($A87,'Data Vlaue (Cr)'!$C:$FB,98)</f>
        <v>4.1200000000000001E-2</v>
      </c>
      <c r="N87" s="91">
        <f>VLOOKUP($A87,'Data Vlaue (Cr)'!$C:$FB,79)</f>
        <v>2009</v>
      </c>
      <c r="O87" s="92">
        <f>VLOOKUP($A87,'Data Vlaue (Cr)'!$C:$FB,82)</f>
        <v>-2.3E-3</v>
      </c>
    </row>
    <row r="88" spans="1:15" x14ac:dyDescent="0.25">
      <c r="A88" s="97" t="str">
        <f>'Data Vlaue (Cr)'!C83</f>
        <v>HUDCO</v>
      </c>
      <c r="B88" s="142">
        <f>VLOOKUP(A88,'Data Vlaue (Cr)'!C83:CW296,99,0)</f>
        <v>1692</v>
      </c>
      <c r="C88" s="90">
        <f>VLOOKUP(A88,'Data Vlaue (Cr)'!C83:CY296,101,0)</f>
        <v>35</v>
      </c>
      <c r="D88" s="139">
        <f>VLOOKUP(A88,'Data Vlaue (Cr)'!C83:CZ296,102,0)</f>
        <v>2.12E-2</v>
      </c>
      <c r="E88" s="91">
        <f>VLOOKUP($A88,'Data Vlaue (Cr)'!$C:$FB,75)</f>
        <v>908</v>
      </c>
      <c r="F88" s="91">
        <f>VLOOKUP($A88,'Data Vlaue (Cr)'!$C:$FB,77)</f>
        <v>-5</v>
      </c>
      <c r="G88" s="92">
        <f>VLOOKUP(A88,'Data Vlaue (Cr)'!C83:CB296,78,0)</f>
        <v>-5.7999999999999996E-3</v>
      </c>
      <c r="H88" s="91">
        <f>VLOOKUP($A88,'Data Vlaue (Cr)'!$C:$FB,91)</f>
        <v>455</v>
      </c>
      <c r="I88" s="91">
        <f>VLOOKUP($A88,'Data Vlaue (Cr)'!$C:$FB,93)</f>
        <v>32</v>
      </c>
      <c r="J88" s="92">
        <f>VLOOKUP($A88,'Data Vlaue (Cr)'!$C:$FB,94)</f>
        <v>7.5600000000000001E-2</v>
      </c>
      <c r="K88" s="91">
        <f>VLOOKUP($A88,'Data Vlaue (Cr)'!$C:$FB,95)</f>
        <v>328</v>
      </c>
      <c r="L88" s="91">
        <f>VLOOKUP($A88,'Data Vlaue (Cr)'!$C:$FB,97)</f>
        <v>8</v>
      </c>
      <c r="M88" s="92">
        <f>VLOOKUP($A88,'Data Vlaue (Cr)'!$C:$FB,98)</f>
        <v>2.6499999999999999E-2</v>
      </c>
      <c r="N88" s="91">
        <f>VLOOKUP($A88,'Data Vlaue (Cr)'!$C:$FB,79)</f>
        <v>872</v>
      </c>
      <c r="O88" s="92">
        <f>VLOOKUP($A88,'Data Vlaue (Cr)'!$C:$FB,82)</f>
        <v>-7.9000000000000008E-3</v>
      </c>
    </row>
    <row r="89" spans="1:15" x14ac:dyDescent="0.25">
      <c r="A89" s="97" t="str">
        <f>'Data Vlaue (Cr)'!C84</f>
        <v>ICICIBANK</v>
      </c>
      <c r="B89" s="142">
        <f>VLOOKUP(A89,'Data Vlaue (Cr)'!C84:CW297,99,0)</f>
        <v>24511</v>
      </c>
      <c r="C89" s="90">
        <f>VLOOKUP(A89,'Data Vlaue (Cr)'!C84:CY297,101,0)</f>
        <v>-391</v>
      </c>
      <c r="D89" s="139">
        <f>VLOOKUP(A89,'Data Vlaue (Cr)'!C84:CZ297,102,0)</f>
        <v>-1.5699999999999999E-2</v>
      </c>
      <c r="E89" s="91">
        <f>VLOOKUP($A89,'Data Vlaue (Cr)'!$C:$FB,75)</f>
        <v>16234</v>
      </c>
      <c r="F89" s="91">
        <f>VLOOKUP($A89,'Data Vlaue (Cr)'!$C:$FB,77)</f>
        <v>-836</v>
      </c>
      <c r="G89" s="92">
        <f>VLOOKUP(A89,'Data Vlaue (Cr)'!C84:CB297,78,0)</f>
        <v>-4.9000000000000002E-2</v>
      </c>
      <c r="H89" s="91">
        <f>VLOOKUP($A89,'Data Vlaue (Cr)'!$C:$FB,91)</f>
        <v>4852</v>
      </c>
      <c r="I89" s="91">
        <f>VLOOKUP($A89,'Data Vlaue (Cr)'!$C:$FB,93)</f>
        <v>401</v>
      </c>
      <c r="J89" s="92">
        <f>VLOOKUP($A89,'Data Vlaue (Cr)'!$C:$FB,94)</f>
        <v>0.09</v>
      </c>
      <c r="K89" s="91">
        <f>VLOOKUP($A89,'Data Vlaue (Cr)'!$C:$FB,95)</f>
        <v>3426</v>
      </c>
      <c r="L89" s="91">
        <f>VLOOKUP($A89,'Data Vlaue (Cr)'!$C:$FB,97)</f>
        <v>44</v>
      </c>
      <c r="M89" s="92">
        <f>VLOOKUP($A89,'Data Vlaue (Cr)'!$C:$FB,98)</f>
        <v>1.2999999999999999E-2</v>
      </c>
      <c r="N89" s="91">
        <f>VLOOKUP($A89,'Data Vlaue (Cr)'!$C:$FB,79)</f>
        <v>15797</v>
      </c>
      <c r="O89" s="92">
        <f>VLOOKUP($A89,'Data Vlaue (Cr)'!$C:$FB,82)</f>
        <v>-5.4100000000000002E-2</v>
      </c>
    </row>
    <row r="90" spans="1:15" x14ac:dyDescent="0.25">
      <c r="A90" s="97" t="str">
        <f>'Data Vlaue (Cr)'!C85</f>
        <v>ICICIGI</v>
      </c>
      <c r="B90" s="142">
        <f>VLOOKUP(A90,'Data Vlaue (Cr)'!C85:CW298,99,0)</f>
        <v>1384</v>
      </c>
      <c r="C90" s="90">
        <f>VLOOKUP(A90,'Data Vlaue (Cr)'!C85:CY298,101,0)</f>
        <v>30</v>
      </c>
      <c r="D90" s="139">
        <f>VLOOKUP(A90,'Data Vlaue (Cr)'!C85:CZ298,102,0)</f>
        <v>2.24E-2</v>
      </c>
      <c r="E90" s="91">
        <f>VLOOKUP($A90,'Data Vlaue (Cr)'!$C:$FB,75)</f>
        <v>1018</v>
      </c>
      <c r="F90" s="91">
        <f>VLOOKUP($A90,'Data Vlaue (Cr)'!$C:$FB,77)</f>
        <v>-1</v>
      </c>
      <c r="G90" s="92">
        <f>VLOOKUP(A90,'Data Vlaue (Cr)'!C85:CB298,78,0)</f>
        <v>-1.1000000000000001E-3</v>
      </c>
      <c r="H90" s="91">
        <f>VLOOKUP($A90,'Data Vlaue (Cr)'!$C:$FB,91)</f>
        <v>196</v>
      </c>
      <c r="I90" s="91">
        <f>VLOOKUP($A90,'Data Vlaue (Cr)'!$C:$FB,93)</f>
        <v>23</v>
      </c>
      <c r="J90" s="92">
        <f>VLOOKUP($A90,'Data Vlaue (Cr)'!$C:$FB,94)</f>
        <v>0.13550000000000001</v>
      </c>
      <c r="K90" s="91">
        <f>VLOOKUP($A90,'Data Vlaue (Cr)'!$C:$FB,95)</f>
        <v>170</v>
      </c>
      <c r="L90" s="91">
        <f>VLOOKUP($A90,'Data Vlaue (Cr)'!$C:$FB,97)</f>
        <v>8</v>
      </c>
      <c r="M90" s="92">
        <f>VLOOKUP($A90,'Data Vlaue (Cr)'!$C:$FB,98)</f>
        <v>0.05</v>
      </c>
      <c r="N90" s="91">
        <f>VLOOKUP($A90,'Data Vlaue (Cr)'!$C:$FB,79)</f>
        <v>1012</v>
      </c>
      <c r="O90" s="92">
        <f>VLOOKUP($A90,'Data Vlaue (Cr)'!$C:$FB,82)</f>
        <v>-1.2999999999999999E-3</v>
      </c>
    </row>
    <row r="91" spans="1:15" x14ac:dyDescent="0.25">
      <c r="A91" s="97" t="str">
        <f>'Data Vlaue (Cr)'!C86</f>
        <v>ICICIPRULI</v>
      </c>
      <c r="B91" s="142">
        <f>VLOOKUP(A91,'Data Vlaue (Cr)'!C86:CW299,99,0)</f>
        <v>1472</v>
      </c>
      <c r="C91" s="90">
        <f>VLOOKUP(A91,'Data Vlaue (Cr)'!C86:CY299,101,0)</f>
        <v>-18</v>
      </c>
      <c r="D91" s="139">
        <f>VLOOKUP(A91,'Data Vlaue (Cr)'!C86:CZ299,102,0)</f>
        <v>-1.23E-2</v>
      </c>
      <c r="E91" s="91">
        <f>VLOOKUP($A91,'Data Vlaue (Cr)'!$C:$FB,75)</f>
        <v>1108</v>
      </c>
      <c r="F91" s="91">
        <f>VLOOKUP($A91,'Data Vlaue (Cr)'!$C:$FB,77)</f>
        <v>-41</v>
      </c>
      <c r="G91" s="92">
        <f>VLOOKUP(A91,'Data Vlaue (Cr)'!C86:CB299,78,0)</f>
        <v>-3.5400000000000001E-2</v>
      </c>
      <c r="H91" s="91">
        <f>VLOOKUP($A91,'Data Vlaue (Cr)'!$C:$FB,91)</f>
        <v>187</v>
      </c>
      <c r="I91" s="91">
        <f>VLOOKUP($A91,'Data Vlaue (Cr)'!$C:$FB,93)</f>
        <v>15</v>
      </c>
      <c r="J91" s="92">
        <f>VLOOKUP($A91,'Data Vlaue (Cr)'!$C:$FB,94)</f>
        <v>8.4099999999999994E-2</v>
      </c>
      <c r="K91" s="91">
        <f>VLOOKUP($A91,'Data Vlaue (Cr)'!$C:$FB,95)</f>
        <v>176</v>
      </c>
      <c r="L91" s="91">
        <f>VLOOKUP($A91,'Data Vlaue (Cr)'!$C:$FB,97)</f>
        <v>8</v>
      </c>
      <c r="M91" s="92">
        <f>VLOOKUP($A91,'Data Vlaue (Cr)'!$C:$FB,98)</f>
        <v>4.5900000000000003E-2</v>
      </c>
      <c r="N91" s="91">
        <f>VLOOKUP($A91,'Data Vlaue (Cr)'!$C:$FB,79)</f>
        <v>1101</v>
      </c>
      <c r="O91" s="92">
        <f>VLOOKUP($A91,'Data Vlaue (Cr)'!$C:$FB,82)</f>
        <v>-3.6400000000000002E-2</v>
      </c>
    </row>
    <row r="92" spans="1:15" x14ac:dyDescent="0.25">
      <c r="A92" s="97" t="str">
        <f>'Data Vlaue (Cr)'!C87</f>
        <v>IDEA</v>
      </c>
      <c r="B92" s="142">
        <f>VLOOKUP(A92,'Data Vlaue (Cr)'!C87:CW300,99,0)</f>
        <v>12983</v>
      </c>
      <c r="C92" s="90">
        <f>VLOOKUP(A92,'Data Vlaue (Cr)'!C87:CY300,101,0)</f>
        <v>15</v>
      </c>
      <c r="D92" s="139">
        <f>VLOOKUP(A92,'Data Vlaue (Cr)'!C87:CZ300,102,0)</f>
        <v>1.1999999999999999E-3</v>
      </c>
      <c r="E92" s="91">
        <f>VLOOKUP($A92,'Data Vlaue (Cr)'!$C:$FB,75)</f>
        <v>8260</v>
      </c>
      <c r="F92" s="91">
        <f>VLOOKUP($A92,'Data Vlaue (Cr)'!$C:$FB,77)</f>
        <v>-6</v>
      </c>
      <c r="G92" s="92">
        <f>VLOOKUP(A92,'Data Vlaue (Cr)'!C87:CB300,78,0)</f>
        <v>-8.0000000000000004E-4</v>
      </c>
      <c r="H92" s="91">
        <f>VLOOKUP($A92,'Data Vlaue (Cr)'!$C:$FB,91)</f>
        <v>2941</v>
      </c>
      <c r="I92" s="91">
        <f>VLOOKUP($A92,'Data Vlaue (Cr)'!$C:$FB,93)</f>
        <v>44</v>
      </c>
      <c r="J92" s="92">
        <f>VLOOKUP($A92,'Data Vlaue (Cr)'!$C:$FB,94)</f>
        <v>1.54E-2</v>
      </c>
      <c r="K92" s="91">
        <f>VLOOKUP($A92,'Data Vlaue (Cr)'!$C:$FB,95)</f>
        <v>1782</v>
      </c>
      <c r="L92" s="91">
        <f>VLOOKUP($A92,'Data Vlaue (Cr)'!$C:$FB,97)</f>
        <v>-23</v>
      </c>
      <c r="M92" s="92">
        <f>VLOOKUP($A92,'Data Vlaue (Cr)'!$C:$FB,98)</f>
        <v>-1.2699999999999999E-2</v>
      </c>
      <c r="N92" s="91">
        <f>VLOOKUP($A92,'Data Vlaue (Cr)'!$C:$FB,79)</f>
        <v>7773</v>
      </c>
      <c r="O92" s="92">
        <f>VLOOKUP($A92,'Data Vlaue (Cr)'!$C:$FB,82)</f>
        <v>-2.0999999999999999E-3</v>
      </c>
    </row>
    <row r="93" spans="1:15" x14ac:dyDescent="0.25">
      <c r="A93" s="97" t="str">
        <f>'Data Vlaue (Cr)'!C88</f>
        <v>IDFCFIRSTB</v>
      </c>
      <c r="B93" s="142">
        <f>VLOOKUP(A93,'Data Vlaue (Cr)'!C88:CW301,99,0)</f>
        <v>4291</v>
      </c>
      <c r="C93" s="90">
        <f>VLOOKUP(A93,'Data Vlaue (Cr)'!C88:CY301,101,0)</f>
        <v>126</v>
      </c>
      <c r="D93" s="139">
        <f>VLOOKUP(A93,'Data Vlaue (Cr)'!C88:CZ301,102,0)</f>
        <v>3.0300000000000001E-2</v>
      </c>
      <c r="E93" s="91">
        <f>VLOOKUP($A93,'Data Vlaue (Cr)'!$C:$FB,75)</f>
        <v>2740</v>
      </c>
      <c r="F93" s="91">
        <f>VLOOKUP($A93,'Data Vlaue (Cr)'!$C:$FB,77)</f>
        <v>72</v>
      </c>
      <c r="G93" s="92">
        <f>VLOOKUP(A93,'Data Vlaue (Cr)'!C88:CB301,78,0)</f>
        <v>2.7E-2</v>
      </c>
      <c r="H93" s="91">
        <f>VLOOKUP($A93,'Data Vlaue (Cr)'!$C:$FB,91)</f>
        <v>997</v>
      </c>
      <c r="I93" s="91">
        <f>VLOOKUP($A93,'Data Vlaue (Cr)'!$C:$FB,93)</f>
        <v>34</v>
      </c>
      <c r="J93" s="92">
        <f>VLOOKUP($A93,'Data Vlaue (Cr)'!$C:$FB,94)</f>
        <v>3.56E-2</v>
      </c>
      <c r="K93" s="91">
        <f>VLOOKUP($A93,'Data Vlaue (Cr)'!$C:$FB,95)</f>
        <v>554</v>
      </c>
      <c r="L93" s="91">
        <f>VLOOKUP($A93,'Data Vlaue (Cr)'!$C:$FB,97)</f>
        <v>20</v>
      </c>
      <c r="M93" s="92">
        <f>VLOOKUP($A93,'Data Vlaue (Cr)'!$C:$FB,98)</f>
        <v>3.7199999999999997E-2</v>
      </c>
      <c r="N93" s="91">
        <f>VLOOKUP($A93,'Data Vlaue (Cr)'!$C:$FB,79)</f>
        <v>2600</v>
      </c>
      <c r="O93" s="92">
        <f>VLOOKUP($A93,'Data Vlaue (Cr)'!$C:$FB,82)</f>
        <v>2.3699999999999999E-2</v>
      </c>
    </row>
    <row r="94" spans="1:15" x14ac:dyDescent="0.25">
      <c r="A94" s="97" t="str">
        <f>'Data Vlaue (Cr)'!C89</f>
        <v>IEX</v>
      </c>
      <c r="B94" s="142">
        <f>VLOOKUP(A94,'Data Vlaue (Cr)'!C89:CW302,99,0)</f>
        <v>3633</v>
      </c>
      <c r="C94" s="90">
        <f>VLOOKUP(A94,'Data Vlaue (Cr)'!C89:CY302,101,0)</f>
        <v>180</v>
      </c>
      <c r="D94" s="139">
        <f>VLOOKUP(A94,'Data Vlaue (Cr)'!C89:CZ302,102,0)</f>
        <v>5.21E-2</v>
      </c>
      <c r="E94" s="91">
        <f>VLOOKUP($A94,'Data Vlaue (Cr)'!$C:$FB,75)</f>
        <v>1261</v>
      </c>
      <c r="F94" s="91">
        <f>VLOOKUP($A94,'Data Vlaue (Cr)'!$C:$FB,77)</f>
        <v>17</v>
      </c>
      <c r="G94" s="92">
        <f>VLOOKUP(A94,'Data Vlaue (Cr)'!C89:CB302,78,0)</f>
        <v>1.37E-2</v>
      </c>
      <c r="H94" s="91">
        <f>VLOOKUP($A94,'Data Vlaue (Cr)'!$C:$FB,91)</f>
        <v>1408</v>
      </c>
      <c r="I94" s="91">
        <f>VLOOKUP($A94,'Data Vlaue (Cr)'!$C:$FB,93)</f>
        <v>15</v>
      </c>
      <c r="J94" s="92">
        <f>VLOOKUP($A94,'Data Vlaue (Cr)'!$C:$FB,94)</f>
        <v>1.0999999999999999E-2</v>
      </c>
      <c r="K94" s="91">
        <f>VLOOKUP($A94,'Data Vlaue (Cr)'!$C:$FB,95)</f>
        <v>963</v>
      </c>
      <c r="L94" s="91">
        <f>VLOOKUP($A94,'Data Vlaue (Cr)'!$C:$FB,97)</f>
        <v>148</v>
      </c>
      <c r="M94" s="92">
        <f>VLOOKUP($A94,'Data Vlaue (Cr)'!$C:$FB,98)</f>
        <v>0.18090000000000001</v>
      </c>
      <c r="N94" s="91">
        <f>VLOOKUP($A94,'Data Vlaue (Cr)'!$C:$FB,79)</f>
        <v>1170</v>
      </c>
      <c r="O94" s="92">
        <f>VLOOKUP($A94,'Data Vlaue (Cr)'!$C:$FB,82)</f>
        <v>1.2E-2</v>
      </c>
    </row>
    <row r="95" spans="1:15" x14ac:dyDescent="0.25">
      <c r="A95" s="97" t="str">
        <f>'Data Vlaue (Cr)'!C90</f>
        <v>IIFL</v>
      </c>
      <c r="B95" s="142">
        <f>VLOOKUP(A95,'Data Vlaue (Cr)'!C90:CW303,99,0)</f>
        <v>1415</v>
      </c>
      <c r="C95" s="90">
        <f>VLOOKUP(A95,'Data Vlaue (Cr)'!C90:CY303,101,0)</f>
        <v>37</v>
      </c>
      <c r="D95" s="139">
        <f>VLOOKUP(A95,'Data Vlaue (Cr)'!C90:CZ303,102,0)</f>
        <v>2.6499999999999999E-2</v>
      </c>
      <c r="E95" s="91">
        <f>VLOOKUP($A95,'Data Vlaue (Cr)'!$C:$FB,75)</f>
        <v>737</v>
      </c>
      <c r="F95" s="91">
        <f>VLOOKUP($A95,'Data Vlaue (Cr)'!$C:$FB,77)</f>
        <v>16</v>
      </c>
      <c r="G95" s="92">
        <f>VLOOKUP(A95,'Data Vlaue (Cr)'!C90:CB303,78,0)</f>
        <v>2.2800000000000001E-2</v>
      </c>
      <c r="H95" s="91">
        <f>VLOOKUP($A95,'Data Vlaue (Cr)'!$C:$FB,91)</f>
        <v>378</v>
      </c>
      <c r="I95" s="91">
        <f>VLOOKUP($A95,'Data Vlaue (Cr)'!$C:$FB,93)</f>
        <v>47</v>
      </c>
      <c r="J95" s="92">
        <f>VLOOKUP($A95,'Data Vlaue (Cr)'!$C:$FB,94)</f>
        <v>0.14349999999999999</v>
      </c>
      <c r="K95" s="91">
        <f>VLOOKUP($A95,'Data Vlaue (Cr)'!$C:$FB,95)</f>
        <v>300</v>
      </c>
      <c r="L95" s="91">
        <f>VLOOKUP($A95,'Data Vlaue (Cr)'!$C:$FB,97)</f>
        <v>-27</v>
      </c>
      <c r="M95" s="92">
        <f>VLOOKUP($A95,'Data Vlaue (Cr)'!$C:$FB,98)</f>
        <v>-8.3599999999999994E-2</v>
      </c>
      <c r="N95" s="91">
        <f>VLOOKUP($A95,'Data Vlaue (Cr)'!$C:$FB,79)</f>
        <v>737</v>
      </c>
      <c r="O95" s="92">
        <f>VLOOKUP($A95,'Data Vlaue (Cr)'!$C:$FB,82)</f>
        <v>2.2800000000000001E-2</v>
      </c>
    </row>
    <row r="96" spans="1:15" x14ac:dyDescent="0.25">
      <c r="A96" s="97" t="str">
        <f>'Data Vlaue (Cr)'!C91</f>
        <v>INDHOTEL</v>
      </c>
      <c r="B96" s="142">
        <f>VLOOKUP(A96,'Data Vlaue (Cr)'!C91:CW304,99,0)</f>
        <v>3253</v>
      </c>
      <c r="C96" s="90">
        <f>VLOOKUP(A96,'Data Vlaue (Cr)'!C91:CY304,101,0)</f>
        <v>344</v>
      </c>
      <c r="D96" s="139">
        <f>VLOOKUP(A96,'Data Vlaue (Cr)'!C91:CZ304,102,0)</f>
        <v>0.1181</v>
      </c>
      <c r="E96" s="91">
        <f>VLOOKUP($A96,'Data Vlaue (Cr)'!$C:$FB,75)</f>
        <v>2092</v>
      </c>
      <c r="F96" s="91">
        <f>VLOOKUP($A96,'Data Vlaue (Cr)'!$C:$FB,77)</f>
        <v>145</v>
      </c>
      <c r="G96" s="92">
        <f>VLOOKUP(A96,'Data Vlaue (Cr)'!C91:CB304,78,0)</f>
        <v>7.4499999999999997E-2</v>
      </c>
      <c r="H96" s="91">
        <f>VLOOKUP($A96,'Data Vlaue (Cr)'!$C:$FB,91)</f>
        <v>718</v>
      </c>
      <c r="I96" s="91">
        <f>VLOOKUP($A96,'Data Vlaue (Cr)'!$C:$FB,93)</f>
        <v>119</v>
      </c>
      <c r="J96" s="92">
        <f>VLOOKUP($A96,'Data Vlaue (Cr)'!$C:$FB,94)</f>
        <v>0.19869999999999999</v>
      </c>
      <c r="K96" s="91">
        <f>VLOOKUP($A96,'Data Vlaue (Cr)'!$C:$FB,95)</f>
        <v>444</v>
      </c>
      <c r="L96" s="91">
        <f>VLOOKUP($A96,'Data Vlaue (Cr)'!$C:$FB,97)</f>
        <v>80</v>
      </c>
      <c r="M96" s="92">
        <f>VLOOKUP($A96,'Data Vlaue (Cr)'!$C:$FB,98)</f>
        <v>0.2185</v>
      </c>
      <c r="N96" s="91">
        <f>VLOOKUP($A96,'Data Vlaue (Cr)'!$C:$FB,79)</f>
        <v>2008</v>
      </c>
      <c r="O96" s="92">
        <f>VLOOKUP($A96,'Data Vlaue (Cr)'!$C:$FB,82)</f>
        <v>6.4299999999999996E-2</v>
      </c>
    </row>
    <row r="97" spans="1:15" x14ac:dyDescent="0.25">
      <c r="A97" s="97" t="str">
        <f>'Data Vlaue (Cr)'!C92</f>
        <v>INDIANB</v>
      </c>
      <c r="B97" s="142">
        <f>VLOOKUP(A97,'Data Vlaue (Cr)'!C92:CW305,99,0)</f>
        <v>1504</v>
      </c>
      <c r="C97" s="90">
        <f>VLOOKUP(A97,'Data Vlaue (Cr)'!C92:CY305,101,0)</f>
        <v>-2</v>
      </c>
      <c r="D97" s="139">
        <f>VLOOKUP(A97,'Data Vlaue (Cr)'!C92:CZ305,102,0)</f>
        <v>-1.6000000000000001E-3</v>
      </c>
      <c r="E97" s="91">
        <f>VLOOKUP($A97,'Data Vlaue (Cr)'!$C:$FB,75)</f>
        <v>822</v>
      </c>
      <c r="F97" s="91">
        <f>VLOOKUP($A97,'Data Vlaue (Cr)'!$C:$FB,77)</f>
        <v>-12</v>
      </c>
      <c r="G97" s="92">
        <f>VLOOKUP(A97,'Data Vlaue (Cr)'!C92:CB305,78,0)</f>
        <v>-1.49E-2</v>
      </c>
      <c r="H97" s="91">
        <f>VLOOKUP($A97,'Data Vlaue (Cr)'!$C:$FB,91)</f>
        <v>400</v>
      </c>
      <c r="I97" s="91">
        <f>VLOOKUP($A97,'Data Vlaue (Cr)'!$C:$FB,93)</f>
        <v>5</v>
      </c>
      <c r="J97" s="92">
        <f>VLOOKUP($A97,'Data Vlaue (Cr)'!$C:$FB,94)</f>
        <v>1.18E-2</v>
      </c>
      <c r="K97" s="91">
        <f>VLOOKUP($A97,'Data Vlaue (Cr)'!$C:$FB,95)</f>
        <v>283</v>
      </c>
      <c r="L97" s="91">
        <f>VLOOKUP($A97,'Data Vlaue (Cr)'!$C:$FB,97)</f>
        <v>5</v>
      </c>
      <c r="M97" s="92">
        <f>VLOOKUP($A97,'Data Vlaue (Cr)'!$C:$FB,98)</f>
        <v>1.9699999999999999E-2</v>
      </c>
      <c r="N97" s="91">
        <f>VLOOKUP($A97,'Data Vlaue (Cr)'!$C:$FB,79)</f>
        <v>804</v>
      </c>
      <c r="O97" s="92">
        <f>VLOOKUP($A97,'Data Vlaue (Cr)'!$C:$FB,82)</f>
        <v>-1.46E-2</v>
      </c>
    </row>
    <row r="98" spans="1:15" x14ac:dyDescent="0.25">
      <c r="A98" s="97" t="str">
        <f>'Data Vlaue (Cr)'!C93</f>
        <v>INDIAVIX</v>
      </c>
      <c r="B98" s="142">
        <f>VLOOKUP(A98,'Data Vlaue (Cr)'!C93:CW306,99,0)</f>
        <v>0</v>
      </c>
      <c r="C98" s="90">
        <f>VLOOKUP(A98,'Data Vlaue (Cr)'!C93:CY306,101,0)</f>
        <v>0</v>
      </c>
      <c r="D98" s="139">
        <f>VLOOKUP(A98,'Data Vlaue (Cr)'!C93:CZ306,102,0)</f>
        <v>0</v>
      </c>
      <c r="E98" s="91">
        <f>VLOOKUP($A98,'Data Vlaue (Cr)'!$C:$FB,75)</f>
        <v>0</v>
      </c>
      <c r="F98" s="91">
        <f>VLOOKUP($A98,'Data Vlaue (Cr)'!$C:$FB,77)</f>
        <v>0</v>
      </c>
      <c r="G98" s="92">
        <f>VLOOKUP(A98,'Data Vlaue (Cr)'!C93:CB306,78,0)</f>
        <v>0</v>
      </c>
      <c r="H98" s="91">
        <f>VLOOKUP($A98,'Data Vlaue (Cr)'!$C:$FB,91)</f>
        <v>0</v>
      </c>
      <c r="I98" s="91">
        <f>VLOOKUP($A98,'Data Vlaue (Cr)'!$C:$FB,93)</f>
        <v>0</v>
      </c>
      <c r="J98" s="92">
        <f>VLOOKUP($A98,'Data Vlaue (Cr)'!$C:$FB,94)</f>
        <v>0</v>
      </c>
      <c r="K98" s="91">
        <f>VLOOKUP($A98,'Data Vlaue (Cr)'!$C:$FB,95)</f>
        <v>0</v>
      </c>
      <c r="L98" s="91">
        <f>VLOOKUP($A98,'Data Vlaue (Cr)'!$C:$FB,97)</f>
        <v>0</v>
      </c>
      <c r="M98" s="92">
        <f>VLOOKUP($A98,'Data Vlaue (Cr)'!$C:$FB,98)</f>
        <v>0</v>
      </c>
      <c r="N98" s="91">
        <f>VLOOKUP($A98,'Data Vlaue (Cr)'!$C:$FB,79)</f>
        <v>0</v>
      </c>
      <c r="O98" s="92">
        <f>VLOOKUP($A98,'Data Vlaue (Cr)'!$C:$FB,82)</f>
        <v>0</v>
      </c>
    </row>
    <row r="99" spans="1:15" x14ac:dyDescent="0.25">
      <c r="A99" s="97" t="str">
        <f>'Data Vlaue (Cr)'!C94</f>
        <v>INDIGO</v>
      </c>
      <c r="B99" s="142">
        <f>VLOOKUP(A99,'Data Vlaue (Cr)'!C94:CW307,99,0)</f>
        <v>8439</v>
      </c>
      <c r="C99" s="90">
        <f>VLOOKUP(A99,'Data Vlaue (Cr)'!C94:CY307,101,0)</f>
        <v>265</v>
      </c>
      <c r="D99" s="139">
        <f>VLOOKUP(A99,'Data Vlaue (Cr)'!C94:CZ307,102,0)</f>
        <v>3.2500000000000001E-2</v>
      </c>
      <c r="E99" s="91">
        <f>VLOOKUP($A99,'Data Vlaue (Cr)'!$C:$FB,75)</f>
        <v>4202</v>
      </c>
      <c r="F99" s="91">
        <f>VLOOKUP($A99,'Data Vlaue (Cr)'!$C:$FB,77)</f>
        <v>28</v>
      </c>
      <c r="G99" s="92">
        <f>VLOOKUP(A99,'Data Vlaue (Cr)'!C94:CB307,78,0)</f>
        <v>6.6E-3</v>
      </c>
      <c r="H99" s="91">
        <f>VLOOKUP($A99,'Data Vlaue (Cr)'!$C:$FB,91)</f>
        <v>2527</v>
      </c>
      <c r="I99" s="91">
        <f>VLOOKUP($A99,'Data Vlaue (Cr)'!$C:$FB,93)</f>
        <v>252</v>
      </c>
      <c r="J99" s="92">
        <f>VLOOKUP($A99,'Data Vlaue (Cr)'!$C:$FB,94)</f>
        <v>0.1109</v>
      </c>
      <c r="K99" s="91">
        <f>VLOOKUP($A99,'Data Vlaue (Cr)'!$C:$FB,95)</f>
        <v>1710</v>
      </c>
      <c r="L99" s="91">
        <f>VLOOKUP($A99,'Data Vlaue (Cr)'!$C:$FB,97)</f>
        <v>-15</v>
      </c>
      <c r="M99" s="92">
        <f>VLOOKUP($A99,'Data Vlaue (Cr)'!$C:$FB,98)</f>
        <v>-8.5000000000000006E-3</v>
      </c>
      <c r="N99" s="91">
        <f>VLOOKUP($A99,'Data Vlaue (Cr)'!$C:$FB,79)</f>
        <v>4051</v>
      </c>
      <c r="O99" s="92">
        <f>VLOOKUP($A99,'Data Vlaue (Cr)'!$C:$FB,82)</f>
        <v>1.1000000000000001E-3</v>
      </c>
    </row>
    <row r="100" spans="1:15" x14ac:dyDescent="0.25">
      <c r="A100" s="97" t="str">
        <f>'Data Vlaue (Cr)'!C95</f>
        <v>INDUSINDBK</v>
      </c>
      <c r="B100" s="142">
        <f>VLOOKUP(A100,'Data Vlaue (Cr)'!C95:CW308,99,0)</f>
        <v>6186</v>
      </c>
      <c r="C100" s="90">
        <f>VLOOKUP(A100,'Data Vlaue (Cr)'!C95:CY308,101,0)</f>
        <v>200</v>
      </c>
      <c r="D100" s="139">
        <f>VLOOKUP(A100,'Data Vlaue (Cr)'!C95:CZ308,102,0)</f>
        <v>3.3500000000000002E-2</v>
      </c>
      <c r="E100" s="91">
        <f>VLOOKUP($A100,'Data Vlaue (Cr)'!$C:$FB,75)</f>
        <v>4155</v>
      </c>
      <c r="F100" s="91">
        <f>VLOOKUP($A100,'Data Vlaue (Cr)'!$C:$FB,77)</f>
        <v>195</v>
      </c>
      <c r="G100" s="92">
        <f>VLOOKUP(A100,'Data Vlaue (Cr)'!C95:CB308,78,0)</f>
        <v>4.9299999999999997E-2</v>
      </c>
      <c r="H100" s="91">
        <f>VLOOKUP($A100,'Data Vlaue (Cr)'!$C:$FB,91)</f>
        <v>1113</v>
      </c>
      <c r="I100" s="91">
        <f>VLOOKUP($A100,'Data Vlaue (Cr)'!$C:$FB,93)</f>
        <v>51</v>
      </c>
      <c r="J100" s="92">
        <f>VLOOKUP($A100,'Data Vlaue (Cr)'!$C:$FB,94)</f>
        <v>4.7800000000000002E-2</v>
      </c>
      <c r="K100" s="91">
        <f>VLOOKUP($A100,'Data Vlaue (Cr)'!$C:$FB,95)</f>
        <v>918</v>
      </c>
      <c r="L100" s="91">
        <f>VLOOKUP($A100,'Data Vlaue (Cr)'!$C:$FB,97)</f>
        <v>-46</v>
      </c>
      <c r="M100" s="92">
        <f>VLOOKUP($A100,'Data Vlaue (Cr)'!$C:$FB,98)</f>
        <v>-4.7199999999999999E-2</v>
      </c>
      <c r="N100" s="91">
        <f>VLOOKUP($A100,'Data Vlaue (Cr)'!$C:$FB,79)</f>
        <v>4008</v>
      </c>
      <c r="O100" s="92">
        <f>VLOOKUP($A100,'Data Vlaue (Cr)'!$C:$FB,82)</f>
        <v>3.1699999999999999E-2</v>
      </c>
    </row>
    <row r="101" spans="1:15" x14ac:dyDescent="0.25">
      <c r="A101" s="97" t="str">
        <f>'Data Vlaue (Cr)'!C96</f>
        <v>INDUSTOWER</v>
      </c>
      <c r="B101" s="142">
        <f>VLOOKUP(A101,'Data Vlaue (Cr)'!C96:CW309,99,0)</f>
        <v>5797</v>
      </c>
      <c r="C101" s="90">
        <f>VLOOKUP(A101,'Data Vlaue (Cr)'!C96:CY309,101,0)</f>
        <v>12</v>
      </c>
      <c r="D101" s="139">
        <f>VLOOKUP(A101,'Data Vlaue (Cr)'!C96:CZ309,102,0)</f>
        <v>2.0999999999999999E-3</v>
      </c>
      <c r="E101" s="91">
        <f>VLOOKUP($A101,'Data Vlaue (Cr)'!$C:$FB,75)</f>
        <v>3993</v>
      </c>
      <c r="F101" s="91">
        <f>VLOOKUP($A101,'Data Vlaue (Cr)'!$C:$FB,77)</f>
        <v>1</v>
      </c>
      <c r="G101" s="92">
        <f>VLOOKUP(A101,'Data Vlaue (Cr)'!C96:CB309,78,0)</f>
        <v>2.9999999999999997E-4</v>
      </c>
      <c r="H101" s="91">
        <f>VLOOKUP($A101,'Data Vlaue (Cr)'!$C:$FB,91)</f>
        <v>1077</v>
      </c>
      <c r="I101" s="91">
        <f>VLOOKUP($A101,'Data Vlaue (Cr)'!$C:$FB,93)</f>
        <v>7</v>
      </c>
      <c r="J101" s="92">
        <f>VLOOKUP($A101,'Data Vlaue (Cr)'!$C:$FB,94)</f>
        <v>6.1999999999999998E-3</v>
      </c>
      <c r="K101" s="91">
        <f>VLOOKUP($A101,'Data Vlaue (Cr)'!$C:$FB,95)</f>
        <v>726</v>
      </c>
      <c r="L101" s="91">
        <f>VLOOKUP($A101,'Data Vlaue (Cr)'!$C:$FB,97)</f>
        <v>4</v>
      </c>
      <c r="M101" s="92">
        <f>VLOOKUP($A101,'Data Vlaue (Cr)'!$C:$FB,98)</f>
        <v>6.1000000000000004E-3</v>
      </c>
      <c r="N101" s="91">
        <f>VLOOKUP($A101,'Data Vlaue (Cr)'!$C:$FB,79)</f>
        <v>3948</v>
      </c>
      <c r="O101" s="92">
        <f>VLOOKUP($A101,'Data Vlaue (Cr)'!$C:$FB,82)</f>
        <v>-5.9999999999999995E-4</v>
      </c>
    </row>
    <row r="102" spans="1:15" x14ac:dyDescent="0.25">
      <c r="A102" s="97" t="str">
        <f>'Data Vlaue (Cr)'!C97</f>
        <v>INFY</v>
      </c>
      <c r="B102" s="142">
        <f>VLOOKUP(A102,'Data Vlaue (Cr)'!C97:CW310,99,0)</f>
        <v>17743</v>
      </c>
      <c r="C102" s="90">
        <f>VLOOKUP(A102,'Data Vlaue (Cr)'!C97:CY310,101,0)</f>
        <v>942</v>
      </c>
      <c r="D102" s="139">
        <f>VLOOKUP(A102,'Data Vlaue (Cr)'!C97:CZ310,102,0)</f>
        <v>5.6099999999999997E-2</v>
      </c>
      <c r="E102" s="91">
        <f>VLOOKUP($A102,'Data Vlaue (Cr)'!$C:$FB,75)</f>
        <v>11878</v>
      </c>
      <c r="F102" s="91">
        <f>VLOOKUP($A102,'Data Vlaue (Cr)'!$C:$FB,77)</f>
        <v>-64</v>
      </c>
      <c r="G102" s="92">
        <f>VLOOKUP(A102,'Data Vlaue (Cr)'!C97:CB310,78,0)</f>
        <v>-5.3E-3</v>
      </c>
      <c r="H102" s="91">
        <f>VLOOKUP($A102,'Data Vlaue (Cr)'!$C:$FB,91)</f>
        <v>3885</v>
      </c>
      <c r="I102" s="91">
        <f>VLOOKUP($A102,'Data Vlaue (Cr)'!$C:$FB,93)</f>
        <v>848</v>
      </c>
      <c r="J102" s="92">
        <f>VLOOKUP($A102,'Data Vlaue (Cr)'!$C:$FB,94)</f>
        <v>0.27939999999999998</v>
      </c>
      <c r="K102" s="91">
        <f>VLOOKUP($A102,'Data Vlaue (Cr)'!$C:$FB,95)</f>
        <v>1981</v>
      </c>
      <c r="L102" s="91">
        <f>VLOOKUP($A102,'Data Vlaue (Cr)'!$C:$FB,97)</f>
        <v>157</v>
      </c>
      <c r="M102" s="92">
        <f>VLOOKUP($A102,'Data Vlaue (Cr)'!$C:$FB,98)</f>
        <v>8.5999999999999993E-2</v>
      </c>
      <c r="N102" s="91">
        <f>VLOOKUP($A102,'Data Vlaue (Cr)'!$C:$FB,79)</f>
        <v>11699</v>
      </c>
      <c r="O102" s="92">
        <f>VLOOKUP($A102,'Data Vlaue (Cr)'!$C:$FB,82)</f>
        <v>-5.3E-3</v>
      </c>
    </row>
    <row r="103" spans="1:15" x14ac:dyDescent="0.25">
      <c r="A103" s="97" t="str">
        <f>'Data Vlaue (Cr)'!C98</f>
        <v>INOXWIND</v>
      </c>
      <c r="B103" s="142">
        <f>VLOOKUP(A103,'Data Vlaue (Cr)'!C98:CW311,99,0)</f>
        <v>1728</v>
      </c>
      <c r="C103" s="90">
        <f>VLOOKUP(A103,'Data Vlaue (Cr)'!C98:CY311,101,0)</f>
        <v>53</v>
      </c>
      <c r="D103" s="139">
        <f>VLOOKUP(A103,'Data Vlaue (Cr)'!C98:CZ311,102,0)</f>
        <v>3.15E-2</v>
      </c>
      <c r="E103" s="91">
        <f>VLOOKUP($A103,'Data Vlaue (Cr)'!$C:$FB,75)</f>
        <v>1183</v>
      </c>
      <c r="F103" s="91">
        <f>VLOOKUP($A103,'Data Vlaue (Cr)'!$C:$FB,77)</f>
        <v>7</v>
      </c>
      <c r="G103" s="92">
        <f>VLOOKUP(A103,'Data Vlaue (Cr)'!C98:CB311,78,0)</f>
        <v>6.0000000000000001E-3</v>
      </c>
      <c r="H103" s="91">
        <f>VLOOKUP($A103,'Data Vlaue (Cr)'!$C:$FB,91)</f>
        <v>333</v>
      </c>
      <c r="I103" s="91">
        <f>VLOOKUP($A103,'Data Vlaue (Cr)'!$C:$FB,93)</f>
        <v>36</v>
      </c>
      <c r="J103" s="92">
        <f>VLOOKUP($A103,'Data Vlaue (Cr)'!$C:$FB,94)</f>
        <v>0.121</v>
      </c>
      <c r="K103" s="91">
        <f>VLOOKUP($A103,'Data Vlaue (Cr)'!$C:$FB,95)</f>
        <v>212</v>
      </c>
      <c r="L103" s="91">
        <f>VLOOKUP($A103,'Data Vlaue (Cr)'!$C:$FB,97)</f>
        <v>10</v>
      </c>
      <c r="M103" s="92">
        <f>VLOOKUP($A103,'Data Vlaue (Cr)'!$C:$FB,98)</f>
        <v>4.7699999999999999E-2</v>
      </c>
      <c r="N103" s="91">
        <f>VLOOKUP($A103,'Data Vlaue (Cr)'!$C:$FB,79)</f>
        <v>1118</v>
      </c>
      <c r="O103" s="92">
        <f>VLOOKUP($A103,'Data Vlaue (Cr)'!$C:$FB,82)</f>
        <v>1.6999999999999999E-3</v>
      </c>
    </row>
    <row r="104" spans="1:15" x14ac:dyDescent="0.25">
      <c r="A104" s="97" t="str">
        <f>'Data Vlaue (Cr)'!C99</f>
        <v>IOC</v>
      </c>
      <c r="B104" s="142">
        <f>VLOOKUP(A104,'Data Vlaue (Cr)'!C99:CW312,99,0)</f>
        <v>3095</v>
      </c>
      <c r="C104" s="90">
        <f>VLOOKUP(A104,'Data Vlaue (Cr)'!C99:CY312,101,0)</f>
        <v>90</v>
      </c>
      <c r="D104" s="139">
        <f>VLOOKUP(A104,'Data Vlaue (Cr)'!C99:CZ312,102,0)</f>
        <v>2.98E-2</v>
      </c>
      <c r="E104" s="91">
        <f>VLOOKUP($A104,'Data Vlaue (Cr)'!$C:$FB,75)</f>
        <v>1755</v>
      </c>
      <c r="F104" s="91">
        <f>VLOOKUP($A104,'Data Vlaue (Cr)'!$C:$FB,77)</f>
        <v>14</v>
      </c>
      <c r="G104" s="92">
        <f>VLOOKUP(A104,'Data Vlaue (Cr)'!C99:CB312,78,0)</f>
        <v>8.0000000000000002E-3</v>
      </c>
      <c r="H104" s="91">
        <f>VLOOKUP($A104,'Data Vlaue (Cr)'!$C:$FB,91)</f>
        <v>838</v>
      </c>
      <c r="I104" s="91">
        <f>VLOOKUP($A104,'Data Vlaue (Cr)'!$C:$FB,93)</f>
        <v>52</v>
      </c>
      <c r="J104" s="92">
        <f>VLOOKUP($A104,'Data Vlaue (Cr)'!$C:$FB,94)</f>
        <v>6.6699999999999995E-2</v>
      </c>
      <c r="K104" s="91">
        <f>VLOOKUP($A104,'Data Vlaue (Cr)'!$C:$FB,95)</f>
        <v>502</v>
      </c>
      <c r="L104" s="91">
        <f>VLOOKUP($A104,'Data Vlaue (Cr)'!$C:$FB,97)</f>
        <v>23</v>
      </c>
      <c r="M104" s="92">
        <f>VLOOKUP($A104,'Data Vlaue (Cr)'!$C:$FB,98)</f>
        <v>4.8800000000000003E-2</v>
      </c>
      <c r="N104" s="91">
        <f>VLOOKUP($A104,'Data Vlaue (Cr)'!$C:$FB,79)</f>
        <v>1692</v>
      </c>
      <c r="O104" s="92">
        <f>VLOOKUP($A104,'Data Vlaue (Cr)'!$C:$FB,82)</f>
        <v>8.0000000000000002E-3</v>
      </c>
    </row>
    <row r="105" spans="1:15" x14ac:dyDescent="0.25">
      <c r="A105" s="97" t="str">
        <f>'Data Vlaue (Cr)'!C100</f>
        <v>IRCTC</v>
      </c>
      <c r="B105" s="142">
        <f>VLOOKUP(A105,'Data Vlaue (Cr)'!C100:CW313,99,0)</f>
        <v>3847</v>
      </c>
      <c r="C105" s="90">
        <f>VLOOKUP(A105,'Data Vlaue (Cr)'!C100:CY313,101,0)</f>
        <v>231</v>
      </c>
      <c r="D105" s="139">
        <f>VLOOKUP(A105,'Data Vlaue (Cr)'!C100:CZ313,102,0)</f>
        <v>6.4000000000000001E-2</v>
      </c>
      <c r="E105" s="91">
        <f>VLOOKUP($A105,'Data Vlaue (Cr)'!$C:$FB,75)</f>
        <v>1611</v>
      </c>
      <c r="F105" s="91">
        <f>VLOOKUP($A105,'Data Vlaue (Cr)'!$C:$FB,77)</f>
        <v>50</v>
      </c>
      <c r="G105" s="92">
        <f>VLOOKUP(A105,'Data Vlaue (Cr)'!C100:CB313,78,0)</f>
        <v>3.2199999999999999E-2</v>
      </c>
      <c r="H105" s="91">
        <f>VLOOKUP($A105,'Data Vlaue (Cr)'!$C:$FB,91)</f>
        <v>1548</v>
      </c>
      <c r="I105" s="91">
        <f>VLOOKUP($A105,'Data Vlaue (Cr)'!$C:$FB,93)</f>
        <v>151</v>
      </c>
      <c r="J105" s="92">
        <f>VLOOKUP($A105,'Data Vlaue (Cr)'!$C:$FB,94)</f>
        <v>0.108</v>
      </c>
      <c r="K105" s="91">
        <f>VLOOKUP($A105,'Data Vlaue (Cr)'!$C:$FB,95)</f>
        <v>688</v>
      </c>
      <c r="L105" s="91">
        <f>VLOOKUP($A105,'Data Vlaue (Cr)'!$C:$FB,97)</f>
        <v>30</v>
      </c>
      <c r="M105" s="92">
        <f>VLOOKUP($A105,'Data Vlaue (Cr)'!$C:$FB,98)</f>
        <v>4.6100000000000002E-2</v>
      </c>
      <c r="N105" s="91">
        <f>VLOOKUP($A105,'Data Vlaue (Cr)'!$C:$FB,79)</f>
        <v>1433</v>
      </c>
      <c r="O105" s="92">
        <f>VLOOKUP($A105,'Data Vlaue (Cr)'!$C:$FB,82)</f>
        <v>2.75E-2</v>
      </c>
    </row>
    <row r="106" spans="1:15" x14ac:dyDescent="0.25">
      <c r="A106" s="97" t="str">
        <f>'Data Vlaue (Cr)'!C101</f>
        <v>IREDA</v>
      </c>
      <c r="B106" s="142">
        <f>VLOOKUP(A106,'Data Vlaue (Cr)'!C101:CW314,99,0)</f>
        <v>1647</v>
      </c>
      <c r="C106" s="90">
        <f>VLOOKUP(A106,'Data Vlaue (Cr)'!C101:CY314,101,0)</f>
        <v>88</v>
      </c>
      <c r="D106" s="139">
        <f>VLOOKUP(A106,'Data Vlaue (Cr)'!C101:CZ314,102,0)</f>
        <v>5.67E-2</v>
      </c>
      <c r="E106" s="91">
        <f>VLOOKUP($A106,'Data Vlaue (Cr)'!$C:$FB,75)</f>
        <v>846</v>
      </c>
      <c r="F106" s="91">
        <f>VLOOKUP($A106,'Data Vlaue (Cr)'!$C:$FB,77)</f>
        <v>66</v>
      </c>
      <c r="G106" s="92">
        <f>VLOOKUP(A106,'Data Vlaue (Cr)'!C101:CB314,78,0)</f>
        <v>8.4199999999999997E-2</v>
      </c>
      <c r="H106" s="91">
        <f>VLOOKUP($A106,'Data Vlaue (Cr)'!$C:$FB,91)</f>
        <v>509</v>
      </c>
      <c r="I106" s="91">
        <f>VLOOKUP($A106,'Data Vlaue (Cr)'!$C:$FB,93)</f>
        <v>14</v>
      </c>
      <c r="J106" s="92">
        <f>VLOOKUP($A106,'Data Vlaue (Cr)'!$C:$FB,94)</f>
        <v>2.81E-2</v>
      </c>
      <c r="K106" s="91">
        <f>VLOOKUP($A106,'Data Vlaue (Cr)'!$C:$FB,95)</f>
        <v>292</v>
      </c>
      <c r="L106" s="91">
        <f>VLOOKUP($A106,'Data Vlaue (Cr)'!$C:$FB,97)</f>
        <v>9</v>
      </c>
      <c r="M106" s="92">
        <f>VLOOKUP($A106,'Data Vlaue (Cr)'!$C:$FB,98)</f>
        <v>3.1E-2</v>
      </c>
      <c r="N106" s="91">
        <f>VLOOKUP($A106,'Data Vlaue (Cr)'!$C:$FB,79)</f>
        <v>744</v>
      </c>
      <c r="O106" s="92">
        <f>VLOOKUP($A106,'Data Vlaue (Cr)'!$C:$FB,82)</f>
        <v>8.2600000000000007E-2</v>
      </c>
    </row>
    <row r="107" spans="1:15" x14ac:dyDescent="0.25">
      <c r="A107" s="97" t="str">
        <f>'Data Vlaue (Cr)'!C102</f>
        <v>IRFC</v>
      </c>
      <c r="B107" s="142">
        <f>VLOOKUP(A107,'Data Vlaue (Cr)'!C102:CW315,99,0)</f>
        <v>2335</v>
      </c>
      <c r="C107" s="90">
        <f>VLOOKUP(A107,'Data Vlaue (Cr)'!C102:CY315,101,0)</f>
        <v>17</v>
      </c>
      <c r="D107" s="139">
        <f>VLOOKUP(A107,'Data Vlaue (Cr)'!C102:CZ315,102,0)</f>
        <v>7.4000000000000003E-3</v>
      </c>
      <c r="E107" s="91">
        <f>VLOOKUP($A107,'Data Vlaue (Cr)'!$C:$FB,75)</f>
        <v>844</v>
      </c>
      <c r="F107" s="91">
        <f>VLOOKUP($A107,'Data Vlaue (Cr)'!$C:$FB,77)</f>
        <v>2</v>
      </c>
      <c r="G107" s="92">
        <f>VLOOKUP(A107,'Data Vlaue (Cr)'!C102:CB315,78,0)</f>
        <v>2E-3</v>
      </c>
      <c r="H107" s="91">
        <f>VLOOKUP($A107,'Data Vlaue (Cr)'!$C:$FB,91)</f>
        <v>1020</v>
      </c>
      <c r="I107" s="91">
        <f>VLOOKUP($A107,'Data Vlaue (Cr)'!$C:$FB,93)</f>
        <v>1</v>
      </c>
      <c r="J107" s="92">
        <f>VLOOKUP($A107,'Data Vlaue (Cr)'!$C:$FB,94)</f>
        <v>1.1000000000000001E-3</v>
      </c>
      <c r="K107" s="91">
        <f>VLOOKUP($A107,'Data Vlaue (Cr)'!$C:$FB,95)</f>
        <v>470</v>
      </c>
      <c r="L107" s="91">
        <f>VLOOKUP($A107,'Data Vlaue (Cr)'!$C:$FB,97)</f>
        <v>14</v>
      </c>
      <c r="M107" s="92">
        <f>VLOOKUP($A107,'Data Vlaue (Cr)'!$C:$FB,98)</f>
        <v>3.1300000000000001E-2</v>
      </c>
      <c r="N107" s="91">
        <f>VLOOKUP($A107,'Data Vlaue (Cr)'!$C:$FB,79)</f>
        <v>770</v>
      </c>
      <c r="O107" s="92">
        <f>VLOOKUP($A107,'Data Vlaue (Cr)'!$C:$FB,82)</f>
        <v>-2E-3</v>
      </c>
    </row>
    <row r="108" spans="1:15" x14ac:dyDescent="0.25">
      <c r="A108" s="97" t="str">
        <f>'Data Vlaue (Cr)'!C103</f>
        <v>ITC</v>
      </c>
      <c r="B108" s="142">
        <f>VLOOKUP(A108,'Data Vlaue (Cr)'!C103:CW316,99,0)</f>
        <v>25843</v>
      </c>
      <c r="C108" s="90">
        <f>VLOOKUP(A108,'Data Vlaue (Cr)'!C103:CY316,101,0)</f>
        <v>723</v>
      </c>
      <c r="D108" s="139">
        <f>VLOOKUP(A108,'Data Vlaue (Cr)'!C103:CZ316,102,0)</f>
        <v>2.8799999999999999E-2</v>
      </c>
      <c r="E108" s="91">
        <f>VLOOKUP($A108,'Data Vlaue (Cr)'!$C:$FB,75)</f>
        <v>8591</v>
      </c>
      <c r="F108" s="91">
        <f>VLOOKUP($A108,'Data Vlaue (Cr)'!$C:$FB,77)</f>
        <v>100</v>
      </c>
      <c r="G108" s="92">
        <f>VLOOKUP(A108,'Data Vlaue (Cr)'!C103:CB316,78,0)</f>
        <v>1.18E-2</v>
      </c>
      <c r="H108" s="91">
        <f>VLOOKUP($A108,'Data Vlaue (Cr)'!$C:$FB,91)</f>
        <v>12565</v>
      </c>
      <c r="I108" s="91">
        <f>VLOOKUP($A108,'Data Vlaue (Cr)'!$C:$FB,93)</f>
        <v>470</v>
      </c>
      <c r="J108" s="92">
        <f>VLOOKUP($A108,'Data Vlaue (Cr)'!$C:$FB,94)</f>
        <v>3.8899999999999997E-2</v>
      </c>
      <c r="K108" s="91">
        <f>VLOOKUP($A108,'Data Vlaue (Cr)'!$C:$FB,95)</f>
        <v>4686</v>
      </c>
      <c r="L108" s="91">
        <f>VLOOKUP($A108,'Data Vlaue (Cr)'!$C:$FB,97)</f>
        <v>153</v>
      </c>
      <c r="M108" s="92">
        <f>VLOOKUP($A108,'Data Vlaue (Cr)'!$C:$FB,98)</f>
        <v>3.3700000000000001E-2</v>
      </c>
      <c r="N108" s="91">
        <f>VLOOKUP($A108,'Data Vlaue (Cr)'!$C:$FB,79)</f>
        <v>7413</v>
      </c>
      <c r="O108" s="92">
        <f>VLOOKUP($A108,'Data Vlaue (Cr)'!$C:$FB,82)</f>
        <v>5.1999999999999998E-3</v>
      </c>
    </row>
    <row r="109" spans="1:15" x14ac:dyDescent="0.25">
      <c r="A109" s="97" t="str">
        <f>'Data Vlaue (Cr)'!C104</f>
        <v>JINDALSTEL</v>
      </c>
      <c r="B109" s="142">
        <f>VLOOKUP(A109,'Data Vlaue (Cr)'!C104:CW317,99,0)</f>
        <v>2317</v>
      </c>
      <c r="C109" s="90">
        <f>VLOOKUP(A109,'Data Vlaue (Cr)'!C104:CY317,101,0)</f>
        <v>111</v>
      </c>
      <c r="D109" s="139">
        <f>VLOOKUP(A109,'Data Vlaue (Cr)'!C104:CZ317,102,0)</f>
        <v>5.0500000000000003E-2</v>
      </c>
      <c r="E109" s="91">
        <f>VLOOKUP($A109,'Data Vlaue (Cr)'!$C:$FB,75)</f>
        <v>1394</v>
      </c>
      <c r="F109" s="91">
        <f>VLOOKUP($A109,'Data Vlaue (Cr)'!$C:$FB,77)</f>
        <v>37</v>
      </c>
      <c r="G109" s="92">
        <f>VLOOKUP(A109,'Data Vlaue (Cr)'!C104:CB317,78,0)</f>
        <v>2.7099999999999999E-2</v>
      </c>
      <c r="H109" s="91">
        <f>VLOOKUP($A109,'Data Vlaue (Cr)'!$C:$FB,91)</f>
        <v>457</v>
      </c>
      <c r="I109" s="91">
        <f>VLOOKUP($A109,'Data Vlaue (Cr)'!$C:$FB,93)</f>
        <v>19</v>
      </c>
      <c r="J109" s="92">
        <f>VLOOKUP($A109,'Data Vlaue (Cr)'!$C:$FB,94)</f>
        <v>4.4499999999999998E-2</v>
      </c>
      <c r="K109" s="91">
        <f>VLOOKUP($A109,'Data Vlaue (Cr)'!$C:$FB,95)</f>
        <v>466</v>
      </c>
      <c r="L109" s="91">
        <f>VLOOKUP($A109,'Data Vlaue (Cr)'!$C:$FB,97)</f>
        <v>55</v>
      </c>
      <c r="M109" s="92">
        <f>VLOOKUP($A109,'Data Vlaue (Cr)'!$C:$FB,98)</f>
        <v>0.13389999999999999</v>
      </c>
      <c r="N109" s="91">
        <f>VLOOKUP($A109,'Data Vlaue (Cr)'!$C:$FB,79)</f>
        <v>1377</v>
      </c>
      <c r="O109" s="92">
        <f>VLOOKUP($A109,'Data Vlaue (Cr)'!$C:$FB,82)</f>
        <v>2.7E-2</v>
      </c>
    </row>
    <row r="110" spans="1:15" x14ac:dyDescent="0.25">
      <c r="A110" s="97" t="str">
        <f>'Data Vlaue (Cr)'!C105</f>
        <v>JIOFIN</v>
      </c>
      <c r="B110" s="142">
        <f>VLOOKUP(A110,'Data Vlaue (Cr)'!C105:CW318,99,0)</f>
        <v>7817</v>
      </c>
      <c r="C110" s="90">
        <f>VLOOKUP(A110,'Data Vlaue (Cr)'!C105:CY318,101,0)</f>
        <v>193</v>
      </c>
      <c r="D110" s="139">
        <f>VLOOKUP(A110,'Data Vlaue (Cr)'!C105:CZ318,102,0)</f>
        <v>2.53E-2</v>
      </c>
      <c r="E110" s="91">
        <f>VLOOKUP($A110,'Data Vlaue (Cr)'!$C:$FB,75)</f>
        <v>4878</v>
      </c>
      <c r="F110" s="91">
        <f>VLOOKUP($A110,'Data Vlaue (Cr)'!$C:$FB,77)</f>
        <v>98</v>
      </c>
      <c r="G110" s="92">
        <f>VLOOKUP(A110,'Data Vlaue (Cr)'!C105:CB318,78,0)</f>
        <v>2.06E-2</v>
      </c>
      <c r="H110" s="91">
        <f>VLOOKUP($A110,'Data Vlaue (Cr)'!$C:$FB,91)</f>
        <v>1657</v>
      </c>
      <c r="I110" s="91">
        <f>VLOOKUP($A110,'Data Vlaue (Cr)'!$C:$FB,93)</f>
        <v>39</v>
      </c>
      <c r="J110" s="92">
        <f>VLOOKUP($A110,'Data Vlaue (Cr)'!$C:$FB,94)</f>
        <v>2.4199999999999999E-2</v>
      </c>
      <c r="K110" s="91">
        <f>VLOOKUP($A110,'Data Vlaue (Cr)'!$C:$FB,95)</f>
        <v>1282</v>
      </c>
      <c r="L110" s="91">
        <f>VLOOKUP($A110,'Data Vlaue (Cr)'!$C:$FB,97)</f>
        <v>55</v>
      </c>
      <c r="M110" s="92">
        <f>VLOOKUP($A110,'Data Vlaue (Cr)'!$C:$FB,98)</f>
        <v>4.4900000000000002E-2</v>
      </c>
      <c r="N110" s="91">
        <f>VLOOKUP($A110,'Data Vlaue (Cr)'!$C:$FB,79)</f>
        <v>4641</v>
      </c>
      <c r="O110" s="92">
        <f>VLOOKUP($A110,'Data Vlaue (Cr)'!$C:$FB,82)</f>
        <v>1.9599999999999999E-2</v>
      </c>
    </row>
    <row r="111" spans="1:15" x14ac:dyDescent="0.25">
      <c r="A111" s="97" t="str">
        <f>'Data Vlaue (Cr)'!C106</f>
        <v>JSWENERGY</v>
      </c>
      <c r="B111" s="142">
        <f>VLOOKUP(A111,'Data Vlaue (Cr)'!C106:CW319,99,0)</f>
        <v>2673</v>
      </c>
      <c r="C111" s="90">
        <f>VLOOKUP(A111,'Data Vlaue (Cr)'!C106:CY319,101,0)</f>
        <v>-1</v>
      </c>
      <c r="D111" s="139">
        <f>VLOOKUP(A111,'Data Vlaue (Cr)'!C106:CZ319,102,0)</f>
        <v>-5.9999999999999995E-4</v>
      </c>
      <c r="E111" s="91">
        <f>VLOOKUP($A111,'Data Vlaue (Cr)'!$C:$FB,75)</f>
        <v>1952</v>
      </c>
      <c r="F111" s="91">
        <f>VLOOKUP($A111,'Data Vlaue (Cr)'!$C:$FB,77)</f>
        <v>-28</v>
      </c>
      <c r="G111" s="92">
        <f>VLOOKUP(A111,'Data Vlaue (Cr)'!C106:CB319,78,0)</f>
        <v>-1.4200000000000001E-2</v>
      </c>
      <c r="H111" s="91">
        <f>VLOOKUP($A111,'Data Vlaue (Cr)'!$C:$FB,91)</f>
        <v>354</v>
      </c>
      <c r="I111" s="91">
        <f>VLOOKUP($A111,'Data Vlaue (Cr)'!$C:$FB,93)</f>
        <v>18</v>
      </c>
      <c r="J111" s="92">
        <f>VLOOKUP($A111,'Data Vlaue (Cr)'!$C:$FB,94)</f>
        <v>5.3100000000000001E-2</v>
      </c>
      <c r="K111" s="91">
        <f>VLOOKUP($A111,'Data Vlaue (Cr)'!$C:$FB,95)</f>
        <v>366</v>
      </c>
      <c r="L111" s="91">
        <f>VLOOKUP($A111,'Data Vlaue (Cr)'!$C:$FB,97)</f>
        <v>9</v>
      </c>
      <c r="M111" s="92">
        <f>VLOOKUP($A111,'Data Vlaue (Cr)'!$C:$FB,98)</f>
        <v>2.47E-2</v>
      </c>
      <c r="N111" s="91">
        <f>VLOOKUP($A111,'Data Vlaue (Cr)'!$C:$FB,79)</f>
        <v>1933</v>
      </c>
      <c r="O111" s="92">
        <f>VLOOKUP($A111,'Data Vlaue (Cr)'!$C:$FB,82)</f>
        <v>-1.46E-2</v>
      </c>
    </row>
    <row r="112" spans="1:15" x14ac:dyDescent="0.25">
      <c r="A112" s="97" t="str">
        <f>'Data Vlaue (Cr)'!C107</f>
        <v>JSWSTEEL</v>
      </c>
      <c r="B112" s="142">
        <f>VLOOKUP(A112,'Data Vlaue (Cr)'!C107:CW320,99,0)</f>
        <v>8061</v>
      </c>
      <c r="C112" s="90">
        <f>VLOOKUP(A112,'Data Vlaue (Cr)'!C107:CY320,101,0)</f>
        <v>72</v>
      </c>
      <c r="D112" s="139">
        <f>VLOOKUP(A112,'Data Vlaue (Cr)'!C107:CZ320,102,0)</f>
        <v>8.9999999999999993E-3</v>
      </c>
      <c r="E112" s="91">
        <f>VLOOKUP($A112,'Data Vlaue (Cr)'!$C:$FB,75)</f>
        <v>5948</v>
      </c>
      <c r="F112" s="91">
        <f>VLOOKUP($A112,'Data Vlaue (Cr)'!$C:$FB,77)</f>
        <v>15</v>
      </c>
      <c r="G112" s="92">
        <f>VLOOKUP(A112,'Data Vlaue (Cr)'!C107:CB320,78,0)</f>
        <v>2.5999999999999999E-3</v>
      </c>
      <c r="H112" s="91">
        <f>VLOOKUP($A112,'Data Vlaue (Cr)'!$C:$FB,91)</f>
        <v>1073</v>
      </c>
      <c r="I112" s="91">
        <f>VLOOKUP($A112,'Data Vlaue (Cr)'!$C:$FB,93)</f>
        <v>7</v>
      </c>
      <c r="J112" s="92">
        <f>VLOOKUP($A112,'Data Vlaue (Cr)'!$C:$FB,94)</f>
        <v>7.0000000000000001E-3</v>
      </c>
      <c r="K112" s="91">
        <f>VLOOKUP($A112,'Data Vlaue (Cr)'!$C:$FB,95)</f>
        <v>1040</v>
      </c>
      <c r="L112" s="91">
        <f>VLOOKUP($A112,'Data Vlaue (Cr)'!$C:$FB,97)</f>
        <v>49</v>
      </c>
      <c r="M112" s="92">
        <f>VLOOKUP($A112,'Data Vlaue (Cr)'!$C:$FB,98)</f>
        <v>0.05</v>
      </c>
      <c r="N112" s="91">
        <f>VLOOKUP($A112,'Data Vlaue (Cr)'!$C:$FB,79)</f>
        <v>5904</v>
      </c>
      <c r="O112" s="92">
        <f>VLOOKUP($A112,'Data Vlaue (Cr)'!$C:$FB,82)</f>
        <v>2.5999999999999999E-3</v>
      </c>
    </row>
    <row r="113" spans="1:15" x14ac:dyDescent="0.25">
      <c r="A113" s="97" t="str">
        <f>'Data Vlaue (Cr)'!C108</f>
        <v>JUBLFOOD</v>
      </c>
      <c r="B113" s="142">
        <f>VLOOKUP(A113,'Data Vlaue (Cr)'!C108:CW321,99,0)</f>
        <v>2526</v>
      </c>
      <c r="C113" s="90">
        <f>VLOOKUP(A113,'Data Vlaue (Cr)'!C108:CY321,101,0)</f>
        <v>83</v>
      </c>
      <c r="D113" s="139">
        <f>VLOOKUP(A113,'Data Vlaue (Cr)'!C108:CZ321,102,0)</f>
        <v>3.4200000000000001E-2</v>
      </c>
      <c r="E113" s="91">
        <f>VLOOKUP($A113,'Data Vlaue (Cr)'!$C:$FB,75)</f>
        <v>1429</v>
      </c>
      <c r="F113" s="91">
        <f>VLOOKUP($A113,'Data Vlaue (Cr)'!$C:$FB,77)</f>
        <v>-4</v>
      </c>
      <c r="G113" s="92">
        <f>VLOOKUP(A113,'Data Vlaue (Cr)'!C108:CB321,78,0)</f>
        <v>-3.0000000000000001E-3</v>
      </c>
      <c r="H113" s="91">
        <f>VLOOKUP($A113,'Data Vlaue (Cr)'!$C:$FB,91)</f>
        <v>673</v>
      </c>
      <c r="I113" s="91">
        <f>VLOOKUP($A113,'Data Vlaue (Cr)'!$C:$FB,93)</f>
        <v>61</v>
      </c>
      <c r="J113" s="92">
        <f>VLOOKUP($A113,'Data Vlaue (Cr)'!$C:$FB,94)</f>
        <v>0.1002</v>
      </c>
      <c r="K113" s="91">
        <f>VLOOKUP($A113,'Data Vlaue (Cr)'!$C:$FB,95)</f>
        <v>424</v>
      </c>
      <c r="L113" s="91">
        <f>VLOOKUP($A113,'Data Vlaue (Cr)'!$C:$FB,97)</f>
        <v>26</v>
      </c>
      <c r="M113" s="92">
        <f>VLOOKUP($A113,'Data Vlaue (Cr)'!$C:$FB,98)</f>
        <v>6.6400000000000001E-2</v>
      </c>
      <c r="N113" s="91">
        <f>VLOOKUP($A113,'Data Vlaue (Cr)'!$C:$FB,79)</f>
        <v>1335</v>
      </c>
      <c r="O113" s="92">
        <f>VLOOKUP($A113,'Data Vlaue (Cr)'!$C:$FB,82)</f>
        <v>-9.7999999999999997E-3</v>
      </c>
    </row>
    <row r="114" spans="1:15" x14ac:dyDescent="0.25">
      <c r="A114" s="97" t="str">
        <f>'Data Vlaue (Cr)'!C109</f>
        <v>KALYANKJIL</v>
      </c>
      <c r="B114" s="142">
        <f>VLOOKUP(A114,'Data Vlaue (Cr)'!C109:CW322,99,0)</f>
        <v>2801</v>
      </c>
      <c r="C114" s="90">
        <f>VLOOKUP(A114,'Data Vlaue (Cr)'!C109:CY322,101,0)</f>
        <v>435</v>
      </c>
      <c r="D114" s="139">
        <f>VLOOKUP(A114,'Data Vlaue (Cr)'!C109:CZ322,102,0)</f>
        <v>0.1837</v>
      </c>
      <c r="E114" s="91">
        <f>VLOOKUP($A114,'Data Vlaue (Cr)'!$C:$FB,75)</f>
        <v>1960</v>
      </c>
      <c r="F114" s="91">
        <f>VLOOKUP($A114,'Data Vlaue (Cr)'!$C:$FB,77)</f>
        <v>57</v>
      </c>
      <c r="G114" s="92">
        <f>VLOOKUP(A114,'Data Vlaue (Cr)'!C109:CB322,78,0)</f>
        <v>0.03</v>
      </c>
      <c r="H114" s="91">
        <f>VLOOKUP($A114,'Data Vlaue (Cr)'!$C:$FB,91)</f>
        <v>538</v>
      </c>
      <c r="I114" s="91">
        <f>VLOOKUP($A114,'Data Vlaue (Cr)'!$C:$FB,93)</f>
        <v>265</v>
      </c>
      <c r="J114" s="92">
        <f>VLOOKUP($A114,'Data Vlaue (Cr)'!$C:$FB,94)</f>
        <v>0.96940000000000004</v>
      </c>
      <c r="K114" s="91">
        <f>VLOOKUP($A114,'Data Vlaue (Cr)'!$C:$FB,95)</f>
        <v>302</v>
      </c>
      <c r="L114" s="91">
        <f>VLOOKUP($A114,'Data Vlaue (Cr)'!$C:$FB,97)</f>
        <v>112</v>
      </c>
      <c r="M114" s="92">
        <f>VLOOKUP($A114,'Data Vlaue (Cr)'!$C:$FB,98)</f>
        <v>0.5927</v>
      </c>
      <c r="N114" s="91">
        <f>VLOOKUP($A114,'Data Vlaue (Cr)'!$C:$FB,79)</f>
        <v>1894</v>
      </c>
      <c r="O114" s="92">
        <f>VLOOKUP($A114,'Data Vlaue (Cr)'!$C:$FB,82)</f>
        <v>2.3199999999999998E-2</v>
      </c>
    </row>
    <row r="115" spans="1:15" x14ac:dyDescent="0.25">
      <c r="A115" s="97" t="str">
        <f>'Data Vlaue (Cr)'!C110</f>
        <v>KAYNES</v>
      </c>
      <c r="B115" s="142">
        <f>VLOOKUP(A115,'Data Vlaue (Cr)'!C110:CW323,99,0)</f>
        <v>3482</v>
      </c>
      <c r="C115" s="90">
        <f>VLOOKUP(A115,'Data Vlaue (Cr)'!C110:CY323,101,0)</f>
        <v>217</v>
      </c>
      <c r="D115" s="139">
        <f>VLOOKUP(A115,'Data Vlaue (Cr)'!C110:CZ323,102,0)</f>
        <v>6.6400000000000001E-2</v>
      </c>
      <c r="E115" s="91">
        <f>VLOOKUP($A115,'Data Vlaue (Cr)'!$C:$FB,75)</f>
        <v>1374</v>
      </c>
      <c r="F115" s="91">
        <f>VLOOKUP($A115,'Data Vlaue (Cr)'!$C:$FB,77)</f>
        <v>57</v>
      </c>
      <c r="G115" s="92">
        <f>VLOOKUP(A115,'Data Vlaue (Cr)'!C110:CB323,78,0)</f>
        <v>4.36E-2</v>
      </c>
      <c r="H115" s="91">
        <f>VLOOKUP($A115,'Data Vlaue (Cr)'!$C:$FB,91)</f>
        <v>1391</v>
      </c>
      <c r="I115" s="91">
        <f>VLOOKUP($A115,'Data Vlaue (Cr)'!$C:$FB,93)</f>
        <v>93</v>
      </c>
      <c r="J115" s="92">
        <f>VLOOKUP($A115,'Data Vlaue (Cr)'!$C:$FB,94)</f>
        <v>7.1400000000000005E-2</v>
      </c>
      <c r="K115" s="91">
        <f>VLOOKUP($A115,'Data Vlaue (Cr)'!$C:$FB,95)</f>
        <v>717</v>
      </c>
      <c r="L115" s="91">
        <f>VLOOKUP($A115,'Data Vlaue (Cr)'!$C:$FB,97)</f>
        <v>67</v>
      </c>
      <c r="M115" s="92">
        <f>VLOOKUP($A115,'Data Vlaue (Cr)'!$C:$FB,98)</f>
        <v>0.10249999999999999</v>
      </c>
      <c r="N115" s="91">
        <f>VLOOKUP($A115,'Data Vlaue (Cr)'!$C:$FB,79)</f>
        <v>1259</v>
      </c>
      <c r="O115" s="92">
        <f>VLOOKUP($A115,'Data Vlaue (Cr)'!$C:$FB,82)</f>
        <v>4.4699999999999997E-2</v>
      </c>
    </row>
    <row r="116" spans="1:15" x14ac:dyDescent="0.25">
      <c r="A116" s="97" t="str">
        <f>'Data Vlaue (Cr)'!C111</f>
        <v>KEI</v>
      </c>
      <c r="B116" s="142">
        <f>VLOOKUP(A116,'Data Vlaue (Cr)'!C111:CW324,99,0)</f>
        <v>787</v>
      </c>
      <c r="C116" s="90">
        <f>VLOOKUP(A116,'Data Vlaue (Cr)'!C111:CY324,101,0)</f>
        <v>63</v>
      </c>
      <c r="D116" s="139">
        <f>VLOOKUP(A116,'Data Vlaue (Cr)'!C111:CZ324,102,0)</f>
        <v>8.6900000000000005E-2</v>
      </c>
      <c r="E116" s="91">
        <f>VLOOKUP($A116,'Data Vlaue (Cr)'!$C:$FB,75)</f>
        <v>438</v>
      </c>
      <c r="F116" s="91">
        <f>VLOOKUP($A116,'Data Vlaue (Cr)'!$C:$FB,77)</f>
        <v>30</v>
      </c>
      <c r="G116" s="92">
        <f>VLOOKUP(A116,'Data Vlaue (Cr)'!C111:CB324,78,0)</f>
        <v>7.3200000000000001E-2</v>
      </c>
      <c r="H116" s="91">
        <f>VLOOKUP($A116,'Data Vlaue (Cr)'!$C:$FB,91)</f>
        <v>208</v>
      </c>
      <c r="I116" s="91">
        <f>VLOOKUP($A116,'Data Vlaue (Cr)'!$C:$FB,93)</f>
        <v>26</v>
      </c>
      <c r="J116" s="92">
        <f>VLOOKUP($A116,'Data Vlaue (Cr)'!$C:$FB,94)</f>
        <v>0.14019999999999999</v>
      </c>
      <c r="K116" s="91">
        <f>VLOOKUP($A116,'Data Vlaue (Cr)'!$C:$FB,95)</f>
        <v>142</v>
      </c>
      <c r="L116" s="91">
        <f>VLOOKUP($A116,'Data Vlaue (Cr)'!$C:$FB,97)</f>
        <v>8</v>
      </c>
      <c r="M116" s="92">
        <f>VLOOKUP($A116,'Data Vlaue (Cr)'!$C:$FB,98)</f>
        <v>5.5899999999999998E-2</v>
      </c>
      <c r="N116" s="91">
        <f>VLOOKUP($A116,'Data Vlaue (Cr)'!$C:$FB,79)</f>
        <v>433</v>
      </c>
      <c r="O116" s="92">
        <f>VLOOKUP($A116,'Data Vlaue (Cr)'!$C:$FB,82)</f>
        <v>7.3300000000000004E-2</v>
      </c>
    </row>
    <row r="117" spans="1:15" x14ac:dyDescent="0.25">
      <c r="A117" s="97" t="str">
        <f>'Data Vlaue (Cr)'!C112</f>
        <v>KFINTECH</v>
      </c>
      <c r="B117" s="142">
        <f>VLOOKUP(A117,'Data Vlaue (Cr)'!C112:CW325,99,0)</f>
        <v>706</v>
      </c>
      <c r="C117" s="90">
        <f>VLOOKUP(A117,'Data Vlaue (Cr)'!C112:CY325,101,0)</f>
        <v>27</v>
      </c>
      <c r="D117" s="139">
        <f>VLOOKUP(A117,'Data Vlaue (Cr)'!C112:CZ325,102,0)</f>
        <v>4.02E-2</v>
      </c>
      <c r="E117" s="91">
        <f>VLOOKUP($A117,'Data Vlaue (Cr)'!$C:$FB,75)</f>
        <v>452</v>
      </c>
      <c r="F117" s="91">
        <f>VLOOKUP($A117,'Data Vlaue (Cr)'!$C:$FB,77)</f>
        <v>13</v>
      </c>
      <c r="G117" s="92">
        <f>VLOOKUP(A117,'Data Vlaue (Cr)'!C112:CB325,78,0)</f>
        <v>3.0700000000000002E-2</v>
      </c>
      <c r="H117" s="91">
        <f>VLOOKUP($A117,'Data Vlaue (Cr)'!$C:$FB,91)</f>
        <v>151</v>
      </c>
      <c r="I117" s="91">
        <f>VLOOKUP($A117,'Data Vlaue (Cr)'!$C:$FB,93)</f>
        <v>13</v>
      </c>
      <c r="J117" s="92">
        <f>VLOOKUP($A117,'Data Vlaue (Cr)'!$C:$FB,94)</f>
        <v>9.2700000000000005E-2</v>
      </c>
      <c r="K117" s="91">
        <f>VLOOKUP($A117,'Data Vlaue (Cr)'!$C:$FB,95)</f>
        <v>102</v>
      </c>
      <c r="L117" s="91">
        <f>VLOOKUP($A117,'Data Vlaue (Cr)'!$C:$FB,97)</f>
        <v>1</v>
      </c>
      <c r="M117" s="92">
        <f>VLOOKUP($A117,'Data Vlaue (Cr)'!$C:$FB,98)</f>
        <v>9.4999999999999998E-3</v>
      </c>
      <c r="N117" s="91">
        <f>VLOOKUP($A117,'Data Vlaue (Cr)'!$C:$FB,79)</f>
        <v>424</v>
      </c>
      <c r="O117" s="92">
        <f>VLOOKUP($A117,'Data Vlaue (Cr)'!$C:$FB,82)</f>
        <v>1.83E-2</v>
      </c>
    </row>
    <row r="118" spans="1:15" x14ac:dyDescent="0.25">
      <c r="A118" s="97" t="str">
        <f>'Data Vlaue (Cr)'!C113</f>
        <v>KOTAKBANK</v>
      </c>
      <c r="B118" s="142">
        <f>VLOOKUP(A118,'Data Vlaue (Cr)'!C113:CW326,99,0)</f>
        <v>11261</v>
      </c>
      <c r="C118" s="90">
        <f>VLOOKUP(A118,'Data Vlaue (Cr)'!C113:CY326,101,0)</f>
        <v>234</v>
      </c>
      <c r="D118" s="139">
        <f>VLOOKUP(A118,'Data Vlaue (Cr)'!C113:CZ326,102,0)</f>
        <v>2.12E-2</v>
      </c>
      <c r="E118" s="91">
        <f>VLOOKUP($A118,'Data Vlaue (Cr)'!$C:$FB,75)</f>
        <v>8284</v>
      </c>
      <c r="F118" s="91">
        <f>VLOOKUP($A118,'Data Vlaue (Cr)'!$C:$FB,77)</f>
        <v>-60</v>
      </c>
      <c r="G118" s="92">
        <f>VLOOKUP(A118,'Data Vlaue (Cr)'!C113:CB326,78,0)</f>
        <v>-7.1000000000000004E-3</v>
      </c>
      <c r="H118" s="91">
        <f>VLOOKUP($A118,'Data Vlaue (Cr)'!$C:$FB,91)</f>
        <v>1826</v>
      </c>
      <c r="I118" s="91">
        <f>VLOOKUP($A118,'Data Vlaue (Cr)'!$C:$FB,93)</f>
        <v>155</v>
      </c>
      <c r="J118" s="92">
        <f>VLOOKUP($A118,'Data Vlaue (Cr)'!$C:$FB,94)</f>
        <v>9.2499999999999999E-2</v>
      </c>
      <c r="K118" s="91">
        <f>VLOOKUP($A118,'Data Vlaue (Cr)'!$C:$FB,95)</f>
        <v>1151</v>
      </c>
      <c r="L118" s="91">
        <f>VLOOKUP($A118,'Data Vlaue (Cr)'!$C:$FB,97)</f>
        <v>139</v>
      </c>
      <c r="M118" s="92">
        <f>VLOOKUP($A118,'Data Vlaue (Cr)'!$C:$FB,98)</f>
        <v>0.13719999999999999</v>
      </c>
      <c r="N118" s="91">
        <f>VLOOKUP($A118,'Data Vlaue (Cr)'!$C:$FB,79)</f>
        <v>8176</v>
      </c>
      <c r="O118" s="92">
        <f>VLOOKUP($A118,'Data Vlaue (Cr)'!$C:$FB,82)</f>
        <v>-0.01</v>
      </c>
    </row>
    <row r="119" spans="1:15" x14ac:dyDescent="0.25">
      <c r="A119" s="97" t="str">
        <f>'Data Vlaue (Cr)'!C114</f>
        <v>KPITTECH</v>
      </c>
      <c r="B119" s="142">
        <f>VLOOKUP(A119,'Data Vlaue (Cr)'!C114:CW327,99,0)</f>
        <v>803</v>
      </c>
      <c r="C119" s="90">
        <f>VLOOKUP(A119,'Data Vlaue (Cr)'!C114:CY327,101,0)</f>
        <v>16</v>
      </c>
      <c r="D119" s="139">
        <f>VLOOKUP(A119,'Data Vlaue (Cr)'!C114:CZ327,102,0)</f>
        <v>1.9699999999999999E-2</v>
      </c>
      <c r="E119" s="91">
        <f>VLOOKUP($A119,'Data Vlaue (Cr)'!$C:$FB,75)</f>
        <v>415</v>
      </c>
      <c r="F119" s="91">
        <f>VLOOKUP($A119,'Data Vlaue (Cr)'!$C:$FB,77)</f>
        <v>-53</v>
      </c>
      <c r="G119" s="92">
        <f>VLOOKUP(A119,'Data Vlaue (Cr)'!C114:CB327,78,0)</f>
        <v>-0.1125</v>
      </c>
      <c r="H119" s="91">
        <f>VLOOKUP($A119,'Data Vlaue (Cr)'!$C:$FB,91)</f>
        <v>200</v>
      </c>
      <c r="I119" s="91">
        <f>VLOOKUP($A119,'Data Vlaue (Cr)'!$C:$FB,93)</f>
        <v>14</v>
      </c>
      <c r="J119" s="92">
        <f>VLOOKUP($A119,'Data Vlaue (Cr)'!$C:$FB,94)</f>
        <v>7.3499999999999996E-2</v>
      </c>
      <c r="K119" s="91">
        <f>VLOOKUP($A119,'Data Vlaue (Cr)'!$C:$FB,95)</f>
        <v>189</v>
      </c>
      <c r="L119" s="91">
        <f>VLOOKUP($A119,'Data Vlaue (Cr)'!$C:$FB,97)</f>
        <v>54</v>
      </c>
      <c r="M119" s="92">
        <f>VLOOKUP($A119,'Data Vlaue (Cr)'!$C:$FB,98)</f>
        <v>0.40379999999999999</v>
      </c>
      <c r="N119" s="91">
        <f>VLOOKUP($A119,'Data Vlaue (Cr)'!$C:$FB,79)</f>
        <v>389</v>
      </c>
      <c r="O119" s="92">
        <f>VLOOKUP($A119,'Data Vlaue (Cr)'!$C:$FB,82)</f>
        <v>-0.1138</v>
      </c>
    </row>
    <row r="120" spans="1:15" x14ac:dyDescent="0.25">
      <c r="A120" s="97" t="str">
        <f>'Data Vlaue (Cr)'!C115</f>
        <v>LAURUSLABS</v>
      </c>
      <c r="B120" s="142">
        <f>VLOOKUP(A120,'Data Vlaue (Cr)'!C115:CW328,99,0)</f>
        <v>3166</v>
      </c>
      <c r="C120" s="90">
        <f>VLOOKUP(A120,'Data Vlaue (Cr)'!C115:CY328,101,0)</f>
        <v>194</v>
      </c>
      <c r="D120" s="139">
        <f>VLOOKUP(A120,'Data Vlaue (Cr)'!C115:CZ328,102,0)</f>
        <v>6.5199999999999994E-2</v>
      </c>
      <c r="E120" s="91">
        <f>VLOOKUP($A120,'Data Vlaue (Cr)'!$C:$FB,75)</f>
        <v>1894</v>
      </c>
      <c r="F120" s="91">
        <f>VLOOKUP($A120,'Data Vlaue (Cr)'!$C:$FB,77)</f>
        <v>50</v>
      </c>
      <c r="G120" s="92">
        <f>VLOOKUP(A120,'Data Vlaue (Cr)'!C115:CB328,78,0)</f>
        <v>2.7199999999999998E-2</v>
      </c>
      <c r="H120" s="91">
        <f>VLOOKUP($A120,'Data Vlaue (Cr)'!$C:$FB,91)</f>
        <v>707</v>
      </c>
      <c r="I120" s="91">
        <f>VLOOKUP($A120,'Data Vlaue (Cr)'!$C:$FB,93)</f>
        <v>60</v>
      </c>
      <c r="J120" s="92">
        <f>VLOOKUP($A120,'Data Vlaue (Cr)'!$C:$FB,94)</f>
        <v>9.2200000000000004E-2</v>
      </c>
      <c r="K120" s="91">
        <f>VLOOKUP($A120,'Data Vlaue (Cr)'!$C:$FB,95)</f>
        <v>565</v>
      </c>
      <c r="L120" s="91">
        <f>VLOOKUP($A120,'Data Vlaue (Cr)'!$C:$FB,97)</f>
        <v>84</v>
      </c>
      <c r="M120" s="92">
        <f>VLOOKUP($A120,'Data Vlaue (Cr)'!$C:$FB,98)</f>
        <v>0.17469999999999999</v>
      </c>
      <c r="N120" s="91">
        <f>VLOOKUP($A120,'Data Vlaue (Cr)'!$C:$FB,79)</f>
        <v>1748</v>
      </c>
      <c r="O120" s="92">
        <f>VLOOKUP($A120,'Data Vlaue (Cr)'!$C:$FB,82)</f>
        <v>-2.0000000000000001E-4</v>
      </c>
    </row>
    <row r="121" spans="1:15" x14ac:dyDescent="0.25">
      <c r="A121" s="97" t="str">
        <f>'Data Vlaue (Cr)'!C116</f>
        <v>LICHSGFIN</v>
      </c>
      <c r="B121" s="142">
        <f>VLOOKUP(A121,'Data Vlaue (Cr)'!C116:CW329,99,0)</f>
        <v>2628</v>
      </c>
      <c r="C121" s="90">
        <f>VLOOKUP(A121,'Data Vlaue (Cr)'!C116:CY329,101,0)</f>
        <v>99</v>
      </c>
      <c r="D121" s="139">
        <f>VLOOKUP(A121,'Data Vlaue (Cr)'!C116:CZ329,102,0)</f>
        <v>3.9100000000000003E-2</v>
      </c>
      <c r="E121" s="91">
        <f>VLOOKUP($A121,'Data Vlaue (Cr)'!$C:$FB,75)</f>
        <v>1803</v>
      </c>
      <c r="F121" s="91">
        <f>VLOOKUP($A121,'Data Vlaue (Cr)'!$C:$FB,77)</f>
        <v>12</v>
      </c>
      <c r="G121" s="92">
        <f>VLOOKUP(A121,'Data Vlaue (Cr)'!C116:CB329,78,0)</f>
        <v>6.6E-3</v>
      </c>
      <c r="H121" s="91">
        <f>VLOOKUP($A121,'Data Vlaue (Cr)'!$C:$FB,91)</f>
        <v>389</v>
      </c>
      <c r="I121" s="91">
        <f>VLOOKUP($A121,'Data Vlaue (Cr)'!$C:$FB,93)</f>
        <v>31</v>
      </c>
      <c r="J121" s="92">
        <f>VLOOKUP($A121,'Data Vlaue (Cr)'!$C:$FB,94)</f>
        <v>8.7999999999999995E-2</v>
      </c>
      <c r="K121" s="91">
        <f>VLOOKUP($A121,'Data Vlaue (Cr)'!$C:$FB,95)</f>
        <v>436</v>
      </c>
      <c r="L121" s="91">
        <f>VLOOKUP($A121,'Data Vlaue (Cr)'!$C:$FB,97)</f>
        <v>56</v>
      </c>
      <c r="M121" s="92">
        <f>VLOOKUP($A121,'Data Vlaue (Cr)'!$C:$FB,98)</f>
        <v>0.1462</v>
      </c>
      <c r="N121" s="91">
        <f>VLOOKUP($A121,'Data Vlaue (Cr)'!$C:$FB,79)</f>
        <v>1748</v>
      </c>
      <c r="O121" s="92">
        <f>VLOOKUP($A121,'Data Vlaue (Cr)'!$C:$FB,82)</f>
        <v>3.0999999999999999E-3</v>
      </c>
    </row>
    <row r="122" spans="1:15" x14ac:dyDescent="0.25">
      <c r="A122" s="97" t="str">
        <f>'Data Vlaue (Cr)'!C117</f>
        <v>LICI</v>
      </c>
      <c r="B122" s="142">
        <f>VLOOKUP(A122,'Data Vlaue (Cr)'!C117:CW330,99,0)</f>
        <v>1749</v>
      </c>
      <c r="C122" s="90">
        <f>VLOOKUP(A122,'Data Vlaue (Cr)'!C117:CY330,101,0)</f>
        <v>60</v>
      </c>
      <c r="D122" s="139">
        <f>VLOOKUP(A122,'Data Vlaue (Cr)'!C117:CZ330,102,0)</f>
        <v>3.5700000000000003E-2</v>
      </c>
      <c r="E122" s="91">
        <f>VLOOKUP($A122,'Data Vlaue (Cr)'!$C:$FB,75)</f>
        <v>1000</v>
      </c>
      <c r="F122" s="91">
        <f>VLOOKUP($A122,'Data Vlaue (Cr)'!$C:$FB,77)</f>
        <v>9</v>
      </c>
      <c r="G122" s="92">
        <f>VLOOKUP(A122,'Data Vlaue (Cr)'!C117:CB330,78,0)</f>
        <v>8.8999999999999999E-3</v>
      </c>
      <c r="H122" s="91">
        <f>VLOOKUP($A122,'Data Vlaue (Cr)'!$C:$FB,91)</f>
        <v>440</v>
      </c>
      <c r="I122" s="91">
        <f>VLOOKUP($A122,'Data Vlaue (Cr)'!$C:$FB,93)</f>
        <v>30</v>
      </c>
      <c r="J122" s="92">
        <f>VLOOKUP($A122,'Data Vlaue (Cr)'!$C:$FB,94)</f>
        <v>7.3099999999999998E-2</v>
      </c>
      <c r="K122" s="91">
        <f>VLOOKUP($A122,'Data Vlaue (Cr)'!$C:$FB,95)</f>
        <v>309</v>
      </c>
      <c r="L122" s="91">
        <f>VLOOKUP($A122,'Data Vlaue (Cr)'!$C:$FB,97)</f>
        <v>21</v>
      </c>
      <c r="M122" s="92">
        <f>VLOOKUP($A122,'Data Vlaue (Cr)'!$C:$FB,98)</f>
        <v>7.4499999999999997E-2</v>
      </c>
      <c r="N122" s="91">
        <f>VLOOKUP($A122,'Data Vlaue (Cr)'!$C:$FB,79)</f>
        <v>921</v>
      </c>
      <c r="O122" s="92">
        <f>VLOOKUP($A122,'Data Vlaue (Cr)'!$C:$FB,82)</f>
        <v>5.7000000000000002E-3</v>
      </c>
    </row>
    <row r="123" spans="1:15" x14ac:dyDescent="0.25">
      <c r="A123" s="97" t="str">
        <f>'Data Vlaue (Cr)'!C118</f>
        <v>LODHA</v>
      </c>
      <c r="B123" s="142">
        <f>VLOOKUP(A123,'Data Vlaue (Cr)'!C118:CW331,99,0)</f>
        <v>1901</v>
      </c>
      <c r="C123" s="90">
        <f>VLOOKUP(A123,'Data Vlaue (Cr)'!C118:CY331,101,0)</f>
        <v>49</v>
      </c>
      <c r="D123" s="139">
        <f>VLOOKUP(A123,'Data Vlaue (Cr)'!C118:CZ331,102,0)</f>
        <v>2.6700000000000002E-2</v>
      </c>
      <c r="E123" s="91">
        <f>VLOOKUP($A123,'Data Vlaue (Cr)'!$C:$FB,75)</f>
        <v>1376</v>
      </c>
      <c r="F123" s="91">
        <f>VLOOKUP($A123,'Data Vlaue (Cr)'!$C:$FB,77)</f>
        <v>-18</v>
      </c>
      <c r="G123" s="92">
        <f>VLOOKUP(A123,'Data Vlaue (Cr)'!C118:CB331,78,0)</f>
        <v>-1.29E-2</v>
      </c>
      <c r="H123" s="91">
        <f>VLOOKUP($A123,'Data Vlaue (Cr)'!$C:$FB,91)</f>
        <v>313</v>
      </c>
      <c r="I123" s="91">
        <f>VLOOKUP($A123,'Data Vlaue (Cr)'!$C:$FB,93)</f>
        <v>56</v>
      </c>
      <c r="J123" s="92">
        <f>VLOOKUP($A123,'Data Vlaue (Cr)'!$C:$FB,94)</f>
        <v>0.21809999999999999</v>
      </c>
      <c r="K123" s="91">
        <f>VLOOKUP($A123,'Data Vlaue (Cr)'!$C:$FB,95)</f>
        <v>212</v>
      </c>
      <c r="L123" s="91">
        <f>VLOOKUP($A123,'Data Vlaue (Cr)'!$C:$FB,97)</f>
        <v>11</v>
      </c>
      <c r="M123" s="92">
        <f>VLOOKUP($A123,'Data Vlaue (Cr)'!$C:$FB,98)</f>
        <v>5.7000000000000002E-2</v>
      </c>
      <c r="N123" s="91">
        <f>VLOOKUP($A123,'Data Vlaue (Cr)'!$C:$FB,79)</f>
        <v>1349</v>
      </c>
      <c r="O123" s="92">
        <f>VLOOKUP($A123,'Data Vlaue (Cr)'!$C:$FB,82)</f>
        <v>-1.4500000000000001E-2</v>
      </c>
    </row>
    <row r="124" spans="1:15" x14ac:dyDescent="0.25">
      <c r="A124" s="97" t="str">
        <f>'Data Vlaue (Cr)'!C119</f>
        <v>LT</v>
      </c>
      <c r="B124" s="142">
        <f>VLOOKUP(A124,'Data Vlaue (Cr)'!C119:CW332,99,0)</f>
        <v>8043</v>
      </c>
      <c r="C124" s="90">
        <f>VLOOKUP(A124,'Data Vlaue (Cr)'!C119:CY332,101,0)</f>
        <v>171</v>
      </c>
      <c r="D124" s="139">
        <f>VLOOKUP(A124,'Data Vlaue (Cr)'!C119:CZ332,102,0)</f>
        <v>2.1700000000000001E-2</v>
      </c>
      <c r="E124" s="91">
        <f>VLOOKUP($A124,'Data Vlaue (Cr)'!$C:$FB,75)</f>
        <v>5651</v>
      </c>
      <c r="F124" s="91">
        <f>VLOOKUP($A124,'Data Vlaue (Cr)'!$C:$FB,77)</f>
        <v>-43</v>
      </c>
      <c r="G124" s="92">
        <f>VLOOKUP(A124,'Data Vlaue (Cr)'!C119:CB332,78,0)</f>
        <v>-7.6E-3</v>
      </c>
      <c r="H124" s="91">
        <f>VLOOKUP($A124,'Data Vlaue (Cr)'!$C:$FB,91)</f>
        <v>1436</v>
      </c>
      <c r="I124" s="91">
        <f>VLOOKUP($A124,'Data Vlaue (Cr)'!$C:$FB,93)</f>
        <v>180</v>
      </c>
      <c r="J124" s="92">
        <f>VLOOKUP($A124,'Data Vlaue (Cr)'!$C:$FB,94)</f>
        <v>0.14349999999999999</v>
      </c>
      <c r="K124" s="91">
        <f>VLOOKUP($A124,'Data Vlaue (Cr)'!$C:$FB,95)</f>
        <v>956</v>
      </c>
      <c r="L124" s="91">
        <f>VLOOKUP($A124,'Data Vlaue (Cr)'!$C:$FB,97)</f>
        <v>34</v>
      </c>
      <c r="M124" s="92">
        <f>VLOOKUP($A124,'Data Vlaue (Cr)'!$C:$FB,98)</f>
        <v>3.6999999999999998E-2</v>
      </c>
      <c r="N124" s="91">
        <f>VLOOKUP($A124,'Data Vlaue (Cr)'!$C:$FB,79)</f>
        <v>5527</v>
      </c>
      <c r="O124" s="92">
        <f>VLOOKUP($A124,'Data Vlaue (Cr)'!$C:$FB,82)</f>
        <v>-9.7000000000000003E-3</v>
      </c>
    </row>
    <row r="125" spans="1:15" x14ac:dyDescent="0.25">
      <c r="A125" s="97" t="str">
        <f>'Data Vlaue (Cr)'!C120</f>
        <v>LTF</v>
      </c>
      <c r="B125" s="142">
        <f>VLOOKUP(A125,'Data Vlaue (Cr)'!C120:CW333,99,0)</f>
        <v>2510</v>
      </c>
      <c r="C125" s="90">
        <f>VLOOKUP(A125,'Data Vlaue (Cr)'!C120:CY333,101,0)</f>
        <v>66</v>
      </c>
      <c r="D125" s="139">
        <f>VLOOKUP(A125,'Data Vlaue (Cr)'!C120:CZ333,102,0)</f>
        <v>2.7199999999999998E-2</v>
      </c>
      <c r="E125" s="91">
        <f>VLOOKUP($A125,'Data Vlaue (Cr)'!$C:$FB,75)</f>
        <v>1290</v>
      </c>
      <c r="F125" s="91">
        <f>VLOOKUP($A125,'Data Vlaue (Cr)'!$C:$FB,77)</f>
        <v>-11</v>
      </c>
      <c r="G125" s="92">
        <f>VLOOKUP(A125,'Data Vlaue (Cr)'!C120:CB333,78,0)</f>
        <v>-8.2000000000000007E-3</v>
      </c>
      <c r="H125" s="91">
        <f>VLOOKUP($A125,'Data Vlaue (Cr)'!$C:$FB,91)</f>
        <v>739</v>
      </c>
      <c r="I125" s="91">
        <f>VLOOKUP($A125,'Data Vlaue (Cr)'!$C:$FB,93)</f>
        <v>70</v>
      </c>
      <c r="J125" s="92">
        <f>VLOOKUP($A125,'Data Vlaue (Cr)'!$C:$FB,94)</f>
        <v>0.10539999999999999</v>
      </c>
      <c r="K125" s="91">
        <f>VLOOKUP($A125,'Data Vlaue (Cr)'!$C:$FB,95)</f>
        <v>481</v>
      </c>
      <c r="L125" s="91">
        <f>VLOOKUP($A125,'Data Vlaue (Cr)'!$C:$FB,97)</f>
        <v>7</v>
      </c>
      <c r="M125" s="92">
        <f>VLOOKUP($A125,'Data Vlaue (Cr)'!$C:$FB,98)</f>
        <v>1.4200000000000001E-2</v>
      </c>
      <c r="N125" s="91">
        <f>VLOOKUP($A125,'Data Vlaue (Cr)'!$C:$FB,79)</f>
        <v>1248</v>
      </c>
      <c r="O125" s="92">
        <f>VLOOKUP($A125,'Data Vlaue (Cr)'!$C:$FB,82)</f>
        <v>-1.52E-2</v>
      </c>
    </row>
    <row r="126" spans="1:15" x14ac:dyDescent="0.25">
      <c r="A126" s="97" t="str">
        <f>'Data Vlaue (Cr)'!C121</f>
        <v>LTIM</v>
      </c>
      <c r="B126" s="142">
        <f>VLOOKUP(A126,'Data Vlaue (Cr)'!C121:CW334,99,0)</f>
        <v>2374</v>
      </c>
      <c r="C126" s="90">
        <f>VLOOKUP(A126,'Data Vlaue (Cr)'!C121:CY334,101,0)</f>
        <v>57</v>
      </c>
      <c r="D126" s="139">
        <f>VLOOKUP(A126,'Data Vlaue (Cr)'!C121:CZ334,102,0)</f>
        <v>2.4500000000000001E-2</v>
      </c>
      <c r="E126" s="91">
        <f>VLOOKUP($A126,'Data Vlaue (Cr)'!$C:$FB,75)</f>
        <v>1433</v>
      </c>
      <c r="F126" s="91">
        <f>VLOOKUP($A126,'Data Vlaue (Cr)'!$C:$FB,77)</f>
        <v>2</v>
      </c>
      <c r="G126" s="92">
        <f>VLOOKUP(A126,'Data Vlaue (Cr)'!C121:CB334,78,0)</f>
        <v>1.1999999999999999E-3</v>
      </c>
      <c r="H126" s="91">
        <f>VLOOKUP($A126,'Data Vlaue (Cr)'!$C:$FB,91)</f>
        <v>521</v>
      </c>
      <c r="I126" s="91">
        <f>VLOOKUP($A126,'Data Vlaue (Cr)'!$C:$FB,93)</f>
        <v>41</v>
      </c>
      <c r="J126" s="92">
        <f>VLOOKUP($A126,'Data Vlaue (Cr)'!$C:$FB,94)</f>
        <v>8.6099999999999996E-2</v>
      </c>
      <c r="K126" s="91">
        <f>VLOOKUP($A126,'Data Vlaue (Cr)'!$C:$FB,95)</f>
        <v>419</v>
      </c>
      <c r="L126" s="91">
        <f>VLOOKUP($A126,'Data Vlaue (Cr)'!$C:$FB,97)</f>
        <v>14</v>
      </c>
      <c r="M126" s="92">
        <f>VLOOKUP($A126,'Data Vlaue (Cr)'!$C:$FB,98)</f>
        <v>3.3799999999999997E-2</v>
      </c>
      <c r="N126" s="91">
        <f>VLOOKUP($A126,'Data Vlaue (Cr)'!$C:$FB,79)</f>
        <v>1418</v>
      </c>
      <c r="O126" s="92">
        <f>VLOOKUP($A126,'Data Vlaue (Cr)'!$C:$FB,82)</f>
        <v>1E-3</v>
      </c>
    </row>
    <row r="127" spans="1:15" x14ac:dyDescent="0.25">
      <c r="A127" s="97" t="str">
        <f>'Data Vlaue (Cr)'!C122</f>
        <v>LUPIN</v>
      </c>
      <c r="B127" s="142">
        <f>VLOOKUP(A127,'Data Vlaue (Cr)'!C122:CW335,99,0)</f>
        <v>2572</v>
      </c>
      <c r="C127" s="90">
        <f>VLOOKUP(A127,'Data Vlaue (Cr)'!C122:CY335,101,0)</f>
        <v>236</v>
      </c>
      <c r="D127" s="139">
        <f>VLOOKUP(A127,'Data Vlaue (Cr)'!C122:CZ335,102,0)</f>
        <v>0.1012</v>
      </c>
      <c r="E127" s="91">
        <f>VLOOKUP($A127,'Data Vlaue (Cr)'!$C:$FB,75)</f>
        <v>1625</v>
      </c>
      <c r="F127" s="91">
        <f>VLOOKUP($A127,'Data Vlaue (Cr)'!$C:$FB,77)</f>
        <v>23</v>
      </c>
      <c r="G127" s="92">
        <f>VLOOKUP(A127,'Data Vlaue (Cr)'!C122:CB335,78,0)</f>
        <v>1.4200000000000001E-2</v>
      </c>
      <c r="H127" s="91">
        <f>VLOOKUP($A127,'Data Vlaue (Cr)'!$C:$FB,91)</f>
        <v>529</v>
      </c>
      <c r="I127" s="91">
        <f>VLOOKUP($A127,'Data Vlaue (Cr)'!$C:$FB,93)</f>
        <v>97</v>
      </c>
      <c r="J127" s="92">
        <f>VLOOKUP($A127,'Data Vlaue (Cr)'!$C:$FB,94)</f>
        <v>0.22570000000000001</v>
      </c>
      <c r="K127" s="91">
        <f>VLOOKUP($A127,'Data Vlaue (Cr)'!$C:$FB,95)</f>
        <v>419</v>
      </c>
      <c r="L127" s="91">
        <f>VLOOKUP($A127,'Data Vlaue (Cr)'!$C:$FB,97)</f>
        <v>116</v>
      </c>
      <c r="M127" s="92">
        <f>VLOOKUP($A127,'Data Vlaue (Cr)'!$C:$FB,98)</f>
        <v>0.38490000000000002</v>
      </c>
      <c r="N127" s="91">
        <f>VLOOKUP($A127,'Data Vlaue (Cr)'!$C:$FB,79)</f>
        <v>1601</v>
      </c>
      <c r="O127" s="92">
        <f>VLOOKUP($A127,'Data Vlaue (Cr)'!$C:$FB,82)</f>
        <v>1.3599999999999999E-2</v>
      </c>
    </row>
    <row r="128" spans="1:15" x14ac:dyDescent="0.25">
      <c r="A128" s="97" t="str">
        <f>'Data Vlaue (Cr)'!C123</f>
        <v>M&amp;M</v>
      </c>
      <c r="B128" s="142">
        <f>VLOOKUP(A128,'Data Vlaue (Cr)'!C123:CW336,99,0)</f>
        <v>8832</v>
      </c>
      <c r="C128" s="90">
        <f>VLOOKUP(A128,'Data Vlaue (Cr)'!C123:CY336,101,0)</f>
        <v>117</v>
      </c>
      <c r="D128" s="139">
        <f>VLOOKUP(A128,'Data Vlaue (Cr)'!C123:CZ336,102,0)</f>
        <v>1.34E-2</v>
      </c>
      <c r="E128" s="91">
        <f>VLOOKUP($A128,'Data Vlaue (Cr)'!$C:$FB,75)</f>
        <v>6888</v>
      </c>
      <c r="F128" s="91">
        <f>VLOOKUP($A128,'Data Vlaue (Cr)'!$C:$FB,77)</f>
        <v>3</v>
      </c>
      <c r="G128" s="92">
        <f>VLOOKUP(A128,'Data Vlaue (Cr)'!C123:CB336,78,0)</f>
        <v>4.0000000000000002E-4</v>
      </c>
      <c r="H128" s="91">
        <f>VLOOKUP($A128,'Data Vlaue (Cr)'!$C:$FB,91)</f>
        <v>1197</v>
      </c>
      <c r="I128" s="91">
        <f>VLOOKUP($A128,'Data Vlaue (Cr)'!$C:$FB,93)</f>
        <v>138</v>
      </c>
      <c r="J128" s="92">
        <f>VLOOKUP($A128,'Data Vlaue (Cr)'!$C:$FB,94)</f>
        <v>0.1308</v>
      </c>
      <c r="K128" s="91">
        <f>VLOOKUP($A128,'Data Vlaue (Cr)'!$C:$FB,95)</f>
        <v>747</v>
      </c>
      <c r="L128" s="91">
        <f>VLOOKUP($A128,'Data Vlaue (Cr)'!$C:$FB,97)</f>
        <v>-24</v>
      </c>
      <c r="M128" s="92">
        <f>VLOOKUP($A128,'Data Vlaue (Cr)'!$C:$FB,98)</f>
        <v>-3.1300000000000001E-2</v>
      </c>
      <c r="N128" s="91">
        <f>VLOOKUP($A128,'Data Vlaue (Cr)'!$C:$FB,79)</f>
        <v>6778</v>
      </c>
      <c r="O128" s="92">
        <f>VLOOKUP($A128,'Data Vlaue (Cr)'!$C:$FB,82)</f>
        <v>-1.6000000000000001E-3</v>
      </c>
    </row>
    <row r="129" spans="1:15" x14ac:dyDescent="0.25">
      <c r="A129" s="97" t="str">
        <f>'Data Vlaue (Cr)'!C124</f>
        <v>MANAPPURAM</v>
      </c>
      <c r="B129" s="142">
        <f>VLOOKUP(A129,'Data Vlaue (Cr)'!C124:CW337,99,0)</f>
        <v>2352</v>
      </c>
      <c r="C129" s="90">
        <f>VLOOKUP(A129,'Data Vlaue (Cr)'!C124:CY337,101,0)</f>
        <v>190</v>
      </c>
      <c r="D129" s="139">
        <f>VLOOKUP(A129,'Data Vlaue (Cr)'!C124:CZ337,102,0)</f>
        <v>8.7599999999999997E-2</v>
      </c>
      <c r="E129" s="91">
        <f>VLOOKUP($A129,'Data Vlaue (Cr)'!$C:$FB,75)</f>
        <v>1437</v>
      </c>
      <c r="F129" s="91">
        <f>VLOOKUP($A129,'Data Vlaue (Cr)'!$C:$FB,77)</f>
        <v>83</v>
      </c>
      <c r="G129" s="92">
        <f>VLOOKUP(A129,'Data Vlaue (Cr)'!C124:CB337,78,0)</f>
        <v>6.1100000000000002E-2</v>
      </c>
      <c r="H129" s="91">
        <f>VLOOKUP($A129,'Data Vlaue (Cr)'!$C:$FB,91)</f>
        <v>585</v>
      </c>
      <c r="I129" s="91">
        <f>VLOOKUP($A129,'Data Vlaue (Cr)'!$C:$FB,93)</f>
        <v>66</v>
      </c>
      <c r="J129" s="92">
        <f>VLOOKUP($A129,'Data Vlaue (Cr)'!$C:$FB,94)</f>
        <v>0.12820000000000001</v>
      </c>
      <c r="K129" s="91">
        <f>VLOOKUP($A129,'Data Vlaue (Cr)'!$C:$FB,95)</f>
        <v>331</v>
      </c>
      <c r="L129" s="91">
        <f>VLOOKUP($A129,'Data Vlaue (Cr)'!$C:$FB,97)</f>
        <v>40</v>
      </c>
      <c r="M129" s="92">
        <f>VLOOKUP($A129,'Data Vlaue (Cr)'!$C:$FB,98)</f>
        <v>0.13919999999999999</v>
      </c>
      <c r="N129" s="91">
        <f>VLOOKUP($A129,'Data Vlaue (Cr)'!$C:$FB,79)</f>
        <v>1406</v>
      </c>
      <c r="O129" s="92">
        <f>VLOOKUP($A129,'Data Vlaue (Cr)'!$C:$FB,82)</f>
        <v>6.0100000000000001E-2</v>
      </c>
    </row>
    <row r="130" spans="1:15" x14ac:dyDescent="0.25">
      <c r="A130" s="97" t="str">
        <f>'Data Vlaue (Cr)'!C125</f>
        <v>MANKIND</v>
      </c>
      <c r="B130" s="142">
        <f>VLOOKUP(A130,'Data Vlaue (Cr)'!C125:CW338,99,0)</f>
        <v>748</v>
      </c>
      <c r="C130" s="90">
        <f>VLOOKUP(A130,'Data Vlaue (Cr)'!C125:CY338,101,0)</f>
        <v>70</v>
      </c>
      <c r="D130" s="139">
        <f>VLOOKUP(A130,'Data Vlaue (Cr)'!C125:CZ338,102,0)</f>
        <v>0.10249999999999999</v>
      </c>
      <c r="E130" s="91">
        <f>VLOOKUP($A130,'Data Vlaue (Cr)'!$C:$FB,75)</f>
        <v>466</v>
      </c>
      <c r="F130" s="91">
        <f>VLOOKUP($A130,'Data Vlaue (Cr)'!$C:$FB,77)</f>
        <v>-28</v>
      </c>
      <c r="G130" s="92">
        <f>VLOOKUP(A130,'Data Vlaue (Cr)'!C125:CB338,78,0)</f>
        <v>-5.74E-2</v>
      </c>
      <c r="H130" s="91">
        <f>VLOOKUP($A130,'Data Vlaue (Cr)'!$C:$FB,91)</f>
        <v>171</v>
      </c>
      <c r="I130" s="91">
        <f>VLOOKUP($A130,'Data Vlaue (Cr)'!$C:$FB,93)</f>
        <v>66</v>
      </c>
      <c r="J130" s="92">
        <f>VLOOKUP($A130,'Data Vlaue (Cr)'!$C:$FB,94)</f>
        <v>0.62909999999999999</v>
      </c>
      <c r="K130" s="91">
        <f>VLOOKUP($A130,'Data Vlaue (Cr)'!$C:$FB,95)</f>
        <v>111</v>
      </c>
      <c r="L130" s="91">
        <f>VLOOKUP($A130,'Data Vlaue (Cr)'!$C:$FB,97)</f>
        <v>32</v>
      </c>
      <c r="M130" s="92">
        <f>VLOOKUP($A130,'Data Vlaue (Cr)'!$C:$FB,98)</f>
        <v>0.39789999999999998</v>
      </c>
      <c r="N130" s="91">
        <f>VLOOKUP($A130,'Data Vlaue (Cr)'!$C:$FB,79)</f>
        <v>454</v>
      </c>
      <c r="O130" s="92">
        <f>VLOOKUP($A130,'Data Vlaue (Cr)'!$C:$FB,82)</f>
        <v>-5.7700000000000001E-2</v>
      </c>
    </row>
    <row r="131" spans="1:15" x14ac:dyDescent="0.25">
      <c r="A131" s="97" t="str">
        <f>'Data Vlaue (Cr)'!C126</f>
        <v>MARICO</v>
      </c>
      <c r="B131" s="142">
        <f>VLOOKUP(A131,'Data Vlaue (Cr)'!C126:CW339,99,0)</f>
        <v>3235</v>
      </c>
      <c r="C131" s="90">
        <f>VLOOKUP(A131,'Data Vlaue (Cr)'!C126:CY339,101,0)</f>
        <v>89</v>
      </c>
      <c r="D131" s="139">
        <f>VLOOKUP(A131,'Data Vlaue (Cr)'!C126:CZ339,102,0)</f>
        <v>2.8400000000000002E-2</v>
      </c>
      <c r="E131" s="91">
        <f>VLOOKUP($A131,'Data Vlaue (Cr)'!$C:$FB,75)</f>
        <v>2407</v>
      </c>
      <c r="F131" s="91">
        <f>VLOOKUP($A131,'Data Vlaue (Cr)'!$C:$FB,77)</f>
        <v>-43</v>
      </c>
      <c r="G131" s="92">
        <f>VLOOKUP(A131,'Data Vlaue (Cr)'!C126:CB339,78,0)</f>
        <v>-1.7399999999999999E-2</v>
      </c>
      <c r="H131" s="91">
        <f>VLOOKUP($A131,'Data Vlaue (Cr)'!$C:$FB,91)</f>
        <v>517</v>
      </c>
      <c r="I131" s="91">
        <f>VLOOKUP($A131,'Data Vlaue (Cr)'!$C:$FB,93)</f>
        <v>92</v>
      </c>
      <c r="J131" s="92">
        <f>VLOOKUP($A131,'Data Vlaue (Cr)'!$C:$FB,94)</f>
        <v>0.21529999999999999</v>
      </c>
      <c r="K131" s="91">
        <f>VLOOKUP($A131,'Data Vlaue (Cr)'!$C:$FB,95)</f>
        <v>312</v>
      </c>
      <c r="L131" s="91">
        <f>VLOOKUP($A131,'Data Vlaue (Cr)'!$C:$FB,97)</f>
        <v>41</v>
      </c>
      <c r="M131" s="92">
        <f>VLOOKUP($A131,'Data Vlaue (Cr)'!$C:$FB,98)</f>
        <v>0.14979999999999999</v>
      </c>
      <c r="N131" s="91">
        <f>VLOOKUP($A131,'Data Vlaue (Cr)'!$C:$FB,79)</f>
        <v>2396</v>
      </c>
      <c r="O131" s="92">
        <f>VLOOKUP($A131,'Data Vlaue (Cr)'!$C:$FB,82)</f>
        <v>-1.78E-2</v>
      </c>
    </row>
    <row r="132" spans="1:15" x14ac:dyDescent="0.25">
      <c r="A132" s="97" t="str">
        <f>'Data Vlaue (Cr)'!C127</f>
        <v>MARUTI</v>
      </c>
      <c r="B132" s="142">
        <f>VLOOKUP(A132,'Data Vlaue (Cr)'!C127:CW340,99,0)</f>
        <v>9635</v>
      </c>
      <c r="C132" s="90">
        <f>VLOOKUP(A132,'Data Vlaue (Cr)'!C127:CY340,101,0)</f>
        <v>483</v>
      </c>
      <c r="D132" s="139">
        <f>VLOOKUP(A132,'Data Vlaue (Cr)'!C127:CZ340,102,0)</f>
        <v>5.28E-2</v>
      </c>
      <c r="E132" s="91">
        <f>VLOOKUP($A132,'Data Vlaue (Cr)'!$C:$FB,75)</f>
        <v>4986</v>
      </c>
      <c r="F132" s="91">
        <f>VLOOKUP($A132,'Data Vlaue (Cr)'!$C:$FB,77)</f>
        <v>17</v>
      </c>
      <c r="G132" s="92">
        <f>VLOOKUP(A132,'Data Vlaue (Cr)'!C127:CB340,78,0)</f>
        <v>3.3999999999999998E-3</v>
      </c>
      <c r="H132" s="91">
        <f>VLOOKUP($A132,'Data Vlaue (Cr)'!$C:$FB,91)</f>
        <v>2750</v>
      </c>
      <c r="I132" s="91">
        <f>VLOOKUP($A132,'Data Vlaue (Cr)'!$C:$FB,93)</f>
        <v>726</v>
      </c>
      <c r="J132" s="92">
        <f>VLOOKUP($A132,'Data Vlaue (Cr)'!$C:$FB,94)</f>
        <v>0.35859999999999997</v>
      </c>
      <c r="K132" s="91">
        <f>VLOOKUP($A132,'Data Vlaue (Cr)'!$C:$FB,95)</f>
        <v>1900</v>
      </c>
      <c r="L132" s="91">
        <f>VLOOKUP($A132,'Data Vlaue (Cr)'!$C:$FB,97)</f>
        <v>-260</v>
      </c>
      <c r="M132" s="92">
        <f>VLOOKUP($A132,'Data Vlaue (Cr)'!$C:$FB,98)</f>
        <v>-0.1203</v>
      </c>
      <c r="N132" s="91">
        <f>VLOOKUP($A132,'Data Vlaue (Cr)'!$C:$FB,79)</f>
        <v>4878</v>
      </c>
      <c r="O132" s="92">
        <f>VLOOKUP($A132,'Data Vlaue (Cr)'!$C:$FB,82)</f>
        <v>-1.1000000000000001E-3</v>
      </c>
    </row>
    <row r="133" spans="1:15" x14ac:dyDescent="0.25">
      <c r="A133" s="97" t="str">
        <f>'Data Vlaue (Cr)'!C128</f>
        <v>MAXHEALTH</v>
      </c>
      <c r="B133" s="142">
        <f>VLOOKUP(A133,'Data Vlaue (Cr)'!C128:CW341,99,0)</f>
        <v>2891</v>
      </c>
      <c r="C133" s="90">
        <f>VLOOKUP(A133,'Data Vlaue (Cr)'!C128:CY341,101,0)</f>
        <v>141</v>
      </c>
      <c r="D133" s="139">
        <f>VLOOKUP(A133,'Data Vlaue (Cr)'!C128:CZ341,102,0)</f>
        <v>5.1200000000000002E-2</v>
      </c>
      <c r="E133" s="91">
        <f>VLOOKUP($A133,'Data Vlaue (Cr)'!$C:$FB,75)</f>
        <v>2336</v>
      </c>
      <c r="F133" s="91">
        <f>VLOOKUP($A133,'Data Vlaue (Cr)'!$C:$FB,77)</f>
        <v>64</v>
      </c>
      <c r="G133" s="92">
        <f>VLOOKUP(A133,'Data Vlaue (Cr)'!C128:CB341,78,0)</f>
        <v>2.8299999999999999E-2</v>
      </c>
      <c r="H133" s="91">
        <f>VLOOKUP($A133,'Data Vlaue (Cr)'!$C:$FB,91)</f>
        <v>337</v>
      </c>
      <c r="I133" s="91">
        <f>VLOOKUP($A133,'Data Vlaue (Cr)'!$C:$FB,93)</f>
        <v>70</v>
      </c>
      <c r="J133" s="92">
        <f>VLOOKUP($A133,'Data Vlaue (Cr)'!$C:$FB,94)</f>
        <v>0.26369999999999999</v>
      </c>
      <c r="K133" s="91">
        <f>VLOOKUP($A133,'Data Vlaue (Cr)'!$C:$FB,95)</f>
        <v>218</v>
      </c>
      <c r="L133" s="91">
        <f>VLOOKUP($A133,'Data Vlaue (Cr)'!$C:$FB,97)</f>
        <v>6</v>
      </c>
      <c r="M133" s="92">
        <f>VLOOKUP($A133,'Data Vlaue (Cr)'!$C:$FB,98)</f>
        <v>2.9700000000000001E-2</v>
      </c>
      <c r="N133" s="91">
        <f>VLOOKUP($A133,'Data Vlaue (Cr)'!$C:$FB,79)</f>
        <v>2292</v>
      </c>
      <c r="O133" s="92">
        <f>VLOOKUP($A133,'Data Vlaue (Cr)'!$C:$FB,82)</f>
        <v>2.6499999999999999E-2</v>
      </c>
    </row>
    <row r="134" spans="1:15" x14ac:dyDescent="0.25">
      <c r="A134" s="97" t="str">
        <f>'Data Vlaue (Cr)'!C129</f>
        <v>MAZDOCK</v>
      </c>
      <c r="B134" s="142">
        <f>VLOOKUP(A134,'Data Vlaue (Cr)'!C129:CW342,99,0)</f>
        <v>2885</v>
      </c>
      <c r="C134" s="90">
        <f>VLOOKUP(A134,'Data Vlaue (Cr)'!C129:CY342,101,0)</f>
        <v>-18</v>
      </c>
      <c r="D134" s="139">
        <f>VLOOKUP(A134,'Data Vlaue (Cr)'!C129:CZ342,102,0)</f>
        <v>-6.0000000000000001E-3</v>
      </c>
      <c r="E134" s="91">
        <f>VLOOKUP($A134,'Data Vlaue (Cr)'!$C:$FB,75)</f>
        <v>1312</v>
      </c>
      <c r="F134" s="91">
        <f>VLOOKUP($A134,'Data Vlaue (Cr)'!$C:$FB,77)</f>
        <v>-12</v>
      </c>
      <c r="G134" s="92">
        <f>VLOOKUP(A134,'Data Vlaue (Cr)'!C129:CB342,78,0)</f>
        <v>-9.2999999999999992E-3</v>
      </c>
      <c r="H134" s="91">
        <f>VLOOKUP($A134,'Data Vlaue (Cr)'!$C:$FB,91)</f>
        <v>1033</v>
      </c>
      <c r="I134" s="91">
        <f>VLOOKUP($A134,'Data Vlaue (Cr)'!$C:$FB,93)</f>
        <v>-9</v>
      </c>
      <c r="J134" s="92">
        <f>VLOOKUP($A134,'Data Vlaue (Cr)'!$C:$FB,94)</f>
        <v>-8.2000000000000007E-3</v>
      </c>
      <c r="K134" s="91">
        <f>VLOOKUP($A134,'Data Vlaue (Cr)'!$C:$FB,95)</f>
        <v>540</v>
      </c>
      <c r="L134" s="91">
        <f>VLOOKUP($A134,'Data Vlaue (Cr)'!$C:$FB,97)</f>
        <v>3</v>
      </c>
      <c r="M134" s="92">
        <f>VLOOKUP($A134,'Data Vlaue (Cr)'!$C:$FB,98)</f>
        <v>6.1000000000000004E-3</v>
      </c>
      <c r="N134" s="91">
        <f>VLOOKUP($A134,'Data Vlaue (Cr)'!$C:$FB,79)</f>
        <v>1238</v>
      </c>
      <c r="O134" s="92">
        <f>VLOOKUP($A134,'Data Vlaue (Cr)'!$C:$FB,82)</f>
        <v>-1.2200000000000001E-2</v>
      </c>
    </row>
    <row r="135" spans="1:15" x14ac:dyDescent="0.25">
      <c r="A135" s="97" t="str">
        <f>'Data Vlaue (Cr)'!C130</f>
        <v>MCX</v>
      </c>
      <c r="B135" s="142">
        <f>VLOOKUP(A135,'Data Vlaue (Cr)'!C130:CW343,99,0)</f>
        <v>7068</v>
      </c>
      <c r="C135" s="90">
        <f>VLOOKUP(A135,'Data Vlaue (Cr)'!C130:CY343,101,0)</f>
        <v>218</v>
      </c>
      <c r="D135" s="139">
        <f>VLOOKUP(A135,'Data Vlaue (Cr)'!C130:CZ343,102,0)</f>
        <v>3.1800000000000002E-2</v>
      </c>
      <c r="E135" s="91">
        <f>VLOOKUP($A135,'Data Vlaue (Cr)'!$C:$FB,75)</f>
        <v>3228</v>
      </c>
      <c r="F135" s="91">
        <f>VLOOKUP($A135,'Data Vlaue (Cr)'!$C:$FB,77)</f>
        <v>-73</v>
      </c>
      <c r="G135" s="92">
        <f>VLOOKUP(A135,'Data Vlaue (Cr)'!C130:CB343,78,0)</f>
        <v>-2.1999999999999999E-2</v>
      </c>
      <c r="H135" s="91">
        <f>VLOOKUP($A135,'Data Vlaue (Cr)'!$C:$FB,91)</f>
        <v>2188</v>
      </c>
      <c r="I135" s="91">
        <f>VLOOKUP($A135,'Data Vlaue (Cr)'!$C:$FB,93)</f>
        <v>58</v>
      </c>
      <c r="J135" s="92">
        <f>VLOOKUP($A135,'Data Vlaue (Cr)'!$C:$FB,94)</f>
        <v>2.7300000000000001E-2</v>
      </c>
      <c r="K135" s="91">
        <f>VLOOKUP($A135,'Data Vlaue (Cr)'!$C:$FB,95)</f>
        <v>1651</v>
      </c>
      <c r="L135" s="91">
        <f>VLOOKUP($A135,'Data Vlaue (Cr)'!$C:$FB,97)</f>
        <v>232</v>
      </c>
      <c r="M135" s="92">
        <f>VLOOKUP($A135,'Data Vlaue (Cr)'!$C:$FB,98)</f>
        <v>0.16370000000000001</v>
      </c>
      <c r="N135" s="91">
        <f>VLOOKUP($A135,'Data Vlaue (Cr)'!$C:$FB,79)</f>
        <v>3095</v>
      </c>
      <c r="O135" s="92">
        <f>VLOOKUP($A135,'Data Vlaue (Cr)'!$C:$FB,82)</f>
        <v>-2.2700000000000001E-2</v>
      </c>
    </row>
    <row r="136" spans="1:15" x14ac:dyDescent="0.25">
      <c r="A136" s="97" t="str">
        <f>'Data Vlaue (Cr)'!C131</f>
        <v>MFSL</v>
      </c>
      <c r="B136" s="142">
        <f>VLOOKUP(A136,'Data Vlaue (Cr)'!C131:CW344,99,0)</f>
        <v>1984</v>
      </c>
      <c r="C136" s="90">
        <f>VLOOKUP(A136,'Data Vlaue (Cr)'!C131:CY344,101,0)</f>
        <v>98</v>
      </c>
      <c r="D136" s="139">
        <f>VLOOKUP(A136,'Data Vlaue (Cr)'!C131:CZ344,102,0)</f>
        <v>5.1999999999999998E-2</v>
      </c>
      <c r="E136" s="91">
        <f>VLOOKUP($A136,'Data Vlaue (Cr)'!$C:$FB,75)</f>
        <v>1560</v>
      </c>
      <c r="F136" s="91">
        <f>VLOOKUP($A136,'Data Vlaue (Cr)'!$C:$FB,77)</f>
        <v>32</v>
      </c>
      <c r="G136" s="92">
        <f>VLOOKUP(A136,'Data Vlaue (Cr)'!C131:CB344,78,0)</f>
        <v>2.12E-2</v>
      </c>
      <c r="H136" s="91">
        <f>VLOOKUP($A136,'Data Vlaue (Cr)'!$C:$FB,91)</f>
        <v>252</v>
      </c>
      <c r="I136" s="91">
        <f>VLOOKUP($A136,'Data Vlaue (Cr)'!$C:$FB,93)</f>
        <v>47</v>
      </c>
      <c r="J136" s="92">
        <f>VLOOKUP($A136,'Data Vlaue (Cr)'!$C:$FB,94)</f>
        <v>0.2316</v>
      </c>
      <c r="K136" s="91">
        <f>VLOOKUP($A136,'Data Vlaue (Cr)'!$C:$FB,95)</f>
        <v>172</v>
      </c>
      <c r="L136" s="91">
        <f>VLOOKUP($A136,'Data Vlaue (Cr)'!$C:$FB,97)</f>
        <v>18</v>
      </c>
      <c r="M136" s="92">
        <f>VLOOKUP($A136,'Data Vlaue (Cr)'!$C:$FB,98)</f>
        <v>0.11849999999999999</v>
      </c>
      <c r="N136" s="91">
        <f>VLOOKUP($A136,'Data Vlaue (Cr)'!$C:$FB,79)</f>
        <v>1553</v>
      </c>
      <c r="O136" s="92">
        <f>VLOOKUP($A136,'Data Vlaue (Cr)'!$C:$FB,82)</f>
        <v>2.0799999999999999E-2</v>
      </c>
    </row>
    <row r="137" spans="1:15" x14ac:dyDescent="0.25">
      <c r="A137" s="97" t="str">
        <f>'Data Vlaue (Cr)'!C132</f>
        <v>MIDCPNIFTY</v>
      </c>
      <c r="B137" s="142">
        <f>VLOOKUP(A137,'Data Vlaue (Cr)'!C132:CW345,99,0)</f>
        <v>24127</v>
      </c>
      <c r="C137" s="90">
        <f>VLOOKUP(A137,'Data Vlaue (Cr)'!C132:CY345,101,0)</f>
        <v>3155</v>
      </c>
      <c r="D137" s="139">
        <f>VLOOKUP(A137,'Data Vlaue (Cr)'!C132:CZ345,102,0)</f>
        <v>0.15040000000000001</v>
      </c>
      <c r="E137" s="91">
        <f>VLOOKUP($A137,'Data Vlaue (Cr)'!$C:$FB,75)</f>
        <v>3315</v>
      </c>
      <c r="F137" s="91">
        <f>VLOOKUP($A137,'Data Vlaue (Cr)'!$C:$FB,77)</f>
        <v>5</v>
      </c>
      <c r="G137" s="92">
        <f>VLOOKUP(A137,'Data Vlaue (Cr)'!C132:CB345,78,0)</f>
        <v>1.5E-3</v>
      </c>
      <c r="H137" s="91">
        <f>VLOOKUP($A137,'Data Vlaue (Cr)'!$C:$FB,91)</f>
        <v>9518</v>
      </c>
      <c r="I137" s="91">
        <f>VLOOKUP($A137,'Data Vlaue (Cr)'!$C:$FB,93)</f>
        <v>1196</v>
      </c>
      <c r="J137" s="92">
        <f>VLOOKUP($A137,'Data Vlaue (Cr)'!$C:$FB,94)</f>
        <v>0.14360000000000001</v>
      </c>
      <c r="K137" s="91">
        <f>VLOOKUP($A137,'Data Vlaue (Cr)'!$C:$FB,95)</f>
        <v>11294</v>
      </c>
      <c r="L137" s="91">
        <f>VLOOKUP($A137,'Data Vlaue (Cr)'!$C:$FB,97)</f>
        <v>1954</v>
      </c>
      <c r="M137" s="92">
        <f>VLOOKUP($A137,'Data Vlaue (Cr)'!$C:$FB,98)</f>
        <v>0.2092</v>
      </c>
      <c r="N137" s="91">
        <f>VLOOKUP($A137,'Data Vlaue (Cr)'!$C:$FB,79)</f>
        <v>3211</v>
      </c>
      <c r="O137" s="92">
        <f>VLOOKUP($A137,'Data Vlaue (Cr)'!$C:$FB,82)</f>
        <v>6.9999999999999999E-4</v>
      </c>
    </row>
    <row r="138" spans="1:15" x14ac:dyDescent="0.25">
      <c r="A138" s="97" t="str">
        <f>'Data Vlaue (Cr)'!C133</f>
        <v>MOTHERSON</v>
      </c>
      <c r="B138" s="142">
        <f>VLOOKUP(A138,'Data Vlaue (Cr)'!C133:CW346,99,0)</f>
        <v>3146</v>
      </c>
      <c r="C138" s="90">
        <f>VLOOKUP(A138,'Data Vlaue (Cr)'!C133:CY346,101,0)</f>
        <v>125</v>
      </c>
      <c r="D138" s="139">
        <f>VLOOKUP(A138,'Data Vlaue (Cr)'!C133:CZ346,102,0)</f>
        <v>4.1599999999999998E-2</v>
      </c>
      <c r="E138" s="91">
        <f>VLOOKUP($A138,'Data Vlaue (Cr)'!$C:$FB,75)</f>
        <v>2060</v>
      </c>
      <c r="F138" s="91">
        <f>VLOOKUP($A138,'Data Vlaue (Cr)'!$C:$FB,77)</f>
        <v>34</v>
      </c>
      <c r="G138" s="92">
        <f>VLOOKUP(A138,'Data Vlaue (Cr)'!C133:CB346,78,0)</f>
        <v>1.67E-2</v>
      </c>
      <c r="H138" s="91">
        <f>VLOOKUP($A138,'Data Vlaue (Cr)'!$C:$FB,91)</f>
        <v>663</v>
      </c>
      <c r="I138" s="91">
        <f>VLOOKUP($A138,'Data Vlaue (Cr)'!$C:$FB,93)</f>
        <v>76</v>
      </c>
      <c r="J138" s="92">
        <f>VLOOKUP($A138,'Data Vlaue (Cr)'!$C:$FB,94)</f>
        <v>0.1303</v>
      </c>
      <c r="K138" s="91">
        <f>VLOOKUP($A138,'Data Vlaue (Cr)'!$C:$FB,95)</f>
        <v>422</v>
      </c>
      <c r="L138" s="91">
        <f>VLOOKUP($A138,'Data Vlaue (Cr)'!$C:$FB,97)</f>
        <v>15</v>
      </c>
      <c r="M138" s="92">
        <f>VLOOKUP($A138,'Data Vlaue (Cr)'!$C:$FB,98)</f>
        <v>3.73E-2</v>
      </c>
      <c r="N138" s="91">
        <f>VLOOKUP($A138,'Data Vlaue (Cr)'!$C:$FB,79)</f>
        <v>2009</v>
      </c>
      <c r="O138" s="92">
        <f>VLOOKUP($A138,'Data Vlaue (Cr)'!$C:$FB,82)</f>
        <v>1.4999999999999999E-2</v>
      </c>
    </row>
    <row r="139" spans="1:15" x14ac:dyDescent="0.25">
      <c r="A139" s="97" t="str">
        <f>'Data Vlaue (Cr)'!C134</f>
        <v>MPHASIS</v>
      </c>
      <c r="B139" s="142">
        <f>VLOOKUP(A139,'Data Vlaue (Cr)'!C134:CW347,99,0)</f>
        <v>1944</v>
      </c>
      <c r="C139" s="90">
        <f>VLOOKUP(A139,'Data Vlaue (Cr)'!C134:CY347,101,0)</f>
        <v>-25</v>
      </c>
      <c r="D139" s="139">
        <f>VLOOKUP(A139,'Data Vlaue (Cr)'!C134:CZ347,102,0)</f>
        <v>-1.2699999999999999E-2</v>
      </c>
      <c r="E139" s="91">
        <f>VLOOKUP($A139,'Data Vlaue (Cr)'!$C:$FB,75)</f>
        <v>1480</v>
      </c>
      <c r="F139" s="91">
        <f>VLOOKUP($A139,'Data Vlaue (Cr)'!$C:$FB,77)</f>
        <v>-21</v>
      </c>
      <c r="G139" s="92">
        <f>VLOOKUP(A139,'Data Vlaue (Cr)'!C134:CB347,78,0)</f>
        <v>-1.37E-2</v>
      </c>
      <c r="H139" s="91">
        <f>VLOOKUP($A139,'Data Vlaue (Cr)'!$C:$FB,91)</f>
        <v>273</v>
      </c>
      <c r="I139" s="91">
        <f>VLOOKUP($A139,'Data Vlaue (Cr)'!$C:$FB,93)</f>
        <v>-12</v>
      </c>
      <c r="J139" s="92">
        <f>VLOOKUP($A139,'Data Vlaue (Cr)'!$C:$FB,94)</f>
        <v>-4.3099999999999999E-2</v>
      </c>
      <c r="K139" s="91">
        <f>VLOOKUP($A139,'Data Vlaue (Cr)'!$C:$FB,95)</f>
        <v>192</v>
      </c>
      <c r="L139" s="91">
        <f>VLOOKUP($A139,'Data Vlaue (Cr)'!$C:$FB,97)</f>
        <v>8</v>
      </c>
      <c r="M139" s="92">
        <f>VLOOKUP($A139,'Data Vlaue (Cr)'!$C:$FB,98)</f>
        <v>4.2700000000000002E-2</v>
      </c>
      <c r="N139" s="91">
        <f>VLOOKUP($A139,'Data Vlaue (Cr)'!$C:$FB,79)</f>
        <v>1461</v>
      </c>
      <c r="O139" s="92">
        <f>VLOOKUP($A139,'Data Vlaue (Cr)'!$C:$FB,82)</f>
        <v>-1.6400000000000001E-2</v>
      </c>
    </row>
    <row r="140" spans="1:15" x14ac:dyDescent="0.25">
      <c r="A140" s="97" t="str">
        <f>'Data Vlaue (Cr)'!C135</f>
        <v>MUTHOOTFIN</v>
      </c>
      <c r="B140" s="142">
        <f>VLOOKUP(A140,'Data Vlaue (Cr)'!C135:CW348,99,0)</f>
        <v>2890</v>
      </c>
      <c r="C140" s="90">
        <f>VLOOKUP(A140,'Data Vlaue (Cr)'!C135:CY348,101,0)</f>
        <v>68</v>
      </c>
      <c r="D140" s="139">
        <f>VLOOKUP(A140,'Data Vlaue (Cr)'!C135:CZ348,102,0)</f>
        <v>2.4199999999999999E-2</v>
      </c>
      <c r="E140" s="91">
        <f>VLOOKUP($A140,'Data Vlaue (Cr)'!$C:$FB,75)</f>
        <v>1469</v>
      </c>
      <c r="F140" s="91">
        <f>VLOOKUP($A140,'Data Vlaue (Cr)'!$C:$FB,77)</f>
        <v>-18</v>
      </c>
      <c r="G140" s="92">
        <f>VLOOKUP(A140,'Data Vlaue (Cr)'!C135:CB348,78,0)</f>
        <v>-1.18E-2</v>
      </c>
      <c r="H140" s="91">
        <f>VLOOKUP($A140,'Data Vlaue (Cr)'!$C:$FB,91)</f>
        <v>815</v>
      </c>
      <c r="I140" s="91">
        <f>VLOOKUP($A140,'Data Vlaue (Cr)'!$C:$FB,93)</f>
        <v>36</v>
      </c>
      <c r="J140" s="92">
        <f>VLOOKUP($A140,'Data Vlaue (Cr)'!$C:$FB,94)</f>
        <v>4.5699999999999998E-2</v>
      </c>
      <c r="K140" s="91">
        <f>VLOOKUP($A140,'Data Vlaue (Cr)'!$C:$FB,95)</f>
        <v>606</v>
      </c>
      <c r="L140" s="91">
        <f>VLOOKUP($A140,'Data Vlaue (Cr)'!$C:$FB,97)</f>
        <v>50</v>
      </c>
      <c r="M140" s="92">
        <f>VLOOKUP($A140,'Data Vlaue (Cr)'!$C:$FB,98)</f>
        <v>9.0200000000000002E-2</v>
      </c>
      <c r="N140" s="91">
        <f>VLOOKUP($A140,'Data Vlaue (Cr)'!$C:$FB,79)</f>
        <v>1423</v>
      </c>
      <c r="O140" s="92">
        <f>VLOOKUP($A140,'Data Vlaue (Cr)'!$C:$FB,82)</f>
        <v>-1.32E-2</v>
      </c>
    </row>
    <row r="141" spans="1:15" x14ac:dyDescent="0.25">
      <c r="A141" s="97" t="str">
        <f>'Data Vlaue (Cr)'!C136</f>
        <v>NATIONALUM</v>
      </c>
      <c r="B141" s="142">
        <f>VLOOKUP(A141,'Data Vlaue (Cr)'!C136:CW349,99,0)</f>
        <v>4990</v>
      </c>
      <c r="C141" s="90">
        <f>VLOOKUP(A141,'Data Vlaue (Cr)'!C136:CY349,101,0)</f>
        <v>-139</v>
      </c>
      <c r="D141" s="139">
        <f>VLOOKUP(A141,'Data Vlaue (Cr)'!C136:CZ349,102,0)</f>
        <v>-2.7099999999999999E-2</v>
      </c>
      <c r="E141" s="91">
        <f>VLOOKUP($A141,'Data Vlaue (Cr)'!$C:$FB,75)</f>
        <v>1819</v>
      </c>
      <c r="F141" s="91">
        <f>VLOOKUP($A141,'Data Vlaue (Cr)'!$C:$FB,77)</f>
        <v>-53</v>
      </c>
      <c r="G141" s="92">
        <f>VLOOKUP(A141,'Data Vlaue (Cr)'!C136:CB349,78,0)</f>
        <v>-2.8199999999999999E-2</v>
      </c>
      <c r="H141" s="91">
        <f>VLOOKUP($A141,'Data Vlaue (Cr)'!$C:$FB,91)</f>
        <v>1650</v>
      </c>
      <c r="I141" s="91">
        <f>VLOOKUP($A141,'Data Vlaue (Cr)'!$C:$FB,93)</f>
        <v>-184</v>
      </c>
      <c r="J141" s="92">
        <f>VLOOKUP($A141,'Data Vlaue (Cr)'!$C:$FB,94)</f>
        <v>-0.1002</v>
      </c>
      <c r="K141" s="91">
        <f>VLOOKUP($A141,'Data Vlaue (Cr)'!$C:$FB,95)</f>
        <v>1521</v>
      </c>
      <c r="L141" s="91">
        <f>VLOOKUP($A141,'Data Vlaue (Cr)'!$C:$FB,97)</f>
        <v>97</v>
      </c>
      <c r="M141" s="92">
        <f>VLOOKUP($A141,'Data Vlaue (Cr)'!$C:$FB,98)</f>
        <v>6.8500000000000005E-2</v>
      </c>
      <c r="N141" s="91">
        <f>VLOOKUP($A141,'Data Vlaue (Cr)'!$C:$FB,79)</f>
        <v>1685</v>
      </c>
      <c r="O141" s="92">
        <f>VLOOKUP($A141,'Data Vlaue (Cr)'!$C:$FB,82)</f>
        <v>-3.5999999999999997E-2</v>
      </c>
    </row>
    <row r="142" spans="1:15" x14ac:dyDescent="0.25">
      <c r="A142" s="97" t="str">
        <f>'Data Vlaue (Cr)'!C137</f>
        <v>NAUKRI</v>
      </c>
      <c r="B142" s="142">
        <f>VLOOKUP(A142,'Data Vlaue (Cr)'!C137:CW350,99,0)</f>
        <v>1830</v>
      </c>
      <c r="C142" s="90">
        <f>VLOOKUP(A142,'Data Vlaue (Cr)'!C137:CY350,101,0)</f>
        <v>230</v>
      </c>
      <c r="D142" s="139">
        <f>VLOOKUP(A142,'Data Vlaue (Cr)'!C137:CZ350,102,0)</f>
        <v>0.14349999999999999</v>
      </c>
      <c r="E142" s="91">
        <f>VLOOKUP($A142,'Data Vlaue (Cr)'!$C:$FB,75)</f>
        <v>1095</v>
      </c>
      <c r="F142" s="91">
        <f>VLOOKUP($A142,'Data Vlaue (Cr)'!$C:$FB,77)</f>
        <v>10</v>
      </c>
      <c r="G142" s="92">
        <f>VLOOKUP(A142,'Data Vlaue (Cr)'!C137:CB350,78,0)</f>
        <v>9.5999999999999992E-3</v>
      </c>
      <c r="H142" s="91">
        <f>VLOOKUP($A142,'Data Vlaue (Cr)'!$C:$FB,91)</f>
        <v>473</v>
      </c>
      <c r="I142" s="91">
        <f>VLOOKUP($A142,'Data Vlaue (Cr)'!$C:$FB,93)</f>
        <v>179</v>
      </c>
      <c r="J142" s="92">
        <f>VLOOKUP($A142,'Data Vlaue (Cr)'!$C:$FB,94)</f>
        <v>0.60970000000000002</v>
      </c>
      <c r="K142" s="91">
        <f>VLOOKUP($A142,'Data Vlaue (Cr)'!$C:$FB,95)</f>
        <v>262</v>
      </c>
      <c r="L142" s="91">
        <f>VLOOKUP($A142,'Data Vlaue (Cr)'!$C:$FB,97)</f>
        <v>40</v>
      </c>
      <c r="M142" s="92">
        <f>VLOOKUP($A142,'Data Vlaue (Cr)'!$C:$FB,98)</f>
        <v>0.18129999999999999</v>
      </c>
      <c r="N142" s="91">
        <f>VLOOKUP($A142,'Data Vlaue (Cr)'!$C:$FB,79)</f>
        <v>1084</v>
      </c>
      <c r="O142" s="92">
        <f>VLOOKUP($A142,'Data Vlaue (Cr)'!$C:$FB,82)</f>
        <v>8.6E-3</v>
      </c>
    </row>
    <row r="143" spans="1:15" x14ac:dyDescent="0.25">
      <c r="A143" s="97" t="str">
        <f>'Data Vlaue (Cr)'!C138</f>
        <v>NBCC</v>
      </c>
      <c r="B143" s="142">
        <f>VLOOKUP(A143,'Data Vlaue (Cr)'!C138:CW351,99,0)</f>
        <v>1921</v>
      </c>
      <c r="C143" s="90">
        <f>VLOOKUP(A143,'Data Vlaue (Cr)'!C138:CY351,101,0)</f>
        <v>77</v>
      </c>
      <c r="D143" s="139">
        <f>VLOOKUP(A143,'Data Vlaue (Cr)'!C138:CZ351,102,0)</f>
        <v>4.1799999999999997E-2</v>
      </c>
      <c r="E143" s="91">
        <f>VLOOKUP($A143,'Data Vlaue (Cr)'!$C:$FB,75)</f>
        <v>1044</v>
      </c>
      <c r="F143" s="91">
        <f>VLOOKUP($A143,'Data Vlaue (Cr)'!$C:$FB,77)</f>
        <v>-42</v>
      </c>
      <c r="G143" s="92">
        <f>VLOOKUP(A143,'Data Vlaue (Cr)'!C138:CB351,78,0)</f>
        <v>-3.8699999999999998E-2</v>
      </c>
      <c r="H143" s="91">
        <f>VLOOKUP($A143,'Data Vlaue (Cr)'!$C:$FB,91)</f>
        <v>592</v>
      </c>
      <c r="I143" s="91">
        <f>VLOOKUP($A143,'Data Vlaue (Cr)'!$C:$FB,93)</f>
        <v>91</v>
      </c>
      <c r="J143" s="92">
        <f>VLOOKUP($A143,'Data Vlaue (Cr)'!$C:$FB,94)</f>
        <v>0.18140000000000001</v>
      </c>
      <c r="K143" s="91">
        <f>VLOOKUP($A143,'Data Vlaue (Cr)'!$C:$FB,95)</f>
        <v>285</v>
      </c>
      <c r="L143" s="91">
        <f>VLOOKUP($A143,'Data Vlaue (Cr)'!$C:$FB,97)</f>
        <v>28</v>
      </c>
      <c r="M143" s="92">
        <f>VLOOKUP($A143,'Data Vlaue (Cr)'!$C:$FB,98)</f>
        <v>0.11</v>
      </c>
      <c r="N143" s="91">
        <f>VLOOKUP($A143,'Data Vlaue (Cr)'!$C:$FB,79)</f>
        <v>975</v>
      </c>
      <c r="O143" s="92">
        <f>VLOOKUP($A143,'Data Vlaue (Cr)'!$C:$FB,82)</f>
        <v>-7.6899999999999996E-2</v>
      </c>
    </row>
    <row r="144" spans="1:15" x14ac:dyDescent="0.25">
      <c r="A144" s="97" t="str">
        <f>'Data Vlaue (Cr)'!C139</f>
        <v>NESTLEIND</v>
      </c>
      <c r="B144" s="142">
        <f>VLOOKUP(A144,'Data Vlaue (Cr)'!C139:CW352,99,0)</f>
        <v>3133</v>
      </c>
      <c r="C144" s="90">
        <f>VLOOKUP(A144,'Data Vlaue (Cr)'!C139:CY352,101,0)</f>
        <v>43</v>
      </c>
      <c r="D144" s="139">
        <f>VLOOKUP(A144,'Data Vlaue (Cr)'!C139:CZ352,102,0)</f>
        <v>1.38E-2</v>
      </c>
      <c r="E144" s="91">
        <f>VLOOKUP($A144,'Data Vlaue (Cr)'!$C:$FB,75)</f>
        <v>2415</v>
      </c>
      <c r="F144" s="91">
        <f>VLOOKUP($A144,'Data Vlaue (Cr)'!$C:$FB,77)</f>
        <v>43</v>
      </c>
      <c r="G144" s="92">
        <f>VLOOKUP(A144,'Data Vlaue (Cr)'!C139:CB352,78,0)</f>
        <v>1.7999999999999999E-2</v>
      </c>
      <c r="H144" s="91">
        <f>VLOOKUP($A144,'Data Vlaue (Cr)'!$C:$FB,91)</f>
        <v>424</v>
      </c>
      <c r="I144" s="91">
        <f>VLOOKUP($A144,'Data Vlaue (Cr)'!$C:$FB,93)</f>
        <v>-2</v>
      </c>
      <c r="J144" s="92">
        <f>VLOOKUP($A144,'Data Vlaue (Cr)'!$C:$FB,94)</f>
        <v>-5.3E-3</v>
      </c>
      <c r="K144" s="91">
        <f>VLOOKUP($A144,'Data Vlaue (Cr)'!$C:$FB,95)</f>
        <v>295</v>
      </c>
      <c r="L144" s="91">
        <f>VLOOKUP($A144,'Data Vlaue (Cr)'!$C:$FB,97)</f>
        <v>2</v>
      </c>
      <c r="M144" s="92">
        <f>VLOOKUP($A144,'Data Vlaue (Cr)'!$C:$FB,98)</f>
        <v>7.9000000000000008E-3</v>
      </c>
      <c r="N144" s="91">
        <f>VLOOKUP($A144,'Data Vlaue (Cr)'!$C:$FB,79)</f>
        <v>2377</v>
      </c>
      <c r="O144" s="92">
        <f>VLOOKUP($A144,'Data Vlaue (Cr)'!$C:$FB,82)</f>
        <v>1.7899999999999999E-2</v>
      </c>
    </row>
    <row r="145" spans="1:15" x14ac:dyDescent="0.25">
      <c r="A145" s="97" t="str">
        <f>'Data Vlaue (Cr)'!C140</f>
        <v>NHPC</v>
      </c>
      <c r="B145" s="142">
        <f>VLOOKUP(A145,'Data Vlaue (Cr)'!C140:CW353,99,0)</f>
        <v>992</v>
      </c>
      <c r="C145" s="90">
        <f>VLOOKUP(A145,'Data Vlaue (Cr)'!C140:CY353,101,0)</f>
        <v>-19</v>
      </c>
      <c r="D145" s="139">
        <f>VLOOKUP(A145,'Data Vlaue (Cr)'!C140:CZ353,102,0)</f>
        <v>-1.9099999999999999E-2</v>
      </c>
      <c r="E145" s="91">
        <f>VLOOKUP($A145,'Data Vlaue (Cr)'!$C:$FB,75)</f>
        <v>547</v>
      </c>
      <c r="F145" s="91">
        <f>VLOOKUP($A145,'Data Vlaue (Cr)'!$C:$FB,77)</f>
        <v>-31</v>
      </c>
      <c r="G145" s="92">
        <f>VLOOKUP(A145,'Data Vlaue (Cr)'!C140:CB353,78,0)</f>
        <v>-5.3600000000000002E-2</v>
      </c>
      <c r="H145" s="91">
        <f>VLOOKUP($A145,'Data Vlaue (Cr)'!$C:$FB,91)</f>
        <v>291</v>
      </c>
      <c r="I145" s="91">
        <f>VLOOKUP($A145,'Data Vlaue (Cr)'!$C:$FB,93)</f>
        <v>11</v>
      </c>
      <c r="J145" s="92">
        <f>VLOOKUP($A145,'Data Vlaue (Cr)'!$C:$FB,94)</f>
        <v>3.95E-2</v>
      </c>
      <c r="K145" s="91">
        <f>VLOOKUP($A145,'Data Vlaue (Cr)'!$C:$FB,95)</f>
        <v>155</v>
      </c>
      <c r="L145" s="91">
        <f>VLOOKUP($A145,'Data Vlaue (Cr)'!$C:$FB,97)</f>
        <v>1</v>
      </c>
      <c r="M145" s="92">
        <f>VLOOKUP($A145,'Data Vlaue (Cr)'!$C:$FB,98)</f>
        <v>3.8E-3</v>
      </c>
      <c r="N145" s="91">
        <f>VLOOKUP($A145,'Data Vlaue (Cr)'!$C:$FB,79)</f>
        <v>505</v>
      </c>
      <c r="O145" s="92">
        <f>VLOOKUP($A145,'Data Vlaue (Cr)'!$C:$FB,82)</f>
        <v>-5.9499999999999997E-2</v>
      </c>
    </row>
    <row r="146" spans="1:15" x14ac:dyDescent="0.25">
      <c r="A146" s="97" t="str">
        <f>'Data Vlaue (Cr)'!C141</f>
        <v>NIFTY</v>
      </c>
      <c r="B146" s="142">
        <f>VLOOKUP(A146,'Data Vlaue (Cr)'!C141:CW354,99,0)</f>
        <v>1093325</v>
      </c>
      <c r="C146" s="90">
        <f>VLOOKUP(A146,'Data Vlaue (Cr)'!C141:CY354,101,0)</f>
        <v>-572656</v>
      </c>
      <c r="D146" s="139">
        <f>VLOOKUP(A146,'Data Vlaue (Cr)'!C141:CZ354,102,0)</f>
        <v>-0.34370000000000001</v>
      </c>
      <c r="E146" s="91">
        <f>VLOOKUP($A146,'Data Vlaue (Cr)'!$C:$FB,75)</f>
        <v>41209</v>
      </c>
      <c r="F146" s="91">
        <f>VLOOKUP($A146,'Data Vlaue (Cr)'!$C:$FB,77)</f>
        <v>202</v>
      </c>
      <c r="G146" s="92">
        <f>VLOOKUP(A146,'Data Vlaue (Cr)'!C141:CB354,78,0)</f>
        <v>4.8999999999999998E-3</v>
      </c>
      <c r="H146" s="91">
        <f>VLOOKUP($A146,'Data Vlaue (Cr)'!$C:$FB,91)</f>
        <v>557541</v>
      </c>
      <c r="I146" s="91">
        <f>VLOOKUP($A146,'Data Vlaue (Cr)'!$C:$FB,93)</f>
        <v>131333</v>
      </c>
      <c r="J146" s="92">
        <f>VLOOKUP($A146,'Data Vlaue (Cr)'!$C:$FB,94)</f>
        <v>0.30809999999999998</v>
      </c>
      <c r="K146" s="91">
        <f>VLOOKUP($A146,'Data Vlaue (Cr)'!$C:$FB,95)</f>
        <v>494575</v>
      </c>
      <c r="L146" s="91">
        <f>VLOOKUP($A146,'Data Vlaue (Cr)'!$C:$FB,97)</f>
        <v>100698</v>
      </c>
      <c r="M146" s="92">
        <f>VLOOKUP($A146,'Data Vlaue (Cr)'!$C:$FB,98)</f>
        <v>0.25569999999999998</v>
      </c>
      <c r="N146" s="91">
        <f>VLOOKUP($A146,'Data Vlaue (Cr)'!$C:$FB,79)</f>
        <v>36924</v>
      </c>
      <c r="O146" s="92">
        <f>VLOOKUP($A146,'Data Vlaue (Cr)'!$C:$FB,82)</f>
        <v>6.9999999999999999E-4</v>
      </c>
    </row>
    <row r="147" spans="1:15" x14ac:dyDescent="0.25">
      <c r="A147" s="97" t="str">
        <f>'Data Vlaue (Cr)'!C142</f>
        <v>NIFTYNXT50</v>
      </c>
      <c r="B147" s="142">
        <f>VLOOKUP(A147,'Data Vlaue (Cr)'!C142:CW355,99,0)</f>
        <v>216</v>
      </c>
      <c r="C147" s="90">
        <f>VLOOKUP(A147,'Data Vlaue (Cr)'!C142:CY355,101,0)</f>
        <v>13</v>
      </c>
      <c r="D147" s="139">
        <f>VLOOKUP(A147,'Data Vlaue (Cr)'!C142:CZ355,102,0)</f>
        <v>6.3799999999999996E-2</v>
      </c>
      <c r="E147" s="91">
        <f>VLOOKUP($A147,'Data Vlaue (Cr)'!$C:$FB,75)</f>
        <v>153</v>
      </c>
      <c r="F147" s="91">
        <f>VLOOKUP($A147,'Data Vlaue (Cr)'!$C:$FB,77)</f>
        <v>0</v>
      </c>
      <c r="G147" s="92">
        <f>VLOOKUP(A147,'Data Vlaue (Cr)'!C142:CB355,78,0)</f>
        <v>1.1999999999999999E-3</v>
      </c>
      <c r="H147" s="91">
        <f>VLOOKUP($A147,'Data Vlaue (Cr)'!$C:$FB,91)</f>
        <v>30</v>
      </c>
      <c r="I147" s="91">
        <f>VLOOKUP($A147,'Data Vlaue (Cr)'!$C:$FB,93)</f>
        <v>4</v>
      </c>
      <c r="J147" s="92">
        <f>VLOOKUP($A147,'Data Vlaue (Cr)'!$C:$FB,94)</f>
        <v>0.1351</v>
      </c>
      <c r="K147" s="91">
        <f>VLOOKUP($A147,'Data Vlaue (Cr)'!$C:$FB,95)</f>
        <v>33</v>
      </c>
      <c r="L147" s="91">
        <f>VLOOKUP($A147,'Data Vlaue (Cr)'!$C:$FB,97)</f>
        <v>9</v>
      </c>
      <c r="M147" s="92">
        <f>VLOOKUP($A147,'Data Vlaue (Cr)'!$C:$FB,98)</f>
        <v>0.39389999999999997</v>
      </c>
      <c r="N147" s="91">
        <f>VLOOKUP($A147,'Data Vlaue (Cr)'!$C:$FB,79)</f>
        <v>141</v>
      </c>
      <c r="O147" s="92">
        <f>VLOOKUP($A147,'Data Vlaue (Cr)'!$C:$FB,82)</f>
        <v>-2.58E-2</v>
      </c>
    </row>
    <row r="148" spans="1:15" x14ac:dyDescent="0.25">
      <c r="A148" s="97" t="str">
        <f>'Data Vlaue (Cr)'!C143</f>
        <v>NMDC</v>
      </c>
      <c r="B148" s="142">
        <f>VLOOKUP(A148,'Data Vlaue (Cr)'!C143:CW356,99,0)</f>
        <v>4562</v>
      </c>
      <c r="C148" s="90">
        <f>VLOOKUP(A148,'Data Vlaue (Cr)'!C143:CY356,101,0)</f>
        <v>31</v>
      </c>
      <c r="D148" s="139">
        <f>VLOOKUP(A148,'Data Vlaue (Cr)'!C143:CZ356,102,0)</f>
        <v>6.8999999999999999E-3</v>
      </c>
      <c r="E148" s="91">
        <f>VLOOKUP($A148,'Data Vlaue (Cr)'!$C:$FB,75)</f>
        <v>2921</v>
      </c>
      <c r="F148" s="91">
        <f>VLOOKUP($A148,'Data Vlaue (Cr)'!$C:$FB,77)</f>
        <v>-4</v>
      </c>
      <c r="G148" s="92">
        <f>VLOOKUP(A148,'Data Vlaue (Cr)'!C143:CB356,78,0)</f>
        <v>-1.4E-3</v>
      </c>
      <c r="H148" s="91">
        <f>VLOOKUP($A148,'Data Vlaue (Cr)'!$C:$FB,91)</f>
        <v>1103</v>
      </c>
      <c r="I148" s="91">
        <f>VLOOKUP($A148,'Data Vlaue (Cr)'!$C:$FB,93)</f>
        <v>-2</v>
      </c>
      <c r="J148" s="92">
        <f>VLOOKUP($A148,'Data Vlaue (Cr)'!$C:$FB,94)</f>
        <v>-1.5E-3</v>
      </c>
      <c r="K148" s="91">
        <f>VLOOKUP($A148,'Data Vlaue (Cr)'!$C:$FB,95)</f>
        <v>538</v>
      </c>
      <c r="L148" s="91">
        <f>VLOOKUP($A148,'Data Vlaue (Cr)'!$C:$FB,97)</f>
        <v>37</v>
      </c>
      <c r="M148" s="92">
        <f>VLOOKUP($A148,'Data Vlaue (Cr)'!$C:$FB,98)</f>
        <v>7.3899999999999993E-2</v>
      </c>
      <c r="N148" s="91">
        <f>VLOOKUP($A148,'Data Vlaue (Cr)'!$C:$FB,79)</f>
        <v>2812</v>
      </c>
      <c r="O148" s="92">
        <f>VLOOKUP($A148,'Data Vlaue (Cr)'!$C:$FB,82)</f>
        <v>-4.7000000000000002E-3</v>
      </c>
    </row>
    <row r="149" spans="1:15" x14ac:dyDescent="0.25">
      <c r="A149" s="97" t="str">
        <f>'Data Vlaue (Cr)'!C144</f>
        <v>NTPC</v>
      </c>
      <c r="B149" s="142">
        <f>VLOOKUP(A149,'Data Vlaue (Cr)'!C144:CW357,99,0)</f>
        <v>5303</v>
      </c>
      <c r="C149" s="90">
        <f>VLOOKUP(A149,'Data Vlaue (Cr)'!C144:CY357,101,0)</f>
        <v>17</v>
      </c>
      <c r="D149" s="139">
        <f>VLOOKUP(A149,'Data Vlaue (Cr)'!C144:CZ357,102,0)</f>
        <v>3.3E-3</v>
      </c>
      <c r="E149" s="91">
        <f>VLOOKUP($A149,'Data Vlaue (Cr)'!$C:$FB,75)</f>
        <v>2903</v>
      </c>
      <c r="F149" s="91">
        <f>VLOOKUP($A149,'Data Vlaue (Cr)'!$C:$FB,77)</f>
        <v>7</v>
      </c>
      <c r="G149" s="92">
        <f>VLOOKUP(A149,'Data Vlaue (Cr)'!C144:CB357,78,0)</f>
        <v>2.5999999999999999E-3</v>
      </c>
      <c r="H149" s="91">
        <f>VLOOKUP($A149,'Data Vlaue (Cr)'!$C:$FB,91)</f>
        <v>1483</v>
      </c>
      <c r="I149" s="91">
        <f>VLOOKUP($A149,'Data Vlaue (Cr)'!$C:$FB,93)</f>
        <v>26</v>
      </c>
      <c r="J149" s="92">
        <f>VLOOKUP($A149,'Data Vlaue (Cr)'!$C:$FB,94)</f>
        <v>1.7999999999999999E-2</v>
      </c>
      <c r="K149" s="91">
        <f>VLOOKUP($A149,'Data Vlaue (Cr)'!$C:$FB,95)</f>
        <v>917</v>
      </c>
      <c r="L149" s="91">
        <f>VLOOKUP($A149,'Data Vlaue (Cr)'!$C:$FB,97)</f>
        <v>-17</v>
      </c>
      <c r="M149" s="92">
        <f>VLOOKUP($A149,'Data Vlaue (Cr)'!$C:$FB,98)</f>
        <v>-1.77E-2</v>
      </c>
      <c r="N149" s="91">
        <f>VLOOKUP($A149,'Data Vlaue (Cr)'!$C:$FB,79)</f>
        <v>2647</v>
      </c>
      <c r="O149" s="92">
        <f>VLOOKUP($A149,'Data Vlaue (Cr)'!$C:$FB,82)</f>
        <v>1.1000000000000001E-3</v>
      </c>
    </row>
    <row r="150" spans="1:15" x14ac:dyDescent="0.25">
      <c r="A150" s="97" t="str">
        <f>'Data Vlaue (Cr)'!C145</f>
        <v>NUVAMA</v>
      </c>
      <c r="B150" s="142">
        <f>VLOOKUP(A150,'Data Vlaue (Cr)'!C145:CW358,99,0)</f>
        <v>641</v>
      </c>
      <c r="C150" s="90">
        <f>VLOOKUP(A150,'Data Vlaue (Cr)'!C145:CY358,101,0)</f>
        <v>-4</v>
      </c>
      <c r="D150" s="139">
        <f>VLOOKUP(A150,'Data Vlaue (Cr)'!C145:CZ358,102,0)</f>
        <v>-6.1999999999999998E-3</v>
      </c>
      <c r="E150" s="91">
        <f>VLOOKUP($A150,'Data Vlaue (Cr)'!$C:$FB,75)</f>
        <v>340</v>
      </c>
      <c r="F150" s="91">
        <f>VLOOKUP($A150,'Data Vlaue (Cr)'!$C:$FB,77)</f>
        <v>-5</v>
      </c>
      <c r="G150" s="92">
        <f>VLOOKUP(A150,'Data Vlaue (Cr)'!C145:CB358,78,0)</f>
        <v>-1.44E-2</v>
      </c>
      <c r="H150" s="91">
        <f>VLOOKUP($A150,'Data Vlaue (Cr)'!$C:$FB,91)</f>
        <v>200</v>
      </c>
      <c r="I150" s="91">
        <f>VLOOKUP($A150,'Data Vlaue (Cr)'!$C:$FB,93)</f>
        <v>3</v>
      </c>
      <c r="J150" s="92">
        <f>VLOOKUP($A150,'Data Vlaue (Cr)'!$C:$FB,94)</f>
        <v>1.3599999999999999E-2</v>
      </c>
      <c r="K150" s="91">
        <f>VLOOKUP($A150,'Data Vlaue (Cr)'!$C:$FB,95)</f>
        <v>102</v>
      </c>
      <c r="L150" s="91">
        <f>VLOOKUP($A150,'Data Vlaue (Cr)'!$C:$FB,97)</f>
        <v>-2</v>
      </c>
      <c r="M150" s="92">
        <f>VLOOKUP($A150,'Data Vlaue (Cr)'!$C:$FB,98)</f>
        <v>-1.6500000000000001E-2</v>
      </c>
      <c r="N150" s="91">
        <f>VLOOKUP($A150,'Data Vlaue (Cr)'!$C:$FB,79)</f>
        <v>334</v>
      </c>
      <c r="O150" s="92">
        <f>VLOOKUP($A150,'Data Vlaue (Cr)'!$C:$FB,82)</f>
        <v>-1.3599999999999999E-2</v>
      </c>
    </row>
    <row r="151" spans="1:15" x14ac:dyDescent="0.25">
      <c r="A151" s="97" t="str">
        <f>'Data Vlaue (Cr)'!C146</f>
        <v>NYKAA</v>
      </c>
      <c r="B151" s="142">
        <f>VLOOKUP(A151,'Data Vlaue (Cr)'!C146:CW359,99,0)</f>
        <v>1712</v>
      </c>
      <c r="C151" s="90">
        <f>VLOOKUP(A151,'Data Vlaue (Cr)'!C146:CY359,101,0)</f>
        <v>40</v>
      </c>
      <c r="D151" s="139">
        <f>VLOOKUP(A151,'Data Vlaue (Cr)'!C146:CZ359,102,0)</f>
        <v>2.3599999999999999E-2</v>
      </c>
      <c r="E151" s="91">
        <f>VLOOKUP($A151,'Data Vlaue (Cr)'!$C:$FB,75)</f>
        <v>1194</v>
      </c>
      <c r="F151" s="91">
        <f>VLOOKUP($A151,'Data Vlaue (Cr)'!$C:$FB,77)</f>
        <v>0</v>
      </c>
      <c r="G151" s="92">
        <f>VLOOKUP(A151,'Data Vlaue (Cr)'!C146:CB359,78,0)</f>
        <v>-1E-4</v>
      </c>
      <c r="H151" s="91">
        <f>VLOOKUP($A151,'Data Vlaue (Cr)'!$C:$FB,91)</f>
        <v>281</v>
      </c>
      <c r="I151" s="91">
        <f>VLOOKUP($A151,'Data Vlaue (Cr)'!$C:$FB,93)</f>
        <v>29</v>
      </c>
      <c r="J151" s="92">
        <f>VLOOKUP($A151,'Data Vlaue (Cr)'!$C:$FB,94)</f>
        <v>0.1139</v>
      </c>
      <c r="K151" s="91">
        <f>VLOOKUP($A151,'Data Vlaue (Cr)'!$C:$FB,95)</f>
        <v>237</v>
      </c>
      <c r="L151" s="91">
        <f>VLOOKUP($A151,'Data Vlaue (Cr)'!$C:$FB,97)</f>
        <v>11</v>
      </c>
      <c r="M151" s="92">
        <f>VLOOKUP($A151,'Data Vlaue (Cr)'!$C:$FB,98)</f>
        <v>4.8000000000000001E-2</v>
      </c>
      <c r="N151" s="91">
        <f>VLOOKUP($A151,'Data Vlaue (Cr)'!$C:$FB,79)</f>
        <v>1162</v>
      </c>
      <c r="O151" s="92">
        <f>VLOOKUP($A151,'Data Vlaue (Cr)'!$C:$FB,82)</f>
        <v>-1.2999999999999999E-3</v>
      </c>
    </row>
    <row r="152" spans="1:15" x14ac:dyDescent="0.25">
      <c r="A152" s="97" t="str">
        <f>'Data Vlaue (Cr)'!C147</f>
        <v>OBEROIRLTY</v>
      </c>
      <c r="B152" s="142">
        <f>VLOOKUP(A152,'Data Vlaue (Cr)'!C147:CW360,99,0)</f>
        <v>1024</v>
      </c>
      <c r="C152" s="90">
        <f>VLOOKUP(A152,'Data Vlaue (Cr)'!C147:CY360,101,0)</f>
        <v>9</v>
      </c>
      <c r="D152" s="139">
        <f>VLOOKUP(A152,'Data Vlaue (Cr)'!C147:CZ360,102,0)</f>
        <v>8.6999999999999994E-3</v>
      </c>
      <c r="E152" s="91">
        <f>VLOOKUP($A152,'Data Vlaue (Cr)'!$C:$FB,75)</f>
        <v>714</v>
      </c>
      <c r="F152" s="91">
        <f>VLOOKUP($A152,'Data Vlaue (Cr)'!$C:$FB,77)</f>
        <v>-10</v>
      </c>
      <c r="G152" s="92">
        <f>VLOOKUP(A152,'Data Vlaue (Cr)'!C147:CB360,78,0)</f>
        <v>-1.34E-2</v>
      </c>
      <c r="H152" s="91">
        <f>VLOOKUP($A152,'Data Vlaue (Cr)'!$C:$FB,91)</f>
        <v>174</v>
      </c>
      <c r="I152" s="91">
        <f>VLOOKUP($A152,'Data Vlaue (Cr)'!$C:$FB,93)</f>
        <v>12</v>
      </c>
      <c r="J152" s="92">
        <f>VLOOKUP($A152,'Data Vlaue (Cr)'!$C:$FB,94)</f>
        <v>7.5600000000000001E-2</v>
      </c>
      <c r="K152" s="91">
        <f>VLOOKUP($A152,'Data Vlaue (Cr)'!$C:$FB,95)</f>
        <v>135</v>
      </c>
      <c r="L152" s="91">
        <f>VLOOKUP($A152,'Data Vlaue (Cr)'!$C:$FB,97)</f>
        <v>6</v>
      </c>
      <c r="M152" s="92">
        <f>VLOOKUP($A152,'Data Vlaue (Cr)'!$C:$FB,98)</f>
        <v>4.8800000000000003E-2</v>
      </c>
      <c r="N152" s="91">
        <f>VLOOKUP($A152,'Data Vlaue (Cr)'!$C:$FB,79)</f>
        <v>699</v>
      </c>
      <c r="O152" s="92">
        <f>VLOOKUP($A152,'Data Vlaue (Cr)'!$C:$FB,82)</f>
        <v>-1.5900000000000001E-2</v>
      </c>
    </row>
    <row r="153" spans="1:15" x14ac:dyDescent="0.25">
      <c r="A153" s="97" t="str">
        <f>'Data Vlaue (Cr)'!C148</f>
        <v>OFSS</v>
      </c>
      <c r="B153" s="142">
        <f>VLOOKUP(A153,'Data Vlaue (Cr)'!C148:CW361,99,0)</f>
        <v>1746</v>
      </c>
      <c r="C153" s="90">
        <f>VLOOKUP(A153,'Data Vlaue (Cr)'!C148:CY361,101,0)</f>
        <v>98</v>
      </c>
      <c r="D153" s="139">
        <f>VLOOKUP(A153,'Data Vlaue (Cr)'!C148:CZ361,102,0)</f>
        <v>5.96E-2</v>
      </c>
      <c r="E153" s="91">
        <f>VLOOKUP($A153,'Data Vlaue (Cr)'!$C:$FB,75)</f>
        <v>1068</v>
      </c>
      <c r="F153" s="91">
        <f>VLOOKUP($A153,'Data Vlaue (Cr)'!$C:$FB,77)</f>
        <v>-20</v>
      </c>
      <c r="G153" s="92">
        <f>VLOOKUP(A153,'Data Vlaue (Cr)'!C148:CB361,78,0)</f>
        <v>-1.8200000000000001E-2</v>
      </c>
      <c r="H153" s="91">
        <f>VLOOKUP($A153,'Data Vlaue (Cr)'!$C:$FB,91)</f>
        <v>393</v>
      </c>
      <c r="I153" s="91">
        <f>VLOOKUP($A153,'Data Vlaue (Cr)'!$C:$FB,93)</f>
        <v>74</v>
      </c>
      <c r="J153" s="92">
        <f>VLOOKUP($A153,'Data Vlaue (Cr)'!$C:$FB,94)</f>
        <v>0.23200000000000001</v>
      </c>
      <c r="K153" s="91">
        <f>VLOOKUP($A153,'Data Vlaue (Cr)'!$C:$FB,95)</f>
        <v>285</v>
      </c>
      <c r="L153" s="91">
        <f>VLOOKUP($A153,'Data Vlaue (Cr)'!$C:$FB,97)</f>
        <v>44</v>
      </c>
      <c r="M153" s="92">
        <f>VLOOKUP($A153,'Data Vlaue (Cr)'!$C:$FB,98)</f>
        <v>0.18279999999999999</v>
      </c>
      <c r="N153" s="91">
        <f>VLOOKUP($A153,'Data Vlaue (Cr)'!$C:$FB,79)</f>
        <v>1035</v>
      </c>
      <c r="O153" s="92">
        <f>VLOOKUP($A153,'Data Vlaue (Cr)'!$C:$FB,82)</f>
        <v>-2.0199999999999999E-2</v>
      </c>
    </row>
    <row r="154" spans="1:15" x14ac:dyDescent="0.25">
      <c r="A154" s="97" t="str">
        <f>'Data Vlaue (Cr)'!C149</f>
        <v>OIL</v>
      </c>
      <c r="B154" s="142">
        <f>VLOOKUP(A154,'Data Vlaue (Cr)'!C149:CW362,99,0)</f>
        <v>908</v>
      </c>
      <c r="C154" s="90">
        <f>VLOOKUP(A154,'Data Vlaue (Cr)'!C149:CY362,101,0)</f>
        <v>48</v>
      </c>
      <c r="D154" s="139">
        <f>VLOOKUP(A154,'Data Vlaue (Cr)'!C149:CZ362,102,0)</f>
        <v>5.6399999999999999E-2</v>
      </c>
      <c r="E154" s="91">
        <f>VLOOKUP($A154,'Data Vlaue (Cr)'!$C:$FB,75)</f>
        <v>515</v>
      </c>
      <c r="F154" s="91">
        <f>VLOOKUP($A154,'Data Vlaue (Cr)'!$C:$FB,77)</f>
        <v>-4</v>
      </c>
      <c r="G154" s="92">
        <f>VLOOKUP(A154,'Data Vlaue (Cr)'!C149:CB362,78,0)</f>
        <v>-7.3000000000000001E-3</v>
      </c>
      <c r="H154" s="91">
        <f>VLOOKUP($A154,'Data Vlaue (Cr)'!$C:$FB,91)</f>
        <v>230</v>
      </c>
      <c r="I154" s="91">
        <f>VLOOKUP($A154,'Data Vlaue (Cr)'!$C:$FB,93)</f>
        <v>8</v>
      </c>
      <c r="J154" s="92">
        <f>VLOOKUP($A154,'Data Vlaue (Cr)'!$C:$FB,94)</f>
        <v>3.8199999999999998E-2</v>
      </c>
      <c r="K154" s="91">
        <f>VLOOKUP($A154,'Data Vlaue (Cr)'!$C:$FB,95)</f>
        <v>163</v>
      </c>
      <c r="L154" s="91">
        <f>VLOOKUP($A154,'Data Vlaue (Cr)'!$C:$FB,97)</f>
        <v>44</v>
      </c>
      <c r="M154" s="92">
        <f>VLOOKUP($A154,'Data Vlaue (Cr)'!$C:$FB,98)</f>
        <v>0.36649999999999999</v>
      </c>
      <c r="N154" s="91">
        <f>VLOOKUP($A154,'Data Vlaue (Cr)'!$C:$FB,79)</f>
        <v>490</v>
      </c>
      <c r="O154" s="92">
        <f>VLOOKUP($A154,'Data Vlaue (Cr)'!$C:$FB,82)</f>
        <v>-1.01E-2</v>
      </c>
    </row>
    <row r="155" spans="1:15" x14ac:dyDescent="0.25">
      <c r="A155" s="97" t="str">
        <f>'Data Vlaue (Cr)'!C150</f>
        <v>ONGC</v>
      </c>
      <c r="B155" s="142">
        <f>VLOOKUP(A155,'Data Vlaue (Cr)'!C150:CW363,99,0)</f>
        <v>5071</v>
      </c>
      <c r="C155" s="90">
        <f>VLOOKUP(A155,'Data Vlaue (Cr)'!C150:CY363,101,0)</f>
        <v>-187</v>
      </c>
      <c r="D155" s="139">
        <f>VLOOKUP(A155,'Data Vlaue (Cr)'!C150:CZ363,102,0)</f>
        <v>-3.5499999999999997E-2</v>
      </c>
      <c r="E155" s="91">
        <f>VLOOKUP($A155,'Data Vlaue (Cr)'!$C:$FB,75)</f>
        <v>2709</v>
      </c>
      <c r="F155" s="91">
        <f>VLOOKUP($A155,'Data Vlaue (Cr)'!$C:$FB,77)</f>
        <v>-56</v>
      </c>
      <c r="G155" s="92">
        <f>VLOOKUP(A155,'Data Vlaue (Cr)'!C150:CB363,78,0)</f>
        <v>-2.0400000000000001E-2</v>
      </c>
      <c r="H155" s="91">
        <f>VLOOKUP($A155,'Data Vlaue (Cr)'!$C:$FB,91)</f>
        <v>1707</v>
      </c>
      <c r="I155" s="91">
        <f>VLOOKUP($A155,'Data Vlaue (Cr)'!$C:$FB,93)</f>
        <v>-22</v>
      </c>
      <c r="J155" s="92">
        <f>VLOOKUP($A155,'Data Vlaue (Cr)'!$C:$FB,94)</f>
        <v>-1.2800000000000001E-2</v>
      </c>
      <c r="K155" s="91">
        <f>VLOOKUP($A155,'Data Vlaue (Cr)'!$C:$FB,95)</f>
        <v>655</v>
      </c>
      <c r="L155" s="91">
        <f>VLOOKUP($A155,'Data Vlaue (Cr)'!$C:$FB,97)</f>
        <v>-108</v>
      </c>
      <c r="M155" s="92">
        <f>VLOOKUP($A155,'Data Vlaue (Cr)'!$C:$FB,98)</f>
        <v>-0.14180000000000001</v>
      </c>
      <c r="N155" s="91">
        <f>VLOOKUP($A155,'Data Vlaue (Cr)'!$C:$FB,79)</f>
        <v>2612</v>
      </c>
      <c r="O155" s="92">
        <f>VLOOKUP($A155,'Data Vlaue (Cr)'!$C:$FB,82)</f>
        <v>-2.3E-2</v>
      </c>
    </row>
    <row r="156" spans="1:15" x14ac:dyDescent="0.25">
      <c r="A156" s="97" t="str">
        <f>'Data Vlaue (Cr)'!C151</f>
        <v>PAGEIND</v>
      </c>
      <c r="B156" s="142">
        <f>VLOOKUP(A156,'Data Vlaue (Cr)'!C151:CW364,99,0)</f>
        <v>1290</v>
      </c>
      <c r="C156" s="90">
        <f>VLOOKUP(A156,'Data Vlaue (Cr)'!C151:CY364,101,0)</f>
        <v>3</v>
      </c>
      <c r="D156" s="139">
        <f>VLOOKUP(A156,'Data Vlaue (Cr)'!C151:CZ364,102,0)</f>
        <v>2.5999999999999999E-3</v>
      </c>
      <c r="E156" s="91">
        <f>VLOOKUP($A156,'Data Vlaue (Cr)'!$C:$FB,75)</f>
        <v>905</v>
      </c>
      <c r="F156" s="91">
        <f>VLOOKUP($A156,'Data Vlaue (Cr)'!$C:$FB,77)</f>
        <v>8</v>
      </c>
      <c r="G156" s="92">
        <f>VLOOKUP(A156,'Data Vlaue (Cr)'!C151:CB364,78,0)</f>
        <v>8.8000000000000005E-3</v>
      </c>
      <c r="H156" s="91">
        <f>VLOOKUP($A156,'Data Vlaue (Cr)'!$C:$FB,91)</f>
        <v>252</v>
      </c>
      <c r="I156" s="91">
        <f>VLOOKUP($A156,'Data Vlaue (Cr)'!$C:$FB,93)</f>
        <v>-13</v>
      </c>
      <c r="J156" s="92">
        <f>VLOOKUP($A156,'Data Vlaue (Cr)'!$C:$FB,94)</f>
        <v>-4.7699999999999999E-2</v>
      </c>
      <c r="K156" s="91">
        <f>VLOOKUP($A156,'Data Vlaue (Cr)'!$C:$FB,95)</f>
        <v>134</v>
      </c>
      <c r="L156" s="91">
        <f>VLOOKUP($A156,'Data Vlaue (Cr)'!$C:$FB,97)</f>
        <v>8</v>
      </c>
      <c r="M156" s="92">
        <f>VLOOKUP($A156,'Data Vlaue (Cr)'!$C:$FB,98)</f>
        <v>6.3700000000000007E-2</v>
      </c>
      <c r="N156" s="91">
        <f>VLOOKUP($A156,'Data Vlaue (Cr)'!$C:$FB,79)</f>
        <v>858</v>
      </c>
      <c r="O156" s="92">
        <f>VLOOKUP($A156,'Data Vlaue (Cr)'!$C:$FB,82)</f>
        <v>7.3000000000000001E-3</v>
      </c>
    </row>
    <row r="157" spans="1:15" x14ac:dyDescent="0.25">
      <c r="A157" s="97" t="str">
        <f>'Data Vlaue (Cr)'!C152</f>
        <v>PATANJALI</v>
      </c>
      <c r="B157" s="142">
        <f>VLOOKUP(A157,'Data Vlaue (Cr)'!C152:CW365,99,0)</f>
        <v>2813</v>
      </c>
      <c r="C157" s="90">
        <f>VLOOKUP(A157,'Data Vlaue (Cr)'!C152:CY365,101,0)</f>
        <v>29</v>
      </c>
      <c r="D157" s="139">
        <f>VLOOKUP(A157,'Data Vlaue (Cr)'!C152:CZ365,102,0)</f>
        <v>1.04E-2</v>
      </c>
      <c r="E157" s="91">
        <f>VLOOKUP($A157,'Data Vlaue (Cr)'!$C:$FB,75)</f>
        <v>2355</v>
      </c>
      <c r="F157" s="91">
        <f>VLOOKUP($A157,'Data Vlaue (Cr)'!$C:$FB,77)</f>
        <v>2</v>
      </c>
      <c r="G157" s="92">
        <f>VLOOKUP(A157,'Data Vlaue (Cr)'!C152:CB365,78,0)</f>
        <v>8.0000000000000004E-4</v>
      </c>
      <c r="H157" s="91">
        <f>VLOOKUP($A157,'Data Vlaue (Cr)'!$C:$FB,91)</f>
        <v>284</v>
      </c>
      <c r="I157" s="91">
        <f>VLOOKUP($A157,'Data Vlaue (Cr)'!$C:$FB,93)</f>
        <v>13</v>
      </c>
      <c r="J157" s="92">
        <f>VLOOKUP($A157,'Data Vlaue (Cr)'!$C:$FB,94)</f>
        <v>4.9500000000000002E-2</v>
      </c>
      <c r="K157" s="91">
        <f>VLOOKUP($A157,'Data Vlaue (Cr)'!$C:$FB,95)</f>
        <v>174</v>
      </c>
      <c r="L157" s="91">
        <f>VLOOKUP($A157,'Data Vlaue (Cr)'!$C:$FB,97)</f>
        <v>14</v>
      </c>
      <c r="M157" s="92">
        <f>VLOOKUP($A157,'Data Vlaue (Cr)'!$C:$FB,98)</f>
        <v>8.4900000000000003E-2</v>
      </c>
      <c r="N157" s="91">
        <f>VLOOKUP($A157,'Data Vlaue (Cr)'!$C:$FB,79)</f>
        <v>2343</v>
      </c>
      <c r="O157" s="92">
        <f>VLOOKUP($A157,'Data Vlaue (Cr)'!$C:$FB,82)</f>
        <v>6.9999999999999999E-4</v>
      </c>
    </row>
    <row r="158" spans="1:15" x14ac:dyDescent="0.25">
      <c r="A158" s="97" t="str">
        <f>'Data Vlaue (Cr)'!C153</f>
        <v>PAYTM</v>
      </c>
      <c r="B158" s="142">
        <f>VLOOKUP(A158,'Data Vlaue (Cr)'!C153:CW366,99,0)</f>
        <v>3277</v>
      </c>
      <c r="C158" s="90">
        <f>VLOOKUP(A158,'Data Vlaue (Cr)'!C153:CY366,101,0)</f>
        <v>96</v>
      </c>
      <c r="D158" s="139">
        <f>VLOOKUP(A158,'Data Vlaue (Cr)'!C153:CZ366,102,0)</f>
        <v>3.0099999999999998E-2</v>
      </c>
      <c r="E158" s="91">
        <f>VLOOKUP($A158,'Data Vlaue (Cr)'!$C:$FB,75)</f>
        <v>2282</v>
      </c>
      <c r="F158" s="91">
        <f>VLOOKUP($A158,'Data Vlaue (Cr)'!$C:$FB,77)</f>
        <v>34</v>
      </c>
      <c r="G158" s="92">
        <f>VLOOKUP(A158,'Data Vlaue (Cr)'!C153:CB366,78,0)</f>
        <v>1.4999999999999999E-2</v>
      </c>
      <c r="H158" s="91">
        <f>VLOOKUP($A158,'Data Vlaue (Cr)'!$C:$FB,91)</f>
        <v>610</v>
      </c>
      <c r="I158" s="91">
        <f>VLOOKUP($A158,'Data Vlaue (Cr)'!$C:$FB,93)</f>
        <v>59</v>
      </c>
      <c r="J158" s="92">
        <f>VLOOKUP($A158,'Data Vlaue (Cr)'!$C:$FB,94)</f>
        <v>0.1065</v>
      </c>
      <c r="K158" s="91">
        <f>VLOOKUP($A158,'Data Vlaue (Cr)'!$C:$FB,95)</f>
        <v>385</v>
      </c>
      <c r="L158" s="91">
        <f>VLOOKUP($A158,'Data Vlaue (Cr)'!$C:$FB,97)</f>
        <v>3</v>
      </c>
      <c r="M158" s="92">
        <f>VLOOKUP($A158,'Data Vlaue (Cr)'!$C:$FB,98)</f>
        <v>8.8000000000000005E-3</v>
      </c>
      <c r="N158" s="91">
        <f>VLOOKUP($A158,'Data Vlaue (Cr)'!$C:$FB,79)</f>
        <v>2245</v>
      </c>
      <c r="O158" s="92">
        <f>VLOOKUP($A158,'Data Vlaue (Cr)'!$C:$FB,82)</f>
        <v>1.34E-2</v>
      </c>
    </row>
    <row r="159" spans="1:15" x14ac:dyDescent="0.25">
      <c r="A159" s="97" t="str">
        <f>'Data Vlaue (Cr)'!C154</f>
        <v>PERSISTENT</v>
      </c>
      <c r="B159" s="142">
        <f>VLOOKUP(A159,'Data Vlaue (Cr)'!C154:CW367,99,0)</f>
        <v>2258</v>
      </c>
      <c r="C159" s="90">
        <f>VLOOKUP(A159,'Data Vlaue (Cr)'!C154:CY367,101,0)</f>
        <v>140</v>
      </c>
      <c r="D159" s="139">
        <f>VLOOKUP(A159,'Data Vlaue (Cr)'!C154:CZ367,102,0)</f>
        <v>6.6199999999999995E-2</v>
      </c>
      <c r="E159" s="91">
        <f>VLOOKUP($A159,'Data Vlaue (Cr)'!$C:$FB,75)</f>
        <v>1488</v>
      </c>
      <c r="F159" s="91">
        <f>VLOOKUP($A159,'Data Vlaue (Cr)'!$C:$FB,77)</f>
        <v>27</v>
      </c>
      <c r="G159" s="92">
        <f>VLOOKUP(A159,'Data Vlaue (Cr)'!C154:CB367,78,0)</f>
        <v>1.8800000000000001E-2</v>
      </c>
      <c r="H159" s="91">
        <f>VLOOKUP($A159,'Data Vlaue (Cr)'!$C:$FB,91)</f>
        <v>415</v>
      </c>
      <c r="I159" s="91">
        <f>VLOOKUP($A159,'Data Vlaue (Cr)'!$C:$FB,93)</f>
        <v>19</v>
      </c>
      <c r="J159" s="92">
        <f>VLOOKUP($A159,'Data Vlaue (Cr)'!$C:$FB,94)</f>
        <v>4.8899999999999999E-2</v>
      </c>
      <c r="K159" s="91">
        <f>VLOOKUP($A159,'Data Vlaue (Cr)'!$C:$FB,95)</f>
        <v>355</v>
      </c>
      <c r="L159" s="91">
        <f>VLOOKUP($A159,'Data Vlaue (Cr)'!$C:$FB,97)</f>
        <v>93</v>
      </c>
      <c r="M159" s="92">
        <f>VLOOKUP($A159,'Data Vlaue (Cr)'!$C:$FB,98)</f>
        <v>0.35699999999999998</v>
      </c>
      <c r="N159" s="91">
        <f>VLOOKUP($A159,'Data Vlaue (Cr)'!$C:$FB,79)</f>
        <v>1390</v>
      </c>
      <c r="O159" s="92">
        <f>VLOOKUP($A159,'Data Vlaue (Cr)'!$C:$FB,82)</f>
        <v>1.8499999999999999E-2</v>
      </c>
    </row>
    <row r="160" spans="1:15" x14ac:dyDescent="0.25">
      <c r="A160" s="97" t="str">
        <f>'Data Vlaue (Cr)'!C155</f>
        <v>PETRONET</v>
      </c>
      <c r="B160" s="142">
        <f>VLOOKUP(A160,'Data Vlaue (Cr)'!C155:CW368,99,0)</f>
        <v>2267</v>
      </c>
      <c r="C160" s="90">
        <f>VLOOKUP(A160,'Data Vlaue (Cr)'!C155:CY368,101,0)</f>
        <v>-64</v>
      </c>
      <c r="D160" s="139">
        <f>VLOOKUP(A160,'Data Vlaue (Cr)'!C155:CZ368,102,0)</f>
        <v>-2.7300000000000001E-2</v>
      </c>
      <c r="E160" s="91">
        <f>VLOOKUP($A160,'Data Vlaue (Cr)'!$C:$FB,75)</f>
        <v>1311</v>
      </c>
      <c r="F160" s="91">
        <f>VLOOKUP($A160,'Data Vlaue (Cr)'!$C:$FB,77)</f>
        <v>-37</v>
      </c>
      <c r="G160" s="92">
        <f>VLOOKUP(A160,'Data Vlaue (Cr)'!C155:CB368,78,0)</f>
        <v>-2.75E-2</v>
      </c>
      <c r="H160" s="91">
        <f>VLOOKUP($A160,'Data Vlaue (Cr)'!$C:$FB,91)</f>
        <v>399</v>
      </c>
      <c r="I160" s="91">
        <f>VLOOKUP($A160,'Data Vlaue (Cr)'!$C:$FB,93)</f>
        <v>-11</v>
      </c>
      <c r="J160" s="92">
        <f>VLOOKUP($A160,'Data Vlaue (Cr)'!$C:$FB,94)</f>
        <v>-2.69E-2</v>
      </c>
      <c r="K160" s="91">
        <f>VLOOKUP($A160,'Data Vlaue (Cr)'!$C:$FB,95)</f>
        <v>557</v>
      </c>
      <c r="L160" s="91">
        <f>VLOOKUP($A160,'Data Vlaue (Cr)'!$C:$FB,97)</f>
        <v>-16</v>
      </c>
      <c r="M160" s="92">
        <f>VLOOKUP($A160,'Data Vlaue (Cr)'!$C:$FB,98)</f>
        <v>-2.7199999999999998E-2</v>
      </c>
      <c r="N160" s="91">
        <f>VLOOKUP($A160,'Data Vlaue (Cr)'!$C:$FB,79)</f>
        <v>1259</v>
      </c>
      <c r="O160" s="92">
        <f>VLOOKUP($A160,'Data Vlaue (Cr)'!$C:$FB,82)</f>
        <v>-2.8899999999999999E-2</v>
      </c>
    </row>
    <row r="161" spans="1:15" x14ac:dyDescent="0.25">
      <c r="A161" s="97" t="str">
        <f>'Data Vlaue (Cr)'!C156</f>
        <v>PFC</v>
      </c>
      <c r="B161" s="142">
        <f>VLOOKUP(A161,'Data Vlaue (Cr)'!C156:CW369,99,0)</f>
        <v>5553</v>
      </c>
      <c r="C161" s="90">
        <f>VLOOKUP(A161,'Data Vlaue (Cr)'!C156:CY369,101,0)</f>
        <v>71</v>
      </c>
      <c r="D161" s="139">
        <f>VLOOKUP(A161,'Data Vlaue (Cr)'!C156:CZ369,102,0)</f>
        <v>1.2999999999999999E-2</v>
      </c>
      <c r="E161" s="91">
        <f>VLOOKUP($A161,'Data Vlaue (Cr)'!$C:$FB,75)</f>
        <v>3082</v>
      </c>
      <c r="F161" s="91">
        <f>VLOOKUP($A161,'Data Vlaue (Cr)'!$C:$FB,77)</f>
        <v>40</v>
      </c>
      <c r="G161" s="92">
        <f>VLOOKUP(A161,'Data Vlaue (Cr)'!C156:CB369,78,0)</f>
        <v>1.3100000000000001E-2</v>
      </c>
      <c r="H161" s="91">
        <f>VLOOKUP($A161,'Data Vlaue (Cr)'!$C:$FB,91)</f>
        <v>1409</v>
      </c>
      <c r="I161" s="91">
        <f>VLOOKUP($A161,'Data Vlaue (Cr)'!$C:$FB,93)</f>
        <v>11</v>
      </c>
      <c r="J161" s="92">
        <f>VLOOKUP($A161,'Data Vlaue (Cr)'!$C:$FB,94)</f>
        <v>7.7000000000000002E-3</v>
      </c>
      <c r="K161" s="91">
        <f>VLOOKUP($A161,'Data Vlaue (Cr)'!$C:$FB,95)</f>
        <v>1063</v>
      </c>
      <c r="L161" s="91">
        <f>VLOOKUP($A161,'Data Vlaue (Cr)'!$C:$FB,97)</f>
        <v>21</v>
      </c>
      <c r="M161" s="92">
        <f>VLOOKUP($A161,'Data Vlaue (Cr)'!$C:$FB,98)</f>
        <v>1.9800000000000002E-2</v>
      </c>
      <c r="N161" s="91">
        <f>VLOOKUP($A161,'Data Vlaue (Cr)'!$C:$FB,79)</f>
        <v>2905</v>
      </c>
      <c r="O161" s="92">
        <f>VLOOKUP($A161,'Data Vlaue (Cr)'!$C:$FB,82)</f>
        <v>1.11E-2</v>
      </c>
    </row>
    <row r="162" spans="1:15" x14ac:dyDescent="0.25">
      <c r="A162" s="97" t="str">
        <f>'Data Vlaue (Cr)'!C157</f>
        <v>PGEL</v>
      </c>
      <c r="B162" s="142">
        <f>VLOOKUP(A162,'Data Vlaue (Cr)'!C157:CW370,99,0)</f>
        <v>1432</v>
      </c>
      <c r="C162" s="90">
        <f>VLOOKUP(A162,'Data Vlaue (Cr)'!C157:CY370,101,0)</f>
        <v>-18</v>
      </c>
      <c r="D162" s="139">
        <f>VLOOKUP(A162,'Data Vlaue (Cr)'!C157:CZ370,102,0)</f>
        <v>-1.23E-2</v>
      </c>
      <c r="E162" s="91">
        <f>VLOOKUP($A162,'Data Vlaue (Cr)'!$C:$FB,75)</f>
        <v>742</v>
      </c>
      <c r="F162" s="91">
        <f>VLOOKUP($A162,'Data Vlaue (Cr)'!$C:$FB,77)</f>
        <v>-23</v>
      </c>
      <c r="G162" s="92">
        <f>VLOOKUP(A162,'Data Vlaue (Cr)'!C157:CB370,78,0)</f>
        <v>-3.0200000000000001E-2</v>
      </c>
      <c r="H162" s="91">
        <f>VLOOKUP($A162,'Data Vlaue (Cr)'!$C:$FB,91)</f>
        <v>413</v>
      </c>
      <c r="I162" s="91">
        <f>VLOOKUP($A162,'Data Vlaue (Cr)'!$C:$FB,93)</f>
        <v>15</v>
      </c>
      <c r="J162" s="92">
        <f>VLOOKUP($A162,'Data Vlaue (Cr)'!$C:$FB,94)</f>
        <v>3.8899999999999997E-2</v>
      </c>
      <c r="K162" s="91">
        <f>VLOOKUP($A162,'Data Vlaue (Cr)'!$C:$FB,95)</f>
        <v>277</v>
      </c>
      <c r="L162" s="91">
        <f>VLOOKUP($A162,'Data Vlaue (Cr)'!$C:$FB,97)</f>
        <v>-10</v>
      </c>
      <c r="M162" s="92">
        <f>VLOOKUP($A162,'Data Vlaue (Cr)'!$C:$FB,98)</f>
        <v>-3.56E-2</v>
      </c>
      <c r="N162" s="91">
        <f>VLOOKUP($A162,'Data Vlaue (Cr)'!$C:$FB,79)</f>
        <v>719</v>
      </c>
      <c r="O162" s="92">
        <f>VLOOKUP($A162,'Data Vlaue (Cr)'!$C:$FB,82)</f>
        <v>-3.0499999999999999E-2</v>
      </c>
    </row>
    <row r="163" spans="1:15" x14ac:dyDescent="0.25">
      <c r="A163" s="97" t="str">
        <f>'Data Vlaue (Cr)'!C158</f>
        <v>PHOENIXLTD</v>
      </c>
      <c r="B163" s="142">
        <f>VLOOKUP(A163,'Data Vlaue (Cr)'!C158:CW371,99,0)</f>
        <v>962</v>
      </c>
      <c r="C163" s="90">
        <f>VLOOKUP(A163,'Data Vlaue (Cr)'!C158:CY371,101,0)</f>
        <v>60</v>
      </c>
      <c r="D163" s="139">
        <f>VLOOKUP(A163,'Data Vlaue (Cr)'!C158:CZ371,102,0)</f>
        <v>6.6900000000000001E-2</v>
      </c>
      <c r="E163" s="91">
        <f>VLOOKUP($A163,'Data Vlaue (Cr)'!$C:$FB,75)</f>
        <v>706</v>
      </c>
      <c r="F163" s="91">
        <f>VLOOKUP($A163,'Data Vlaue (Cr)'!$C:$FB,77)</f>
        <v>23</v>
      </c>
      <c r="G163" s="92">
        <f>VLOOKUP(A163,'Data Vlaue (Cr)'!C158:CB371,78,0)</f>
        <v>3.4200000000000001E-2</v>
      </c>
      <c r="H163" s="91">
        <f>VLOOKUP($A163,'Data Vlaue (Cr)'!$C:$FB,91)</f>
        <v>144</v>
      </c>
      <c r="I163" s="91">
        <f>VLOOKUP($A163,'Data Vlaue (Cr)'!$C:$FB,93)</f>
        <v>23</v>
      </c>
      <c r="J163" s="92">
        <f>VLOOKUP($A163,'Data Vlaue (Cr)'!$C:$FB,94)</f>
        <v>0.18920000000000001</v>
      </c>
      <c r="K163" s="91">
        <f>VLOOKUP($A163,'Data Vlaue (Cr)'!$C:$FB,95)</f>
        <v>112</v>
      </c>
      <c r="L163" s="91">
        <f>VLOOKUP($A163,'Data Vlaue (Cr)'!$C:$FB,97)</f>
        <v>14</v>
      </c>
      <c r="M163" s="92">
        <f>VLOOKUP($A163,'Data Vlaue (Cr)'!$C:$FB,98)</f>
        <v>0.1439</v>
      </c>
      <c r="N163" s="91">
        <f>VLOOKUP($A163,'Data Vlaue (Cr)'!$C:$FB,79)</f>
        <v>672</v>
      </c>
      <c r="O163" s="92">
        <f>VLOOKUP($A163,'Data Vlaue (Cr)'!$C:$FB,82)</f>
        <v>2.2800000000000001E-2</v>
      </c>
    </row>
    <row r="164" spans="1:15" x14ac:dyDescent="0.25">
      <c r="A164" s="97" t="str">
        <f>'Data Vlaue (Cr)'!C159</f>
        <v>PIDILITIND</v>
      </c>
      <c r="B164" s="142">
        <f>VLOOKUP(A164,'Data Vlaue (Cr)'!C159:CW372,99,0)</f>
        <v>1480</v>
      </c>
      <c r="C164" s="90">
        <f>VLOOKUP(A164,'Data Vlaue (Cr)'!C159:CY372,101,0)</f>
        <v>6</v>
      </c>
      <c r="D164" s="139">
        <f>VLOOKUP(A164,'Data Vlaue (Cr)'!C159:CZ372,102,0)</f>
        <v>4.0000000000000001E-3</v>
      </c>
      <c r="E164" s="91">
        <f>VLOOKUP($A164,'Data Vlaue (Cr)'!$C:$FB,75)</f>
        <v>1175</v>
      </c>
      <c r="F164" s="91">
        <f>VLOOKUP($A164,'Data Vlaue (Cr)'!$C:$FB,77)</f>
        <v>-3</v>
      </c>
      <c r="G164" s="92">
        <f>VLOOKUP(A164,'Data Vlaue (Cr)'!C159:CB372,78,0)</f>
        <v>-2.3999999999999998E-3</v>
      </c>
      <c r="H164" s="91">
        <f>VLOOKUP($A164,'Data Vlaue (Cr)'!$C:$FB,91)</f>
        <v>154</v>
      </c>
      <c r="I164" s="91">
        <f>VLOOKUP($A164,'Data Vlaue (Cr)'!$C:$FB,93)</f>
        <v>4</v>
      </c>
      <c r="J164" s="92">
        <f>VLOOKUP($A164,'Data Vlaue (Cr)'!$C:$FB,94)</f>
        <v>2.4799999999999999E-2</v>
      </c>
      <c r="K164" s="91">
        <f>VLOOKUP($A164,'Data Vlaue (Cr)'!$C:$FB,95)</f>
        <v>151</v>
      </c>
      <c r="L164" s="91">
        <f>VLOOKUP($A164,'Data Vlaue (Cr)'!$C:$FB,97)</f>
        <v>5</v>
      </c>
      <c r="M164" s="92">
        <f>VLOOKUP($A164,'Data Vlaue (Cr)'!$C:$FB,98)</f>
        <v>3.44E-2</v>
      </c>
      <c r="N164" s="91">
        <f>VLOOKUP($A164,'Data Vlaue (Cr)'!$C:$FB,79)</f>
        <v>1163</v>
      </c>
      <c r="O164" s="92">
        <f>VLOOKUP($A164,'Data Vlaue (Cr)'!$C:$FB,82)</f>
        <v>-2.7000000000000001E-3</v>
      </c>
    </row>
    <row r="165" spans="1:15" x14ac:dyDescent="0.25">
      <c r="A165" s="97" t="str">
        <f>'Data Vlaue (Cr)'!C160</f>
        <v>PIIND</v>
      </c>
      <c r="B165" s="142">
        <f>VLOOKUP(A165,'Data Vlaue (Cr)'!C160:CW373,99,0)</f>
        <v>1116</v>
      </c>
      <c r="C165" s="90">
        <f>VLOOKUP(A165,'Data Vlaue (Cr)'!C160:CY373,101,0)</f>
        <v>-2</v>
      </c>
      <c r="D165" s="139">
        <f>VLOOKUP(A165,'Data Vlaue (Cr)'!C160:CZ373,102,0)</f>
        <v>-1.9E-3</v>
      </c>
      <c r="E165" s="91">
        <f>VLOOKUP($A165,'Data Vlaue (Cr)'!$C:$FB,75)</f>
        <v>780</v>
      </c>
      <c r="F165" s="91">
        <f>VLOOKUP($A165,'Data Vlaue (Cr)'!$C:$FB,77)</f>
        <v>4</v>
      </c>
      <c r="G165" s="92">
        <f>VLOOKUP(A165,'Data Vlaue (Cr)'!C160:CB373,78,0)</f>
        <v>5.4000000000000003E-3</v>
      </c>
      <c r="H165" s="91">
        <f>VLOOKUP($A165,'Data Vlaue (Cr)'!$C:$FB,91)</f>
        <v>194</v>
      </c>
      <c r="I165" s="91">
        <f>VLOOKUP($A165,'Data Vlaue (Cr)'!$C:$FB,93)</f>
        <v>-7</v>
      </c>
      <c r="J165" s="92">
        <f>VLOOKUP($A165,'Data Vlaue (Cr)'!$C:$FB,94)</f>
        <v>-3.5400000000000001E-2</v>
      </c>
      <c r="K165" s="91">
        <f>VLOOKUP($A165,'Data Vlaue (Cr)'!$C:$FB,95)</f>
        <v>143</v>
      </c>
      <c r="L165" s="91">
        <f>VLOOKUP($A165,'Data Vlaue (Cr)'!$C:$FB,97)</f>
        <v>1</v>
      </c>
      <c r="M165" s="92">
        <f>VLOOKUP($A165,'Data Vlaue (Cr)'!$C:$FB,98)</f>
        <v>5.7000000000000002E-3</v>
      </c>
      <c r="N165" s="91">
        <f>VLOOKUP($A165,'Data Vlaue (Cr)'!$C:$FB,79)</f>
        <v>746</v>
      </c>
      <c r="O165" s="92">
        <f>VLOOKUP($A165,'Data Vlaue (Cr)'!$C:$FB,82)</f>
        <v>-3.0999999999999999E-3</v>
      </c>
    </row>
    <row r="166" spans="1:15" x14ac:dyDescent="0.25">
      <c r="A166" s="97" t="str">
        <f>'Data Vlaue (Cr)'!C161</f>
        <v>PNB</v>
      </c>
      <c r="B166" s="142">
        <f>VLOOKUP(A166,'Data Vlaue (Cr)'!C161:CW374,99,0)</f>
        <v>4885</v>
      </c>
      <c r="C166" s="90">
        <f>VLOOKUP(A166,'Data Vlaue (Cr)'!C161:CY374,101,0)</f>
        <v>99</v>
      </c>
      <c r="D166" s="139">
        <f>VLOOKUP(A166,'Data Vlaue (Cr)'!C161:CZ374,102,0)</f>
        <v>2.0799999999999999E-2</v>
      </c>
      <c r="E166" s="91">
        <f>VLOOKUP($A166,'Data Vlaue (Cr)'!$C:$FB,75)</f>
        <v>3017</v>
      </c>
      <c r="F166" s="91">
        <f>VLOOKUP($A166,'Data Vlaue (Cr)'!$C:$FB,77)</f>
        <v>-40</v>
      </c>
      <c r="G166" s="92">
        <f>VLOOKUP(A166,'Data Vlaue (Cr)'!C161:CB374,78,0)</f>
        <v>-1.29E-2</v>
      </c>
      <c r="H166" s="91">
        <f>VLOOKUP($A166,'Data Vlaue (Cr)'!$C:$FB,91)</f>
        <v>953</v>
      </c>
      <c r="I166" s="91">
        <f>VLOOKUP($A166,'Data Vlaue (Cr)'!$C:$FB,93)</f>
        <v>66</v>
      </c>
      <c r="J166" s="92">
        <f>VLOOKUP($A166,'Data Vlaue (Cr)'!$C:$FB,94)</f>
        <v>7.4700000000000003E-2</v>
      </c>
      <c r="K166" s="91">
        <f>VLOOKUP($A166,'Data Vlaue (Cr)'!$C:$FB,95)</f>
        <v>915</v>
      </c>
      <c r="L166" s="91">
        <f>VLOOKUP($A166,'Data Vlaue (Cr)'!$C:$FB,97)</f>
        <v>73</v>
      </c>
      <c r="M166" s="92">
        <f>VLOOKUP($A166,'Data Vlaue (Cr)'!$C:$FB,98)</f>
        <v>8.6099999999999996E-2</v>
      </c>
      <c r="N166" s="91">
        <f>VLOOKUP($A166,'Data Vlaue (Cr)'!$C:$FB,79)</f>
        <v>2899</v>
      </c>
      <c r="O166" s="92">
        <f>VLOOKUP($A166,'Data Vlaue (Cr)'!$C:$FB,82)</f>
        <v>-1.72E-2</v>
      </c>
    </row>
    <row r="167" spans="1:15" x14ac:dyDescent="0.25">
      <c r="A167" s="97" t="str">
        <f>'Data Vlaue (Cr)'!C162</f>
        <v>PNBHOUSING</v>
      </c>
      <c r="B167" s="142">
        <f>VLOOKUP(A167,'Data Vlaue (Cr)'!C162:CW375,99,0)</f>
        <v>1980</v>
      </c>
      <c r="C167" s="90">
        <f>VLOOKUP(A167,'Data Vlaue (Cr)'!C162:CY375,101,0)</f>
        <v>3</v>
      </c>
      <c r="D167" s="139">
        <f>VLOOKUP(A167,'Data Vlaue (Cr)'!C162:CZ375,102,0)</f>
        <v>1.6999999999999999E-3</v>
      </c>
      <c r="E167" s="91">
        <f>VLOOKUP($A167,'Data Vlaue (Cr)'!$C:$FB,75)</f>
        <v>1471</v>
      </c>
      <c r="F167" s="91">
        <f>VLOOKUP($A167,'Data Vlaue (Cr)'!$C:$FB,77)</f>
        <v>-33</v>
      </c>
      <c r="G167" s="92">
        <f>VLOOKUP(A167,'Data Vlaue (Cr)'!C162:CB375,78,0)</f>
        <v>-2.18E-2</v>
      </c>
      <c r="H167" s="91">
        <f>VLOOKUP($A167,'Data Vlaue (Cr)'!$C:$FB,91)</f>
        <v>302</v>
      </c>
      <c r="I167" s="91">
        <f>VLOOKUP($A167,'Data Vlaue (Cr)'!$C:$FB,93)</f>
        <v>37</v>
      </c>
      <c r="J167" s="92">
        <f>VLOOKUP($A167,'Data Vlaue (Cr)'!$C:$FB,94)</f>
        <v>0.1376</v>
      </c>
      <c r="K167" s="91">
        <f>VLOOKUP($A167,'Data Vlaue (Cr)'!$C:$FB,95)</f>
        <v>208</v>
      </c>
      <c r="L167" s="91">
        <f>VLOOKUP($A167,'Data Vlaue (Cr)'!$C:$FB,97)</f>
        <v>0</v>
      </c>
      <c r="M167" s="92">
        <f>VLOOKUP($A167,'Data Vlaue (Cr)'!$C:$FB,98)</f>
        <v>-1.6000000000000001E-3</v>
      </c>
      <c r="N167" s="91">
        <f>VLOOKUP($A167,'Data Vlaue (Cr)'!$C:$FB,79)</f>
        <v>1458</v>
      </c>
      <c r="O167" s="92">
        <f>VLOOKUP($A167,'Data Vlaue (Cr)'!$C:$FB,82)</f>
        <v>-2.18E-2</v>
      </c>
    </row>
    <row r="168" spans="1:15" x14ac:dyDescent="0.25">
      <c r="A168" s="97" t="str">
        <f>'Data Vlaue (Cr)'!C163</f>
        <v>POLICYBZR</v>
      </c>
      <c r="B168" s="142">
        <f>VLOOKUP(A168,'Data Vlaue (Cr)'!C163:CW376,99,0)</f>
        <v>1754</v>
      </c>
      <c r="C168" s="90">
        <f>VLOOKUP(A168,'Data Vlaue (Cr)'!C163:CY376,101,0)</f>
        <v>94</v>
      </c>
      <c r="D168" s="139">
        <f>VLOOKUP(A168,'Data Vlaue (Cr)'!C163:CZ376,102,0)</f>
        <v>5.6599999999999998E-2</v>
      </c>
      <c r="E168" s="91">
        <f>VLOOKUP($A168,'Data Vlaue (Cr)'!$C:$FB,75)</f>
        <v>1163</v>
      </c>
      <c r="F168" s="91">
        <f>VLOOKUP($A168,'Data Vlaue (Cr)'!$C:$FB,77)</f>
        <v>8</v>
      </c>
      <c r="G168" s="92">
        <f>VLOOKUP(A168,'Data Vlaue (Cr)'!C163:CB376,78,0)</f>
        <v>7.1000000000000004E-3</v>
      </c>
      <c r="H168" s="91">
        <f>VLOOKUP($A168,'Data Vlaue (Cr)'!$C:$FB,91)</f>
        <v>375</v>
      </c>
      <c r="I168" s="91">
        <f>VLOOKUP($A168,'Data Vlaue (Cr)'!$C:$FB,93)</f>
        <v>64</v>
      </c>
      <c r="J168" s="92">
        <f>VLOOKUP($A168,'Data Vlaue (Cr)'!$C:$FB,94)</f>
        <v>0.2054</v>
      </c>
      <c r="K168" s="91">
        <f>VLOOKUP($A168,'Data Vlaue (Cr)'!$C:$FB,95)</f>
        <v>215</v>
      </c>
      <c r="L168" s="91">
        <f>VLOOKUP($A168,'Data Vlaue (Cr)'!$C:$FB,97)</f>
        <v>22</v>
      </c>
      <c r="M168" s="92">
        <f>VLOOKUP($A168,'Data Vlaue (Cr)'!$C:$FB,98)</f>
        <v>0.1132</v>
      </c>
      <c r="N168" s="91">
        <f>VLOOKUP($A168,'Data Vlaue (Cr)'!$C:$FB,79)</f>
        <v>1149</v>
      </c>
      <c r="O168" s="92">
        <f>VLOOKUP($A168,'Data Vlaue (Cr)'!$C:$FB,82)</f>
        <v>4.1999999999999997E-3</v>
      </c>
    </row>
    <row r="169" spans="1:15" x14ac:dyDescent="0.25">
      <c r="A169" s="97" t="str">
        <f>'Data Vlaue (Cr)'!C164</f>
        <v>POLYCAB</v>
      </c>
      <c r="B169" s="142">
        <f>VLOOKUP(A169,'Data Vlaue (Cr)'!C164:CW377,99,0)</f>
        <v>3563</v>
      </c>
      <c r="C169" s="90">
        <f>VLOOKUP(A169,'Data Vlaue (Cr)'!C164:CY377,101,0)</f>
        <v>305</v>
      </c>
      <c r="D169" s="139">
        <f>VLOOKUP(A169,'Data Vlaue (Cr)'!C164:CZ377,102,0)</f>
        <v>9.35E-2</v>
      </c>
      <c r="E169" s="91">
        <f>VLOOKUP($A169,'Data Vlaue (Cr)'!$C:$FB,75)</f>
        <v>2624</v>
      </c>
      <c r="F169" s="91">
        <f>VLOOKUP($A169,'Data Vlaue (Cr)'!$C:$FB,77)</f>
        <v>88</v>
      </c>
      <c r="G169" s="92">
        <f>VLOOKUP(A169,'Data Vlaue (Cr)'!C164:CB377,78,0)</f>
        <v>3.4599999999999999E-2</v>
      </c>
      <c r="H169" s="91">
        <f>VLOOKUP($A169,'Data Vlaue (Cr)'!$C:$FB,91)</f>
        <v>559</v>
      </c>
      <c r="I169" s="91">
        <f>VLOOKUP($A169,'Data Vlaue (Cr)'!$C:$FB,93)</f>
        <v>174</v>
      </c>
      <c r="J169" s="92">
        <f>VLOOKUP($A169,'Data Vlaue (Cr)'!$C:$FB,94)</f>
        <v>0.45069999999999999</v>
      </c>
      <c r="K169" s="91">
        <f>VLOOKUP($A169,'Data Vlaue (Cr)'!$C:$FB,95)</f>
        <v>380</v>
      </c>
      <c r="L169" s="91">
        <f>VLOOKUP($A169,'Data Vlaue (Cr)'!$C:$FB,97)</f>
        <v>43</v>
      </c>
      <c r="M169" s="92">
        <f>VLOOKUP($A169,'Data Vlaue (Cr)'!$C:$FB,98)</f>
        <v>0.1283</v>
      </c>
      <c r="N169" s="91">
        <f>VLOOKUP($A169,'Data Vlaue (Cr)'!$C:$FB,79)</f>
        <v>2584</v>
      </c>
      <c r="O169" s="92">
        <f>VLOOKUP($A169,'Data Vlaue (Cr)'!$C:$FB,82)</f>
        <v>3.2899999999999999E-2</v>
      </c>
    </row>
    <row r="170" spans="1:15" x14ac:dyDescent="0.25">
      <c r="A170" s="97" t="str">
        <f>'Data Vlaue (Cr)'!C165</f>
        <v>POWERGRID</v>
      </c>
      <c r="B170" s="142">
        <f>VLOOKUP(A170,'Data Vlaue (Cr)'!C165:CW378,99,0)</f>
        <v>4171</v>
      </c>
      <c r="C170" s="90">
        <f>VLOOKUP(A170,'Data Vlaue (Cr)'!C165:CY378,101,0)</f>
        <v>282</v>
      </c>
      <c r="D170" s="139">
        <f>VLOOKUP(A170,'Data Vlaue (Cr)'!C165:CZ378,102,0)</f>
        <v>7.2499999999999995E-2</v>
      </c>
      <c r="E170" s="91">
        <f>VLOOKUP($A170,'Data Vlaue (Cr)'!$C:$FB,75)</f>
        <v>2708</v>
      </c>
      <c r="F170" s="91">
        <f>VLOOKUP($A170,'Data Vlaue (Cr)'!$C:$FB,77)</f>
        <v>101</v>
      </c>
      <c r="G170" s="92">
        <f>VLOOKUP(A170,'Data Vlaue (Cr)'!C165:CB378,78,0)</f>
        <v>3.8800000000000001E-2</v>
      </c>
      <c r="H170" s="91">
        <f>VLOOKUP($A170,'Data Vlaue (Cr)'!$C:$FB,91)</f>
        <v>896</v>
      </c>
      <c r="I170" s="91">
        <f>VLOOKUP($A170,'Data Vlaue (Cr)'!$C:$FB,93)</f>
        <v>125</v>
      </c>
      <c r="J170" s="92">
        <f>VLOOKUP($A170,'Data Vlaue (Cr)'!$C:$FB,94)</f>
        <v>0.16139999999999999</v>
      </c>
      <c r="K170" s="91">
        <f>VLOOKUP($A170,'Data Vlaue (Cr)'!$C:$FB,95)</f>
        <v>567</v>
      </c>
      <c r="L170" s="91">
        <f>VLOOKUP($A170,'Data Vlaue (Cr)'!$C:$FB,97)</f>
        <v>56</v>
      </c>
      <c r="M170" s="92">
        <f>VLOOKUP($A170,'Data Vlaue (Cr)'!$C:$FB,98)</f>
        <v>0.1104</v>
      </c>
      <c r="N170" s="91">
        <f>VLOOKUP($A170,'Data Vlaue (Cr)'!$C:$FB,79)</f>
        <v>2449</v>
      </c>
      <c r="O170" s="92">
        <f>VLOOKUP($A170,'Data Vlaue (Cr)'!$C:$FB,82)</f>
        <v>3.1300000000000001E-2</v>
      </c>
    </row>
    <row r="171" spans="1:15" x14ac:dyDescent="0.25">
      <c r="A171" s="97" t="str">
        <f>'Data Vlaue (Cr)'!C166</f>
        <v>POWERINDIA</v>
      </c>
      <c r="B171" s="142">
        <f>VLOOKUP(A171,'Data Vlaue (Cr)'!C166:CW379,99,0)</f>
        <v>898</v>
      </c>
      <c r="C171" s="90">
        <f>VLOOKUP(A171,'Data Vlaue (Cr)'!C166:CY379,101,0)</f>
        <v>143</v>
      </c>
      <c r="D171" s="139">
        <f>VLOOKUP(A171,'Data Vlaue (Cr)'!C166:CZ379,102,0)</f>
        <v>0.18959999999999999</v>
      </c>
      <c r="E171" s="91">
        <f>VLOOKUP($A171,'Data Vlaue (Cr)'!$C:$FB,75)</f>
        <v>505</v>
      </c>
      <c r="F171" s="91">
        <f>VLOOKUP($A171,'Data Vlaue (Cr)'!$C:$FB,77)</f>
        <v>-3</v>
      </c>
      <c r="G171" s="92">
        <f>VLOOKUP(A171,'Data Vlaue (Cr)'!C166:CB379,78,0)</f>
        <v>-6.7999999999999996E-3</v>
      </c>
      <c r="H171" s="91">
        <f>VLOOKUP($A171,'Data Vlaue (Cr)'!$C:$FB,91)</f>
        <v>264</v>
      </c>
      <c r="I171" s="91">
        <f>VLOOKUP($A171,'Data Vlaue (Cr)'!$C:$FB,93)</f>
        <v>99</v>
      </c>
      <c r="J171" s="92">
        <f>VLOOKUP($A171,'Data Vlaue (Cr)'!$C:$FB,94)</f>
        <v>0.59899999999999998</v>
      </c>
      <c r="K171" s="91">
        <f>VLOOKUP($A171,'Data Vlaue (Cr)'!$C:$FB,95)</f>
        <v>129</v>
      </c>
      <c r="L171" s="91">
        <f>VLOOKUP($A171,'Data Vlaue (Cr)'!$C:$FB,97)</f>
        <v>48</v>
      </c>
      <c r="M171" s="92">
        <f>VLOOKUP($A171,'Data Vlaue (Cr)'!$C:$FB,98)</f>
        <v>0.58530000000000004</v>
      </c>
      <c r="N171" s="91">
        <f>VLOOKUP($A171,'Data Vlaue (Cr)'!$C:$FB,79)</f>
        <v>491</v>
      </c>
      <c r="O171" s="92">
        <f>VLOOKUP($A171,'Data Vlaue (Cr)'!$C:$FB,82)</f>
        <v>-7.0000000000000001E-3</v>
      </c>
    </row>
    <row r="172" spans="1:15" x14ac:dyDescent="0.25">
      <c r="A172" s="97" t="str">
        <f>'Data Vlaue (Cr)'!C167</f>
        <v>PPLPHARMA</v>
      </c>
      <c r="B172" s="142">
        <f>VLOOKUP(A172,'Data Vlaue (Cr)'!C167:CW380,99,0)</f>
        <v>798</v>
      </c>
      <c r="C172" s="90">
        <f>VLOOKUP(A172,'Data Vlaue (Cr)'!C167:CY380,101,0)</f>
        <v>52</v>
      </c>
      <c r="D172" s="139">
        <f>VLOOKUP(A172,'Data Vlaue (Cr)'!C167:CZ380,102,0)</f>
        <v>7.0199999999999999E-2</v>
      </c>
      <c r="E172" s="91">
        <f>VLOOKUP($A172,'Data Vlaue (Cr)'!$C:$FB,75)</f>
        <v>475</v>
      </c>
      <c r="F172" s="91">
        <f>VLOOKUP($A172,'Data Vlaue (Cr)'!$C:$FB,77)</f>
        <v>17</v>
      </c>
      <c r="G172" s="92">
        <f>VLOOKUP(A172,'Data Vlaue (Cr)'!C167:CB380,78,0)</f>
        <v>3.6799999999999999E-2</v>
      </c>
      <c r="H172" s="91">
        <f>VLOOKUP($A172,'Data Vlaue (Cr)'!$C:$FB,91)</f>
        <v>204</v>
      </c>
      <c r="I172" s="91">
        <f>VLOOKUP($A172,'Data Vlaue (Cr)'!$C:$FB,93)</f>
        <v>28</v>
      </c>
      <c r="J172" s="92">
        <f>VLOOKUP($A172,'Data Vlaue (Cr)'!$C:$FB,94)</f>
        <v>0.157</v>
      </c>
      <c r="K172" s="91">
        <f>VLOOKUP($A172,'Data Vlaue (Cr)'!$C:$FB,95)</f>
        <v>119</v>
      </c>
      <c r="L172" s="91">
        <f>VLOOKUP($A172,'Data Vlaue (Cr)'!$C:$FB,97)</f>
        <v>8</v>
      </c>
      <c r="M172" s="92">
        <f>VLOOKUP($A172,'Data Vlaue (Cr)'!$C:$FB,98)</f>
        <v>7.0800000000000002E-2</v>
      </c>
      <c r="N172" s="91">
        <f>VLOOKUP($A172,'Data Vlaue (Cr)'!$C:$FB,79)</f>
        <v>451</v>
      </c>
      <c r="O172" s="92">
        <f>VLOOKUP($A172,'Data Vlaue (Cr)'!$C:$FB,82)</f>
        <v>3.4099999999999998E-2</v>
      </c>
    </row>
    <row r="173" spans="1:15" x14ac:dyDescent="0.25">
      <c r="A173" s="97" t="str">
        <f>'Data Vlaue (Cr)'!C168</f>
        <v>PREMIERENE</v>
      </c>
      <c r="B173" s="142">
        <f>VLOOKUP(A173,'Data Vlaue (Cr)'!C168:CW381,99,0)</f>
        <v>754</v>
      </c>
      <c r="C173" s="90">
        <f>VLOOKUP(A173,'Data Vlaue (Cr)'!C168:CY381,101,0)</f>
        <v>118</v>
      </c>
      <c r="D173" s="139">
        <f>VLOOKUP(A173,'Data Vlaue (Cr)'!C168:CZ381,102,0)</f>
        <v>0.18640000000000001</v>
      </c>
      <c r="E173" s="91">
        <f>VLOOKUP($A173,'Data Vlaue (Cr)'!$C:$FB,75)</f>
        <v>288</v>
      </c>
      <c r="F173" s="91">
        <f>VLOOKUP($A173,'Data Vlaue (Cr)'!$C:$FB,77)</f>
        <v>31</v>
      </c>
      <c r="G173" s="92">
        <f>VLOOKUP(A173,'Data Vlaue (Cr)'!C168:CB381,78,0)</f>
        <v>0.1227</v>
      </c>
      <c r="H173" s="91">
        <f>VLOOKUP($A173,'Data Vlaue (Cr)'!$C:$FB,91)</f>
        <v>275</v>
      </c>
      <c r="I173" s="91">
        <f>VLOOKUP($A173,'Data Vlaue (Cr)'!$C:$FB,93)</f>
        <v>63</v>
      </c>
      <c r="J173" s="92">
        <f>VLOOKUP($A173,'Data Vlaue (Cr)'!$C:$FB,94)</f>
        <v>0.29699999999999999</v>
      </c>
      <c r="K173" s="91">
        <f>VLOOKUP($A173,'Data Vlaue (Cr)'!$C:$FB,95)</f>
        <v>190</v>
      </c>
      <c r="L173" s="91">
        <f>VLOOKUP($A173,'Data Vlaue (Cr)'!$C:$FB,97)</f>
        <v>24</v>
      </c>
      <c r="M173" s="92">
        <f>VLOOKUP($A173,'Data Vlaue (Cr)'!$C:$FB,98)</f>
        <v>0.14369999999999999</v>
      </c>
      <c r="N173" s="91">
        <f>VLOOKUP($A173,'Data Vlaue (Cr)'!$C:$FB,79)</f>
        <v>249</v>
      </c>
      <c r="O173" s="92">
        <f>VLOOKUP($A173,'Data Vlaue (Cr)'!$C:$FB,82)</f>
        <v>0.122</v>
      </c>
    </row>
    <row r="174" spans="1:15" x14ac:dyDescent="0.25">
      <c r="A174" s="97" t="str">
        <f>'Data Vlaue (Cr)'!C169</f>
        <v>PRESTIGE</v>
      </c>
      <c r="B174" s="142">
        <f>VLOOKUP(A174,'Data Vlaue (Cr)'!C169:CW382,99,0)</f>
        <v>1042</v>
      </c>
      <c r="C174" s="90">
        <f>VLOOKUP(A174,'Data Vlaue (Cr)'!C169:CY382,101,0)</f>
        <v>105</v>
      </c>
      <c r="D174" s="139">
        <f>VLOOKUP(A174,'Data Vlaue (Cr)'!C169:CZ382,102,0)</f>
        <v>0.1118</v>
      </c>
      <c r="E174" s="91">
        <f>VLOOKUP($A174,'Data Vlaue (Cr)'!$C:$FB,75)</f>
        <v>676</v>
      </c>
      <c r="F174" s="91">
        <f>VLOOKUP($A174,'Data Vlaue (Cr)'!$C:$FB,77)</f>
        <v>26</v>
      </c>
      <c r="G174" s="92">
        <f>VLOOKUP(A174,'Data Vlaue (Cr)'!C169:CB382,78,0)</f>
        <v>3.9899999999999998E-2</v>
      </c>
      <c r="H174" s="91">
        <f>VLOOKUP($A174,'Data Vlaue (Cr)'!$C:$FB,91)</f>
        <v>225</v>
      </c>
      <c r="I174" s="91">
        <f>VLOOKUP($A174,'Data Vlaue (Cr)'!$C:$FB,93)</f>
        <v>69</v>
      </c>
      <c r="J174" s="92">
        <f>VLOOKUP($A174,'Data Vlaue (Cr)'!$C:$FB,94)</f>
        <v>0.44090000000000001</v>
      </c>
      <c r="K174" s="91">
        <f>VLOOKUP($A174,'Data Vlaue (Cr)'!$C:$FB,95)</f>
        <v>141</v>
      </c>
      <c r="L174" s="91">
        <f>VLOOKUP($A174,'Data Vlaue (Cr)'!$C:$FB,97)</f>
        <v>10</v>
      </c>
      <c r="M174" s="92">
        <f>VLOOKUP($A174,'Data Vlaue (Cr)'!$C:$FB,98)</f>
        <v>7.6399999999999996E-2</v>
      </c>
      <c r="N174" s="91">
        <f>VLOOKUP($A174,'Data Vlaue (Cr)'!$C:$FB,79)</f>
        <v>670</v>
      </c>
      <c r="O174" s="92">
        <f>VLOOKUP($A174,'Data Vlaue (Cr)'!$C:$FB,82)</f>
        <v>3.9100000000000003E-2</v>
      </c>
    </row>
    <row r="175" spans="1:15" x14ac:dyDescent="0.25">
      <c r="A175" s="97" t="str">
        <f>'Data Vlaue (Cr)'!C170</f>
        <v>RBLBANK</v>
      </c>
      <c r="B175" s="142">
        <f>VLOOKUP(A175,'Data Vlaue (Cr)'!C170:CW383,99,0)</f>
        <v>3177</v>
      </c>
      <c r="C175" s="90">
        <f>VLOOKUP(A175,'Data Vlaue (Cr)'!C170:CY383,101,0)</f>
        <v>-41</v>
      </c>
      <c r="D175" s="139">
        <f>VLOOKUP(A175,'Data Vlaue (Cr)'!C170:CZ383,102,0)</f>
        <v>-1.2699999999999999E-2</v>
      </c>
      <c r="E175" s="91">
        <f>VLOOKUP($A175,'Data Vlaue (Cr)'!$C:$FB,75)</f>
        <v>2241</v>
      </c>
      <c r="F175" s="91">
        <f>VLOOKUP($A175,'Data Vlaue (Cr)'!$C:$FB,77)</f>
        <v>-40</v>
      </c>
      <c r="G175" s="92">
        <f>VLOOKUP(A175,'Data Vlaue (Cr)'!C170:CB383,78,0)</f>
        <v>-1.7299999999999999E-2</v>
      </c>
      <c r="H175" s="91">
        <f>VLOOKUP($A175,'Data Vlaue (Cr)'!$C:$FB,91)</f>
        <v>565</v>
      </c>
      <c r="I175" s="91">
        <f>VLOOKUP($A175,'Data Vlaue (Cr)'!$C:$FB,93)</f>
        <v>-14</v>
      </c>
      <c r="J175" s="92">
        <f>VLOOKUP($A175,'Data Vlaue (Cr)'!$C:$FB,94)</f>
        <v>-2.4500000000000001E-2</v>
      </c>
      <c r="K175" s="91">
        <f>VLOOKUP($A175,'Data Vlaue (Cr)'!$C:$FB,95)</f>
        <v>371</v>
      </c>
      <c r="L175" s="91">
        <f>VLOOKUP($A175,'Data Vlaue (Cr)'!$C:$FB,97)</f>
        <v>13</v>
      </c>
      <c r="M175" s="92">
        <f>VLOOKUP($A175,'Data Vlaue (Cr)'!$C:$FB,98)</f>
        <v>3.5999999999999997E-2</v>
      </c>
      <c r="N175" s="91">
        <f>VLOOKUP($A175,'Data Vlaue (Cr)'!$C:$FB,79)</f>
        <v>2220</v>
      </c>
      <c r="O175" s="92">
        <f>VLOOKUP($A175,'Data Vlaue (Cr)'!$C:$FB,82)</f>
        <v>-1.78E-2</v>
      </c>
    </row>
    <row r="176" spans="1:15" x14ac:dyDescent="0.25">
      <c r="A176" s="97" t="str">
        <f>'Data Vlaue (Cr)'!C171</f>
        <v>RECLTD</v>
      </c>
      <c r="B176" s="142">
        <f>VLOOKUP(A176,'Data Vlaue (Cr)'!C171:CW384,99,0)</f>
        <v>5991</v>
      </c>
      <c r="C176" s="90">
        <f>VLOOKUP(A176,'Data Vlaue (Cr)'!C171:CY384,101,0)</f>
        <v>158</v>
      </c>
      <c r="D176" s="139">
        <f>VLOOKUP(A176,'Data Vlaue (Cr)'!C171:CZ384,102,0)</f>
        <v>2.7E-2</v>
      </c>
      <c r="E176" s="91">
        <f>VLOOKUP($A176,'Data Vlaue (Cr)'!$C:$FB,75)</f>
        <v>3329</v>
      </c>
      <c r="F176" s="91">
        <f>VLOOKUP($A176,'Data Vlaue (Cr)'!$C:$FB,77)</f>
        <v>45</v>
      </c>
      <c r="G176" s="92">
        <f>VLOOKUP(A176,'Data Vlaue (Cr)'!C171:CB384,78,0)</f>
        <v>1.37E-2</v>
      </c>
      <c r="H176" s="91">
        <f>VLOOKUP($A176,'Data Vlaue (Cr)'!$C:$FB,91)</f>
        <v>1479</v>
      </c>
      <c r="I176" s="91">
        <f>VLOOKUP($A176,'Data Vlaue (Cr)'!$C:$FB,93)</f>
        <v>22</v>
      </c>
      <c r="J176" s="92">
        <f>VLOOKUP($A176,'Data Vlaue (Cr)'!$C:$FB,94)</f>
        <v>1.4999999999999999E-2</v>
      </c>
      <c r="K176" s="91">
        <f>VLOOKUP($A176,'Data Vlaue (Cr)'!$C:$FB,95)</f>
        <v>1182</v>
      </c>
      <c r="L176" s="91">
        <f>VLOOKUP($A176,'Data Vlaue (Cr)'!$C:$FB,97)</f>
        <v>91</v>
      </c>
      <c r="M176" s="92">
        <f>VLOOKUP($A176,'Data Vlaue (Cr)'!$C:$FB,98)</f>
        <v>8.3199999999999996E-2</v>
      </c>
      <c r="N176" s="91">
        <f>VLOOKUP($A176,'Data Vlaue (Cr)'!$C:$FB,79)</f>
        <v>2976</v>
      </c>
      <c r="O176" s="92">
        <f>VLOOKUP($A176,'Data Vlaue (Cr)'!$C:$FB,82)</f>
        <v>-3.8E-3</v>
      </c>
    </row>
    <row r="177" spans="1:15" x14ac:dyDescent="0.25">
      <c r="A177" s="97" t="str">
        <f>'Data Vlaue (Cr)'!C172</f>
        <v>RELIANCE</v>
      </c>
      <c r="B177" s="142">
        <f>VLOOKUP(A177,'Data Vlaue (Cr)'!C172:CW385,99,0)</f>
        <v>33646</v>
      </c>
      <c r="C177" s="90">
        <f>VLOOKUP(A177,'Data Vlaue (Cr)'!C172:CY385,101,0)</f>
        <v>1500</v>
      </c>
      <c r="D177" s="139">
        <f>VLOOKUP(A177,'Data Vlaue (Cr)'!C172:CZ385,102,0)</f>
        <v>4.6699999999999998E-2</v>
      </c>
      <c r="E177" s="91">
        <f>VLOOKUP($A177,'Data Vlaue (Cr)'!$C:$FB,75)</f>
        <v>16330</v>
      </c>
      <c r="F177" s="91">
        <f>VLOOKUP($A177,'Data Vlaue (Cr)'!$C:$FB,77)</f>
        <v>379</v>
      </c>
      <c r="G177" s="92">
        <f>VLOOKUP(A177,'Data Vlaue (Cr)'!C172:CB385,78,0)</f>
        <v>2.3800000000000002E-2</v>
      </c>
      <c r="H177" s="91">
        <f>VLOOKUP($A177,'Data Vlaue (Cr)'!$C:$FB,91)</f>
        <v>12214</v>
      </c>
      <c r="I177" s="91">
        <f>VLOOKUP($A177,'Data Vlaue (Cr)'!$C:$FB,93)</f>
        <v>784</v>
      </c>
      <c r="J177" s="92">
        <f>VLOOKUP($A177,'Data Vlaue (Cr)'!$C:$FB,94)</f>
        <v>6.8599999999999994E-2</v>
      </c>
      <c r="K177" s="91">
        <f>VLOOKUP($A177,'Data Vlaue (Cr)'!$C:$FB,95)</f>
        <v>5102</v>
      </c>
      <c r="L177" s="91">
        <f>VLOOKUP($A177,'Data Vlaue (Cr)'!$C:$FB,97)</f>
        <v>338</v>
      </c>
      <c r="M177" s="92">
        <f>VLOOKUP($A177,'Data Vlaue (Cr)'!$C:$FB,98)</f>
        <v>7.0900000000000005E-2</v>
      </c>
      <c r="N177" s="91">
        <f>VLOOKUP($A177,'Data Vlaue (Cr)'!$C:$FB,79)</f>
        <v>15502</v>
      </c>
      <c r="O177" s="92">
        <f>VLOOKUP($A177,'Data Vlaue (Cr)'!$C:$FB,82)</f>
        <v>1.2999999999999999E-2</v>
      </c>
    </row>
    <row r="178" spans="1:15" x14ac:dyDescent="0.25">
      <c r="A178" s="97" t="str">
        <f>'Data Vlaue (Cr)'!C173</f>
        <v>RVNL</v>
      </c>
      <c r="B178" s="142">
        <f>VLOOKUP(A178,'Data Vlaue (Cr)'!C173:CW386,99,0)</f>
        <v>3854</v>
      </c>
      <c r="C178" s="90">
        <f>VLOOKUP(A178,'Data Vlaue (Cr)'!C173:CY386,101,0)</f>
        <v>106</v>
      </c>
      <c r="D178" s="139">
        <f>VLOOKUP(A178,'Data Vlaue (Cr)'!C173:CZ386,102,0)</f>
        <v>2.8400000000000002E-2</v>
      </c>
      <c r="E178" s="91">
        <f>VLOOKUP($A178,'Data Vlaue (Cr)'!$C:$FB,75)</f>
        <v>1646</v>
      </c>
      <c r="F178" s="91">
        <f>VLOOKUP($A178,'Data Vlaue (Cr)'!$C:$FB,77)</f>
        <v>66</v>
      </c>
      <c r="G178" s="92">
        <f>VLOOKUP(A178,'Data Vlaue (Cr)'!C173:CB386,78,0)</f>
        <v>4.1399999999999999E-2</v>
      </c>
      <c r="H178" s="91">
        <f>VLOOKUP($A178,'Data Vlaue (Cr)'!$C:$FB,91)</f>
        <v>1627</v>
      </c>
      <c r="I178" s="91">
        <f>VLOOKUP($A178,'Data Vlaue (Cr)'!$C:$FB,93)</f>
        <v>27</v>
      </c>
      <c r="J178" s="92">
        <f>VLOOKUP($A178,'Data Vlaue (Cr)'!$C:$FB,94)</f>
        <v>1.7000000000000001E-2</v>
      </c>
      <c r="K178" s="91">
        <f>VLOOKUP($A178,'Data Vlaue (Cr)'!$C:$FB,95)</f>
        <v>581</v>
      </c>
      <c r="L178" s="91">
        <f>VLOOKUP($A178,'Data Vlaue (Cr)'!$C:$FB,97)</f>
        <v>14</v>
      </c>
      <c r="M178" s="92">
        <f>VLOOKUP($A178,'Data Vlaue (Cr)'!$C:$FB,98)</f>
        <v>2.4199999999999999E-2</v>
      </c>
      <c r="N178" s="91">
        <f>VLOOKUP($A178,'Data Vlaue (Cr)'!$C:$FB,79)</f>
        <v>1475</v>
      </c>
      <c r="O178" s="92">
        <f>VLOOKUP($A178,'Data Vlaue (Cr)'!$C:$FB,82)</f>
        <v>1.6400000000000001E-2</v>
      </c>
    </row>
    <row r="179" spans="1:15" x14ac:dyDescent="0.25">
      <c r="A179" s="97" t="str">
        <f>'Data Vlaue (Cr)'!C174</f>
        <v>SAIL</v>
      </c>
      <c r="B179" s="142">
        <f>VLOOKUP(A179,'Data Vlaue (Cr)'!C174:CW387,99,0)</f>
        <v>4208</v>
      </c>
      <c r="C179" s="90">
        <f>VLOOKUP(A179,'Data Vlaue (Cr)'!C174:CY387,101,0)</f>
        <v>-35</v>
      </c>
      <c r="D179" s="139">
        <f>VLOOKUP(A179,'Data Vlaue (Cr)'!C174:CZ387,102,0)</f>
        <v>-8.3000000000000001E-3</v>
      </c>
      <c r="E179" s="91">
        <f>VLOOKUP($A179,'Data Vlaue (Cr)'!$C:$FB,75)</f>
        <v>2943</v>
      </c>
      <c r="F179" s="91">
        <f>VLOOKUP($A179,'Data Vlaue (Cr)'!$C:$FB,77)</f>
        <v>-22</v>
      </c>
      <c r="G179" s="92">
        <f>VLOOKUP(A179,'Data Vlaue (Cr)'!C174:CB387,78,0)</f>
        <v>-7.4000000000000003E-3</v>
      </c>
      <c r="H179" s="91">
        <f>VLOOKUP($A179,'Data Vlaue (Cr)'!$C:$FB,91)</f>
        <v>715</v>
      </c>
      <c r="I179" s="91">
        <f>VLOOKUP($A179,'Data Vlaue (Cr)'!$C:$FB,93)</f>
        <v>-6</v>
      </c>
      <c r="J179" s="92">
        <f>VLOOKUP($A179,'Data Vlaue (Cr)'!$C:$FB,94)</f>
        <v>-8.8999999999999999E-3</v>
      </c>
      <c r="K179" s="91">
        <f>VLOOKUP($A179,'Data Vlaue (Cr)'!$C:$FB,95)</f>
        <v>551</v>
      </c>
      <c r="L179" s="91">
        <f>VLOOKUP($A179,'Data Vlaue (Cr)'!$C:$FB,97)</f>
        <v>-7</v>
      </c>
      <c r="M179" s="92">
        <f>VLOOKUP($A179,'Data Vlaue (Cr)'!$C:$FB,98)</f>
        <v>-1.26E-2</v>
      </c>
      <c r="N179" s="91">
        <f>VLOOKUP($A179,'Data Vlaue (Cr)'!$C:$FB,79)</f>
        <v>2840</v>
      </c>
      <c r="O179" s="92">
        <f>VLOOKUP($A179,'Data Vlaue (Cr)'!$C:$FB,82)</f>
        <v>-7.3000000000000001E-3</v>
      </c>
    </row>
    <row r="180" spans="1:15" x14ac:dyDescent="0.25">
      <c r="A180" s="97" t="str">
        <f>'Data Vlaue (Cr)'!C175</f>
        <v>SAMMAANCAP</v>
      </c>
      <c r="B180" s="142">
        <f>VLOOKUP(A180,'Data Vlaue (Cr)'!C175:CW388,99,0)</f>
        <v>2715</v>
      </c>
      <c r="C180" s="90">
        <f>VLOOKUP(A180,'Data Vlaue (Cr)'!C175:CY388,101,0)</f>
        <v>-13</v>
      </c>
      <c r="D180" s="139">
        <f>VLOOKUP(A180,'Data Vlaue (Cr)'!C175:CZ388,102,0)</f>
        <v>-4.5999999999999999E-3</v>
      </c>
      <c r="E180" s="91">
        <f>VLOOKUP($A180,'Data Vlaue (Cr)'!$C:$FB,75)</f>
        <v>1864</v>
      </c>
      <c r="F180" s="91">
        <f>VLOOKUP($A180,'Data Vlaue (Cr)'!$C:$FB,77)</f>
        <v>-7</v>
      </c>
      <c r="G180" s="92">
        <f>VLOOKUP(A180,'Data Vlaue (Cr)'!C175:CB388,78,0)</f>
        <v>-3.7000000000000002E-3</v>
      </c>
      <c r="H180" s="91">
        <f>VLOOKUP($A180,'Data Vlaue (Cr)'!$C:$FB,91)</f>
        <v>492</v>
      </c>
      <c r="I180" s="91">
        <f>VLOOKUP($A180,'Data Vlaue (Cr)'!$C:$FB,93)</f>
        <v>-4</v>
      </c>
      <c r="J180" s="92">
        <f>VLOOKUP($A180,'Data Vlaue (Cr)'!$C:$FB,94)</f>
        <v>-8.8999999999999999E-3</v>
      </c>
      <c r="K180" s="91">
        <f>VLOOKUP($A180,'Data Vlaue (Cr)'!$C:$FB,95)</f>
        <v>359</v>
      </c>
      <c r="L180" s="91">
        <f>VLOOKUP($A180,'Data Vlaue (Cr)'!$C:$FB,97)</f>
        <v>-1</v>
      </c>
      <c r="M180" s="92">
        <f>VLOOKUP($A180,'Data Vlaue (Cr)'!$C:$FB,98)</f>
        <v>-3.5999999999999999E-3</v>
      </c>
      <c r="N180" s="91">
        <f>VLOOKUP($A180,'Data Vlaue (Cr)'!$C:$FB,79)</f>
        <v>1754</v>
      </c>
      <c r="O180" s="92">
        <f>VLOOKUP($A180,'Data Vlaue (Cr)'!$C:$FB,82)</f>
        <v>-3.7000000000000002E-3</v>
      </c>
    </row>
    <row r="181" spans="1:15" x14ac:dyDescent="0.25">
      <c r="A181" s="97" t="str">
        <f>'Data Vlaue (Cr)'!C176</f>
        <v>SBICARD</v>
      </c>
      <c r="B181" s="142">
        <f>VLOOKUP(A181,'Data Vlaue (Cr)'!C176:CW389,99,0)</f>
        <v>2335</v>
      </c>
      <c r="C181" s="90">
        <f>VLOOKUP(A181,'Data Vlaue (Cr)'!C176:CY389,101,0)</f>
        <v>127</v>
      </c>
      <c r="D181" s="139">
        <f>VLOOKUP(A181,'Data Vlaue (Cr)'!C176:CZ389,102,0)</f>
        <v>5.7700000000000001E-2</v>
      </c>
      <c r="E181" s="91">
        <f>VLOOKUP($A181,'Data Vlaue (Cr)'!$C:$FB,75)</f>
        <v>1512</v>
      </c>
      <c r="F181" s="91">
        <f>VLOOKUP($A181,'Data Vlaue (Cr)'!$C:$FB,77)</f>
        <v>48</v>
      </c>
      <c r="G181" s="92">
        <f>VLOOKUP(A181,'Data Vlaue (Cr)'!C176:CB389,78,0)</f>
        <v>3.2800000000000003E-2</v>
      </c>
      <c r="H181" s="91">
        <f>VLOOKUP($A181,'Data Vlaue (Cr)'!$C:$FB,91)</f>
        <v>477</v>
      </c>
      <c r="I181" s="91">
        <f>VLOOKUP($A181,'Data Vlaue (Cr)'!$C:$FB,93)</f>
        <v>61</v>
      </c>
      <c r="J181" s="92">
        <f>VLOOKUP($A181,'Data Vlaue (Cr)'!$C:$FB,94)</f>
        <v>0.1477</v>
      </c>
      <c r="K181" s="91">
        <f>VLOOKUP($A181,'Data Vlaue (Cr)'!$C:$FB,95)</f>
        <v>346</v>
      </c>
      <c r="L181" s="91">
        <f>VLOOKUP($A181,'Data Vlaue (Cr)'!$C:$FB,97)</f>
        <v>18</v>
      </c>
      <c r="M181" s="92">
        <f>VLOOKUP($A181,'Data Vlaue (Cr)'!$C:$FB,98)</f>
        <v>5.4399999999999997E-2</v>
      </c>
      <c r="N181" s="91">
        <f>VLOOKUP($A181,'Data Vlaue (Cr)'!$C:$FB,79)</f>
        <v>1453</v>
      </c>
      <c r="O181" s="92">
        <f>VLOOKUP($A181,'Data Vlaue (Cr)'!$C:$FB,82)</f>
        <v>3.1300000000000001E-2</v>
      </c>
    </row>
    <row r="182" spans="1:15" x14ac:dyDescent="0.25">
      <c r="A182" s="97" t="str">
        <f>'Data Vlaue (Cr)'!C177</f>
        <v>SBILIFE</v>
      </c>
      <c r="B182" s="142">
        <f>VLOOKUP(A182,'Data Vlaue (Cr)'!C177:CW390,99,0)</f>
        <v>3627</v>
      </c>
      <c r="C182" s="90">
        <f>VLOOKUP(A182,'Data Vlaue (Cr)'!C177:CY390,101,0)</f>
        <v>414</v>
      </c>
      <c r="D182" s="139">
        <f>VLOOKUP(A182,'Data Vlaue (Cr)'!C177:CZ390,102,0)</f>
        <v>0.12889999999999999</v>
      </c>
      <c r="E182" s="91">
        <f>VLOOKUP($A182,'Data Vlaue (Cr)'!$C:$FB,75)</f>
        <v>1890</v>
      </c>
      <c r="F182" s="91">
        <f>VLOOKUP($A182,'Data Vlaue (Cr)'!$C:$FB,77)</f>
        <v>88</v>
      </c>
      <c r="G182" s="92">
        <f>VLOOKUP(A182,'Data Vlaue (Cr)'!C177:CB390,78,0)</f>
        <v>4.8899999999999999E-2</v>
      </c>
      <c r="H182" s="91">
        <f>VLOOKUP($A182,'Data Vlaue (Cr)'!$C:$FB,91)</f>
        <v>1272</v>
      </c>
      <c r="I182" s="91">
        <f>VLOOKUP($A182,'Data Vlaue (Cr)'!$C:$FB,93)</f>
        <v>304</v>
      </c>
      <c r="J182" s="92">
        <f>VLOOKUP($A182,'Data Vlaue (Cr)'!$C:$FB,94)</f>
        <v>0.31419999999999998</v>
      </c>
      <c r="K182" s="91">
        <f>VLOOKUP($A182,'Data Vlaue (Cr)'!$C:$FB,95)</f>
        <v>465</v>
      </c>
      <c r="L182" s="91">
        <f>VLOOKUP($A182,'Data Vlaue (Cr)'!$C:$FB,97)</f>
        <v>22</v>
      </c>
      <c r="M182" s="92">
        <f>VLOOKUP($A182,'Data Vlaue (Cr)'!$C:$FB,98)</f>
        <v>4.9599999999999998E-2</v>
      </c>
      <c r="N182" s="91">
        <f>VLOOKUP($A182,'Data Vlaue (Cr)'!$C:$FB,79)</f>
        <v>1858</v>
      </c>
      <c r="O182" s="92">
        <f>VLOOKUP($A182,'Data Vlaue (Cr)'!$C:$FB,82)</f>
        <v>4.9099999999999998E-2</v>
      </c>
    </row>
    <row r="183" spans="1:15" x14ac:dyDescent="0.25">
      <c r="A183" s="97" t="str">
        <f>'Data Vlaue (Cr)'!C178</f>
        <v>SBIN</v>
      </c>
      <c r="B183" s="142">
        <f>VLOOKUP(A183,'Data Vlaue (Cr)'!C178:CW391,99,0)</f>
        <v>14122</v>
      </c>
      <c r="C183" s="90">
        <f>VLOOKUP(A183,'Data Vlaue (Cr)'!C178:CY391,101,0)</f>
        <v>-472</v>
      </c>
      <c r="D183" s="139">
        <f>VLOOKUP(A183,'Data Vlaue (Cr)'!C178:CZ391,102,0)</f>
        <v>-3.2399999999999998E-2</v>
      </c>
      <c r="E183" s="91">
        <f>VLOOKUP($A183,'Data Vlaue (Cr)'!$C:$FB,75)</f>
        <v>7545</v>
      </c>
      <c r="F183" s="91">
        <f>VLOOKUP($A183,'Data Vlaue (Cr)'!$C:$FB,77)</f>
        <v>-272</v>
      </c>
      <c r="G183" s="92">
        <f>VLOOKUP(A183,'Data Vlaue (Cr)'!C178:CB391,78,0)</f>
        <v>-3.4799999999999998E-2</v>
      </c>
      <c r="H183" s="91">
        <f>VLOOKUP($A183,'Data Vlaue (Cr)'!$C:$FB,91)</f>
        <v>3898</v>
      </c>
      <c r="I183" s="91">
        <f>VLOOKUP($A183,'Data Vlaue (Cr)'!$C:$FB,93)</f>
        <v>264</v>
      </c>
      <c r="J183" s="92">
        <f>VLOOKUP($A183,'Data Vlaue (Cr)'!$C:$FB,94)</f>
        <v>7.2599999999999998E-2</v>
      </c>
      <c r="K183" s="91">
        <f>VLOOKUP($A183,'Data Vlaue (Cr)'!$C:$FB,95)</f>
        <v>2679</v>
      </c>
      <c r="L183" s="91">
        <f>VLOOKUP($A183,'Data Vlaue (Cr)'!$C:$FB,97)</f>
        <v>-464</v>
      </c>
      <c r="M183" s="92">
        <f>VLOOKUP($A183,'Data Vlaue (Cr)'!$C:$FB,98)</f>
        <v>-0.14760000000000001</v>
      </c>
      <c r="N183" s="91">
        <f>VLOOKUP($A183,'Data Vlaue (Cr)'!$C:$FB,79)</f>
        <v>7340</v>
      </c>
      <c r="O183" s="92">
        <f>VLOOKUP($A183,'Data Vlaue (Cr)'!$C:$FB,82)</f>
        <v>-3.6999999999999998E-2</v>
      </c>
    </row>
    <row r="184" spans="1:15" x14ac:dyDescent="0.25">
      <c r="A184" s="97" t="str">
        <f>'Data Vlaue (Cr)'!C179</f>
        <v>SHREECEM</v>
      </c>
      <c r="B184" s="142">
        <f>VLOOKUP(A184,'Data Vlaue (Cr)'!C179:CW392,99,0)</f>
        <v>1084</v>
      </c>
      <c r="C184" s="90">
        <f>VLOOKUP(A184,'Data Vlaue (Cr)'!C179:CY392,101,0)</f>
        <v>7</v>
      </c>
      <c r="D184" s="139">
        <f>VLOOKUP(A184,'Data Vlaue (Cr)'!C179:CZ392,102,0)</f>
        <v>6.7000000000000002E-3</v>
      </c>
      <c r="E184" s="91">
        <f>VLOOKUP($A184,'Data Vlaue (Cr)'!$C:$FB,75)</f>
        <v>745</v>
      </c>
      <c r="F184" s="91">
        <f>VLOOKUP($A184,'Data Vlaue (Cr)'!$C:$FB,77)</f>
        <v>-5</v>
      </c>
      <c r="G184" s="92">
        <f>VLOOKUP(A184,'Data Vlaue (Cr)'!C179:CB392,78,0)</f>
        <v>-6.4000000000000003E-3</v>
      </c>
      <c r="H184" s="91">
        <f>VLOOKUP($A184,'Data Vlaue (Cr)'!$C:$FB,91)</f>
        <v>201</v>
      </c>
      <c r="I184" s="91">
        <f>VLOOKUP($A184,'Data Vlaue (Cr)'!$C:$FB,93)</f>
        <v>9</v>
      </c>
      <c r="J184" s="92">
        <f>VLOOKUP($A184,'Data Vlaue (Cr)'!$C:$FB,94)</f>
        <v>4.9000000000000002E-2</v>
      </c>
      <c r="K184" s="91">
        <f>VLOOKUP($A184,'Data Vlaue (Cr)'!$C:$FB,95)</f>
        <v>138</v>
      </c>
      <c r="L184" s="91">
        <f>VLOOKUP($A184,'Data Vlaue (Cr)'!$C:$FB,97)</f>
        <v>3</v>
      </c>
      <c r="M184" s="92">
        <f>VLOOKUP($A184,'Data Vlaue (Cr)'!$C:$FB,98)</f>
        <v>1.9300000000000001E-2</v>
      </c>
      <c r="N184" s="91">
        <f>VLOOKUP($A184,'Data Vlaue (Cr)'!$C:$FB,79)</f>
        <v>735</v>
      </c>
      <c r="O184" s="92">
        <f>VLOOKUP($A184,'Data Vlaue (Cr)'!$C:$FB,82)</f>
        <v>-6.8999999999999999E-3</v>
      </c>
    </row>
    <row r="185" spans="1:15" x14ac:dyDescent="0.25">
      <c r="A185" s="97" t="str">
        <f>'Data Vlaue (Cr)'!C180</f>
        <v>SHRIRAMFIN</v>
      </c>
      <c r="B185" s="142">
        <f>VLOOKUP(A185,'Data Vlaue (Cr)'!C180:CW393,99,0)</f>
        <v>7411</v>
      </c>
      <c r="C185" s="90">
        <f>VLOOKUP(A185,'Data Vlaue (Cr)'!C180:CY393,101,0)</f>
        <v>-1</v>
      </c>
      <c r="D185" s="139">
        <f>VLOOKUP(A185,'Data Vlaue (Cr)'!C180:CZ393,102,0)</f>
        <v>-2.0000000000000001E-4</v>
      </c>
      <c r="E185" s="91">
        <f>VLOOKUP($A185,'Data Vlaue (Cr)'!$C:$FB,75)</f>
        <v>4778</v>
      </c>
      <c r="F185" s="91">
        <f>VLOOKUP($A185,'Data Vlaue (Cr)'!$C:$FB,77)</f>
        <v>40</v>
      </c>
      <c r="G185" s="92">
        <f>VLOOKUP(A185,'Data Vlaue (Cr)'!C180:CB393,78,0)</f>
        <v>8.5000000000000006E-3</v>
      </c>
      <c r="H185" s="91">
        <f>VLOOKUP($A185,'Data Vlaue (Cr)'!$C:$FB,91)</f>
        <v>1400</v>
      </c>
      <c r="I185" s="91">
        <f>VLOOKUP($A185,'Data Vlaue (Cr)'!$C:$FB,93)</f>
        <v>-15</v>
      </c>
      <c r="J185" s="92">
        <f>VLOOKUP($A185,'Data Vlaue (Cr)'!$C:$FB,94)</f>
        <v>-1.06E-2</v>
      </c>
      <c r="K185" s="91">
        <f>VLOOKUP($A185,'Data Vlaue (Cr)'!$C:$FB,95)</f>
        <v>1233</v>
      </c>
      <c r="L185" s="91">
        <f>VLOOKUP($A185,'Data Vlaue (Cr)'!$C:$FB,97)</f>
        <v>-27</v>
      </c>
      <c r="M185" s="92">
        <f>VLOOKUP($A185,'Data Vlaue (Cr)'!$C:$FB,98)</f>
        <v>-2.1299999999999999E-2</v>
      </c>
      <c r="N185" s="91">
        <f>VLOOKUP($A185,'Data Vlaue (Cr)'!$C:$FB,79)</f>
        <v>4467</v>
      </c>
      <c r="O185" s="92">
        <f>VLOOKUP($A185,'Data Vlaue (Cr)'!$C:$FB,82)</f>
        <v>7.7999999999999996E-3</v>
      </c>
    </row>
    <row r="186" spans="1:15" x14ac:dyDescent="0.25">
      <c r="A186" s="97" t="str">
        <f>'Data Vlaue (Cr)'!C181</f>
        <v>SIEMENS</v>
      </c>
      <c r="B186" s="142">
        <f>VLOOKUP(A186,'Data Vlaue (Cr)'!C181:CW394,99,0)</f>
        <v>1333</v>
      </c>
      <c r="C186" s="90">
        <f>VLOOKUP(A186,'Data Vlaue (Cr)'!C181:CY394,101,0)</f>
        <v>18</v>
      </c>
      <c r="D186" s="139">
        <f>VLOOKUP(A186,'Data Vlaue (Cr)'!C181:CZ394,102,0)</f>
        <v>1.3299999999999999E-2</v>
      </c>
      <c r="E186" s="91">
        <f>VLOOKUP($A186,'Data Vlaue (Cr)'!$C:$FB,75)</f>
        <v>811</v>
      </c>
      <c r="F186" s="91">
        <f>VLOOKUP($A186,'Data Vlaue (Cr)'!$C:$FB,77)</f>
        <v>-10</v>
      </c>
      <c r="G186" s="92">
        <f>VLOOKUP(A186,'Data Vlaue (Cr)'!C181:CB394,78,0)</f>
        <v>-1.2E-2</v>
      </c>
      <c r="H186" s="91">
        <f>VLOOKUP($A186,'Data Vlaue (Cr)'!$C:$FB,91)</f>
        <v>333</v>
      </c>
      <c r="I186" s="91">
        <f>VLOOKUP($A186,'Data Vlaue (Cr)'!$C:$FB,93)</f>
        <v>25</v>
      </c>
      <c r="J186" s="92">
        <f>VLOOKUP($A186,'Data Vlaue (Cr)'!$C:$FB,94)</f>
        <v>8.0199999999999994E-2</v>
      </c>
      <c r="K186" s="91">
        <f>VLOOKUP($A186,'Data Vlaue (Cr)'!$C:$FB,95)</f>
        <v>188</v>
      </c>
      <c r="L186" s="91">
        <f>VLOOKUP($A186,'Data Vlaue (Cr)'!$C:$FB,97)</f>
        <v>3</v>
      </c>
      <c r="M186" s="92">
        <f>VLOOKUP($A186,'Data Vlaue (Cr)'!$C:$FB,98)</f>
        <v>1.3899999999999999E-2</v>
      </c>
      <c r="N186" s="91">
        <f>VLOOKUP($A186,'Data Vlaue (Cr)'!$C:$FB,79)</f>
        <v>779</v>
      </c>
      <c r="O186" s="92">
        <f>VLOOKUP($A186,'Data Vlaue (Cr)'!$C:$FB,82)</f>
        <v>-1.4E-2</v>
      </c>
    </row>
    <row r="187" spans="1:15" x14ac:dyDescent="0.25">
      <c r="A187" s="97" t="str">
        <f>'Data Vlaue (Cr)'!C182</f>
        <v>SOLARINDS</v>
      </c>
      <c r="B187" s="142">
        <f>VLOOKUP(A187,'Data Vlaue (Cr)'!C182:CW395,99,0)</f>
        <v>2432</v>
      </c>
      <c r="C187" s="90">
        <f>VLOOKUP(A187,'Data Vlaue (Cr)'!C182:CY395,101,0)</f>
        <v>27</v>
      </c>
      <c r="D187" s="139">
        <f>VLOOKUP(A187,'Data Vlaue (Cr)'!C182:CZ395,102,0)</f>
        <v>1.14E-2</v>
      </c>
      <c r="E187" s="91">
        <f>VLOOKUP($A187,'Data Vlaue (Cr)'!$C:$FB,75)</f>
        <v>1498</v>
      </c>
      <c r="F187" s="91">
        <f>VLOOKUP($A187,'Data Vlaue (Cr)'!$C:$FB,77)</f>
        <v>-57</v>
      </c>
      <c r="G187" s="92">
        <f>VLOOKUP(A187,'Data Vlaue (Cr)'!C182:CB395,78,0)</f>
        <v>-3.6900000000000002E-2</v>
      </c>
      <c r="H187" s="91">
        <f>VLOOKUP($A187,'Data Vlaue (Cr)'!$C:$FB,91)</f>
        <v>516</v>
      </c>
      <c r="I187" s="91">
        <f>VLOOKUP($A187,'Data Vlaue (Cr)'!$C:$FB,93)</f>
        <v>0</v>
      </c>
      <c r="J187" s="92">
        <f>VLOOKUP($A187,'Data Vlaue (Cr)'!$C:$FB,94)</f>
        <v>0</v>
      </c>
      <c r="K187" s="91">
        <f>VLOOKUP($A187,'Data Vlaue (Cr)'!$C:$FB,95)</f>
        <v>418</v>
      </c>
      <c r="L187" s="91">
        <f>VLOOKUP($A187,'Data Vlaue (Cr)'!$C:$FB,97)</f>
        <v>85</v>
      </c>
      <c r="M187" s="92">
        <f>VLOOKUP($A187,'Data Vlaue (Cr)'!$C:$FB,98)</f>
        <v>0.25390000000000001</v>
      </c>
      <c r="N187" s="91">
        <f>VLOOKUP($A187,'Data Vlaue (Cr)'!$C:$FB,79)</f>
        <v>1392</v>
      </c>
      <c r="O187" s="92">
        <f>VLOOKUP($A187,'Data Vlaue (Cr)'!$C:$FB,82)</f>
        <v>-3.9100000000000003E-2</v>
      </c>
    </row>
    <row r="188" spans="1:15" x14ac:dyDescent="0.25">
      <c r="A188" s="97" t="str">
        <f>'Data Vlaue (Cr)'!C183</f>
        <v>SONACOMS</v>
      </c>
      <c r="B188" s="142">
        <f>VLOOKUP(A188,'Data Vlaue (Cr)'!C183:CW396,99,0)</f>
        <v>942</v>
      </c>
      <c r="C188" s="90">
        <f>VLOOKUP(A188,'Data Vlaue (Cr)'!C183:CY396,101,0)</f>
        <v>35</v>
      </c>
      <c r="D188" s="139">
        <f>VLOOKUP(A188,'Data Vlaue (Cr)'!C183:CZ396,102,0)</f>
        <v>3.9100000000000003E-2</v>
      </c>
      <c r="E188" s="91">
        <f>VLOOKUP($A188,'Data Vlaue (Cr)'!$C:$FB,75)</f>
        <v>710</v>
      </c>
      <c r="F188" s="91">
        <f>VLOOKUP($A188,'Data Vlaue (Cr)'!$C:$FB,77)</f>
        <v>5</v>
      </c>
      <c r="G188" s="92">
        <f>VLOOKUP(A188,'Data Vlaue (Cr)'!C183:CB396,78,0)</f>
        <v>7.7999999999999996E-3</v>
      </c>
      <c r="H188" s="91">
        <f>VLOOKUP($A188,'Data Vlaue (Cr)'!$C:$FB,91)</f>
        <v>143</v>
      </c>
      <c r="I188" s="91">
        <f>VLOOKUP($A188,'Data Vlaue (Cr)'!$C:$FB,93)</f>
        <v>22</v>
      </c>
      <c r="J188" s="92">
        <f>VLOOKUP($A188,'Data Vlaue (Cr)'!$C:$FB,94)</f>
        <v>0.18429999999999999</v>
      </c>
      <c r="K188" s="91">
        <f>VLOOKUP($A188,'Data Vlaue (Cr)'!$C:$FB,95)</f>
        <v>89</v>
      </c>
      <c r="L188" s="91">
        <f>VLOOKUP($A188,'Data Vlaue (Cr)'!$C:$FB,97)</f>
        <v>8</v>
      </c>
      <c r="M188" s="92">
        <f>VLOOKUP($A188,'Data Vlaue (Cr)'!$C:$FB,98)</f>
        <v>9.4799999999999995E-2</v>
      </c>
      <c r="N188" s="91">
        <f>VLOOKUP($A188,'Data Vlaue (Cr)'!$C:$FB,79)</f>
        <v>691</v>
      </c>
      <c r="O188" s="92">
        <f>VLOOKUP($A188,'Data Vlaue (Cr)'!$C:$FB,82)</f>
        <v>5.7000000000000002E-3</v>
      </c>
    </row>
    <row r="189" spans="1:15" x14ac:dyDescent="0.25">
      <c r="A189" s="97" t="str">
        <f>'Data Vlaue (Cr)'!C215</f>
        <v>ZYDUSLIFE</v>
      </c>
      <c r="B189" s="142">
        <f>VLOOKUP(A189,'Data Vlaue (Cr)'!C215:CW397,99,0)</f>
        <v>1609</v>
      </c>
      <c r="C189" s="90">
        <f>VLOOKUP(A189,'Data Vlaue (Cr)'!C215:CY397,101,0)</f>
        <v>90</v>
      </c>
      <c r="D189" s="139">
        <f>VLOOKUP(A189,'Data Vlaue (Cr)'!C215:CZ397,102,0)</f>
        <v>5.9400000000000001E-2</v>
      </c>
      <c r="E189" s="91">
        <f>VLOOKUP($A189,'Data Vlaue (Cr)'!$C:$FB,75)</f>
        <v>962</v>
      </c>
      <c r="F189" s="91">
        <f>VLOOKUP($A189,'Data Vlaue (Cr)'!$C:$FB,77)</f>
        <v>24</v>
      </c>
      <c r="G189" s="92">
        <f>VLOOKUP(A189,'Data Vlaue (Cr)'!C215:CB397,78,0)</f>
        <v>2.5600000000000001E-2</v>
      </c>
      <c r="H189" s="91">
        <f>VLOOKUP($A189,'Data Vlaue (Cr)'!$C:$FB,91)</f>
        <v>341</v>
      </c>
      <c r="I189" s="91">
        <f>VLOOKUP($A189,'Data Vlaue (Cr)'!$C:$FB,93)</f>
        <v>14</v>
      </c>
      <c r="J189" s="92">
        <f>VLOOKUP($A189,'Data Vlaue (Cr)'!$C:$FB,94)</f>
        <v>4.1599999999999998E-2</v>
      </c>
      <c r="K189" s="91">
        <f>VLOOKUP($A189,'Data Vlaue (Cr)'!$C:$FB,95)</f>
        <v>305</v>
      </c>
      <c r="L189" s="91">
        <f>VLOOKUP($A189,'Data Vlaue (Cr)'!$C:$FB,97)</f>
        <v>53</v>
      </c>
      <c r="M189" s="92">
        <f>VLOOKUP($A189,'Data Vlaue (Cr)'!$C:$FB,98)</f>
        <v>0.2077</v>
      </c>
      <c r="N189" s="91">
        <f>VLOOKUP($A189,'Data Vlaue (Cr)'!$C:$FB,79)</f>
        <v>935</v>
      </c>
      <c r="O189" s="92">
        <f>VLOOKUP($A189,'Data Vlaue (Cr)'!$C:$FB,82)</f>
        <v>2.3400000000000001E-2</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2053027</v>
      </c>
      <c r="C210" s="123">
        <f>SUM(C7:C209)</f>
        <v>-547273</v>
      </c>
      <c r="D210" s="124">
        <f>'Snapshot (Value)'!K225</f>
        <v>-0.21046442002586627</v>
      </c>
      <c r="E210" s="123">
        <f>SUM(E7:E209)</f>
        <v>513373</v>
      </c>
      <c r="F210" s="123">
        <f>SUM(F7:F209)</f>
        <v>752</v>
      </c>
      <c r="G210" s="149">
        <f>F210*100/(E210-F210)</f>
        <v>0.1466970724960546</v>
      </c>
      <c r="H210" s="123">
        <f>SUM(H7:H209)</f>
        <v>830710</v>
      </c>
      <c r="I210" s="123">
        <f>SUM(I7:I209)</f>
        <v>149620</v>
      </c>
      <c r="J210" s="149">
        <f>I210/(H210-I210)</f>
        <v>0.21967728200384679</v>
      </c>
      <c r="K210" s="123">
        <f>SUM(K7:K209)</f>
        <v>708947</v>
      </c>
      <c r="L210" s="123">
        <f>SUM(L7:L209)</f>
        <v>107235</v>
      </c>
      <c r="M210" s="149">
        <f>L210/(K210-L210)</f>
        <v>0.17821648895152498</v>
      </c>
      <c r="N210" s="123">
        <f>SUM(N7:N209)</f>
        <v>491397</v>
      </c>
      <c r="O210" s="149">
        <f>(N210-FII!V2)/N210</f>
        <v>-0.141234073468092</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513373</v>
      </c>
      <c r="C217" s="37">
        <f>F210</f>
        <v>752</v>
      </c>
      <c r="D217" s="39">
        <f>C217/B217</f>
        <v>1.4648218741538804E-3</v>
      </c>
    </row>
    <row r="218" spans="1:15" x14ac:dyDescent="0.25">
      <c r="A218" s="36" t="s">
        <v>404</v>
      </c>
      <c r="B218" s="37">
        <f>H210</f>
        <v>830710</v>
      </c>
      <c r="C218" s="37">
        <f>I210</f>
        <v>149620</v>
      </c>
      <c r="D218" s="150">
        <f>C218/B218</f>
        <v>0.18011098939461426</v>
      </c>
    </row>
    <row r="219" spans="1:15" x14ac:dyDescent="0.25">
      <c r="A219" s="36" t="s">
        <v>405</v>
      </c>
      <c r="B219" s="37">
        <f>K210</f>
        <v>708947</v>
      </c>
      <c r="C219" s="37">
        <f>L210</f>
        <v>107235</v>
      </c>
      <c r="D219" s="150">
        <f>C219/B219</f>
        <v>0.1512595440843956</v>
      </c>
    </row>
    <row r="220" spans="1:15" x14ac:dyDescent="0.25">
      <c r="A220" s="36" t="s">
        <v>406</v>
      </c>
      <c r="B220" s="37">
        <f>B217+B218+B219</f>
        <v>2053030</v>
      </c>
      <c r="C220" s="37">
        <f>C217+C218+C219</f>
        <v>257607</v>
      </c>
      <c r="D220" s="150">
        <f>C220/B220</f>
        <v>0.12547649084523851</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46029</v>
      </c>
      <c r="C6" s="3">
        <f>B6</f>
        <v>46029</v>
      </c>
      <c r="D6" s="94" t="s">
        <v>328</v>
      </c>
      <c r="E6" s="3">
        <f>B6</f>
        <v>46029</v>
      </c>
      <c r="F6" s="94" t="s">
        <v>322</v>
      </c>
      <c r="G6" s="94" t="s">
        <v>328</v>
      </c>
      <c r="H6" s="3">
        <f>E6</f>
        <v>46029</v>
      </c>
      <c r="I6" s="94" t="s">
        <v>322</v>
      </c>
      <c r="J6" s="94" t="s">
        <v>328</v>
      </c>
    </row>
    <row r="7" spans="1:10" x14ac:dyDescent="0.25">
      <c r="A7" s="101" t="e">
        <f>'NIFTY GRP'!#REF!</f>
        <v>#REF!</v>
      </c>
      <c r="B7" s="140" t="e">
        <f>VLOOKUP($A7,'Data shares'!$C:$FA,7)</f>
        <v>#REF!</v>
      </c>
      <c r="C7" s="140" t="e">
        <f>VLOOKUP($A7,'Data shares'!$C:$FA,3)</f>
        <v>#REF!</v>
      </c>
      <c r="D7" s="50" t="e">
        <f>VLOOKUP($A7,'Data shares'!$C:$FA,6)*100</f>
        <v>#REF!</v>
      </c>
      <c r="E7" s="51" t="e">
        <f>VLOOKUP($A7,'Data shares'!$C:$FA,98)</f>
        <v>#REF!</v>
      </c>
      <c r="F7" s="51" t="e">
        <f>VLOOKUP($A7,'Data shares'!$C:$FA,99)</f>
        <v>#REF!</v>
      </c>
      <c r="G7" s="50" t="e">
        <f>VLOOKUP($A7,'Data shares'!$C:$FA,101)*100</f>
        <v>#REF!</v>
      </c>
      <c r="H7" s="49" t="e">
        <f>VLOOKUP($A7,'Data Vlaue (Cr)'!$C:$FB,99)</f>
        <v>#REF!</v>
      </c>
      <c r="I7" s="49" t="e">
        <f>VLOOKUP($A7,'Data Vlaue (Cr)'!$C:$FB,100)</f>
        <v>#REF!</v>
      </c>
      <c r="J7" s="49" t="e">
        <f>VLOOKUP($A7,'Data Vlaue (Cr)'!$C:$FB,102)*100</f>
        <v>#REF!</v>
      </c>
    </row>
    <row r="8" spans="1:10" x14ac:dyDescent="0.25">
      <c r="A8" s="101" t="e">
        <f>'NIFTY GRP'!#REF!</f>
        <v>#REF!</v>
      </c>
      <c r="B8" s="140" t="e">
        <f>VLOOKUP($A8,'Data shares'!$C:$FA,7)</f>
        <v>#REF!</v>
      </c>
      <c r="C8" s="140" t="e">
        <f>VLOOKUP($A8,'Data shares'!$C:$FA,3)</f>
        <v>#REF!</v>
      </c>
      <c r="D8" s="50" t="e">
        <f>VLOOKUP($A8,'Data shares'!$C:$FA,6)*100</f>
        <v>#REF!</v>
      </c>
      <c r="E8" s="51" t="e">
        <f>VLOOKUP($A8,'Data shares'!$C:$FA,98)</f>
        <v>#REF!</v>
      </c>
      <c r="F8" s="51" t="e">
        <f>VLOOKUP($A8,'Data shares'!$C:$FA,99)</f>
        <v>#REF!</v>
      </c>
      <c r="G8" s="50" t="e">
        <f>VLOOKUP($A8,'Data shares'!$C:$FA,101)*100</f>
        <v>#REF!</v>
      </c>
      <c r="H8" s="49" t="e">
        <f>VLOOKUP($A8,'Data Vlaue (Cr)'!$C:$FB,99)</f>
        <v>#REF!</v>
      </c>
      <c r="I8" s="49" t="e">
        <f>VLOOKUP($A8,'Data Vlaue (Cr)'!$C:$FB,100)</f>
        <v>#REF!</v>
      </c>
      <c r="J8" s="49" t="e">
        <f>VLOOKUP($A8,'Data Vlaue (Cr)'!$C:$FB,102)*100</f>
        <v>#REF!</v>
      </c>
    </row>
    <row r="9" spans="1:10" x14ac:dyDescent="0.25">
      <c r="A9" s="101" t="e">
        <f>'NIFTY GRP'!#REF!</f>
        <v>#REF!</v>
      </c>
      <c r="B9" s="140" t="e">
        <f>VLOOKUP($A9,'Data shares'!$C:$FA,7)</f>
        <v>#REF!</v>
      </c>
      <c r="C9" s="140" t="e">
        <f>VLOOKUP($A9,'Data shares'!$C:$FA,3)</f>
        <v>#REF!</v>
      </c>
      <c r="D9" s="50" t="e">
        <f>VLOOKUP($A9,'Data shares'!$C:$FA,6)*100</f>
        <v>#REF!</v>
      </c>
      <c r="E9" s="51" t="e">
        <f>VLOOKUP($A9,'Data shares'!$C:$FA,98)</f>
        <v>#REF!</v>
      </c>
      <c r="F9" s="51" t="e">
        <f>VLOOKUP($A9,'Data shares'!$C:$FA,99)</f>
        <v>#REF!</v>
      </c>
      <c r="G9" s="50" t="e">
        <f>VLOOKUP($A9,'Data shares'!$C:$FA,101)*100</f>
        <v>#REF!</v>
      </c>
      <c r="H9" s="49" t="e">
        <f>VLOOKUP($A9,'Data Vlaue (Cr)'!$C:$FB,99)</f>
        <v>#REF!</v>
      </c>
      <c r="I9" s="49" t="e">
        <f>VLOOKUP($A9,'Data Vlaue (Cr)'!$C:$FB,100)</f>
        <v>#REF!</v>
      </c>
      <c r="J9" s="49" t="e">
        <f>VLOOKUP($A9,'Data Vlaue (Cr)'!$C:$FB,102)*100</f>
        <v>#REF!</v>
      </c>
    </row>
    <row r="10" spans="1:10" x14ac:dyDescent="0.25">
      <c r="A10" s="101" t="e">
        <f>'NIFTY GRP'!#REF!</f>
        <v>#REF!</v>
      </c>
      <c r="B10" s="140" t="e">
        <f>VLOOKUP($A10,'Data shares'!$C:$FA,7)</f>
        <v>#REF!</v>
      </c>
      <c r="C10" s="140" t="e">
        <f>VLOOKUP($A10,'Data shares'!$C:$FA,3)</f>
        <v>#REF!</v>
      </c>
      <c r="D10" s="50" t="e">
        <f>VLOOKUP($A10,'Data shares'!$C:$FA,6)*100</f>
        <v>#REF!</v>
      </c>
      <c r="E10" s="51" t="e">
        <f>VLOOKUP($A10,'Data shares'!$C:$FA,98)</f>
        <v>#REF!</v>
      </c>
      <c r="F10" s="51" t="e">
        <f>VLOOKUP($A10,'Data shares'!$C:$FA,99)</f>
        <v>#REF!</v>
      </c>
      <c r="G10" s="50" t="e">
        <f>VLOOKUP($A10,'Data shares'!$C:$FA,101)*100</f>
        <v>#REF!</v>
      </c>
      <c r="H10" s="49" t="e">
        <f>VLOOKUP($A10,'Data Vlaue (Cr)'!$C:$FB,99)</f>
        <v>#REF!</v>
      </c>
      <c r="I10" s="49" t="e">
        <f>VLOOKUP($A10,'Data Vlaue (Cr)'!$C:$FB,100)</f>
        <v>#REF!</v>
      </c>
      <c r="J10" s="49" t="e">
        <f>VLOOKUP($A10,'Data Vlaue (Cr)'!$C:$FB,102)*100</f>
        <v>#REF!</v>
      </c>
    </row>
    <row r="11" spans="1:10" x14ac:dyDescent="0.25">
      <c r="A11" s="101" t="e">
        <f>'NIFTY GRP'!#REF!</f>
        <v>#REF!</v>
      </c>
      <c r="B11" s="140" t="e">
        <f>VLOOKUP($A11,'Data shares'!$C:$FA,7)</f>
        <v>#REF!</v>
      </c>
      <c r="C11" s="140" t="e">
        <f>VLOOKUP($A11,'Data shares'!$C:$FA,3)</f>
        <v>#REF!</v>
      </c>
      <c r="D11" s="50" t="e">
        <f>VLOOKUP($A11,'Data shares'!$C:$FA,6)*100</f>
        <v>#REF!</v>
      </c>
      <c r="E11" s="51" t="e">
        <f>VLOOKUP($A11,'Data shares'!$C:$FA,98)</f>
        <v>#REF!</v>
      </c>
      <c r="F11" s="51" t="e">
        <f>VLOOKUP($A11,'Data shares'!$C:$FA,99)</f>
        <v>#REF!</v>
      </c>
      <c r="G11" s="50" t="e">
        <f>VLOOKUP($A11,'Data shares'!$C:$FA,101)*100</f>
        <v>#REF!</v>
      </c>
      <c r="H11" s="49" t="e">
        <f>VLOOKUP($A11,'Data Vlaue (Cr)'!$C:$FB,99)</f>
        <v>#REF!</v>
      </c>
      <c r="I11" s="49" t="e">
        <f>VLOOKUP($A11,'Data Vlaue (Cr)'!$C:$FB,100)</f>
        <v>#REF!</v>
      </c>
      <c r="J11" s="49" t="e">
        <f>VLOOKUP($A11,'Data Vlaue (Cr)'!$C:$FB,102)*100</f>
        <v>#REF!</v>
      </c>
    </row>
    <row r="12" spans="1:10" x14ac:dyDescent="0.25">
      <c r="A12" s="101" t="e">
        <f>'NIFTY GRP'!#REF!</f>
        <v>#REF!</v>
      </c>
      <c r="B12" s="140" t="e">
        <f>VLOOKUP($A12,'Data shares'!$C:$FA,7)</f>
        <v>#REF!</v>
      </c>
      <c r="C12" s="140" t="e">
        <f>VLOOKUP($A12,'Data shares'!$C:$FA,3)</f>
        <v>#REF!</v>
      </c>
      <c r="D12" s="50" t="e">
        <f>VLOOKUP($A12,'Data shares'!$C:$FA,6)*100</f>
        <v>#REF!</v>
      </c>
      <c r="E12" s="51" t="e">
        <f>VLOOKUP($A12,'Data shares'!$C:$FA,98)</f>
        <v>#REF!</v>
      </c>
      <c r="F12" s="51" t="e">
        <f>VLOOKUP($A12,'Data shares'!$C:$FA,99)</f>
        <v>#REF!</v>
      </c>
      <c r="G12" s="50" t="e">
        <f>VLOOKUP($A12,'Data shares'!$C:$FA,101)*100</f>
        <v>#REF!</v>
      </c>
      <c r="H12" s="49" t="e">
        <f>VLOOKUP($A12,'Data Vlaue (Cr)'!$C:$FB,99)</f>
        <v>#REF!</v>
      </c>
      <c r="I12" s="49" t="e">
        <f>VLOOKUP($A12,'Data Vlaue (Cr)'!$C:$FB,100)</f>
        <v>#REF!</v>
      </c>
      <c r="J12" s="49" t="e">
        <f>VLOOKUP($A12,'Data Vlaue (Cr)'!$C:$FB,102)*100</f>
        <v>#REF!</v>
      </c>
    </row>
    <row r="13" spans="1:10" x14ac:dyDescent="0.25">
      <c r="A13" s="101" t="e">
        <f>'NIFTY GRP'!#REF!</f>
        <v>#REF!</v>
      </c>
      <c r="B13" s="140" t="e">
        <f>VLOOKUP($A13,'Data shares'!$C:$FA,7)</f>
        <v>#REF!</v>
      </c>
      <c r="C13" s="140" t="e">
        <f>VLOOKUP($A13,'Data shares'!$C:$FA,3)</f>
        <v>#REF!</v>
      </c>
      <c r="D13" s="50" t="e">
        <f>VLOOKUP($A13,'Data shares'!$C:$FA,6)*100</f>
        <v>#REF!</v>
      </c>
      <c r="E13" s="51" t="e">
        <f>VLOOKUP($A13,'Data shares'!$C:$FA,98)</f>
        <v>#REF!</v>
      </c>
      <c r="F13" s="51" t="e">
        <f>VLOOKUP($A13,'Data shares'!$C:$FA,99)</f>
        <v>#REF!</v>
      </c>
      <c r="G13" s="50" t="e">
        <f>VLOOKUP($A13,'Data shares'!$C:$FA,101)*100</f>
        <v>#REF!</v>
      </c>
      <c r="H13" s="49" t="e">
        <f>VLOOKUP($A13,'Data Vlaue (Cr)'!$C:$FB,99)</f>
        <v>#REF!</v>
      </c>
      <c r="I13" s="49" t="e">
        <f>VLOOKUP($A13,'Data Vlaue (Cr)'!$C:$FB,100)</f>
        <v>#REF!</v>
      </c>
      <c r="J13" s="49" t="e">
        <f>VLOOKUP($A13,'Data Vlaue (Cr)'!$C:$FB,102)*100</f>
        <v>#REF!</v>
      </c>
    </row>
    <row r="14" spans="1:10" x14ac:dyDescent="0.25">
      <c r="A14" s="101" t="e">
        <f>'NIFTY GRP'!#REF!</f>
        <v>#REF!</v>
      </c>
      <c r="B14" s="140" t="e">
        <f>VLOOKUP($A14,'Data shares'!$C:$FA,7)</f>
        <v>#REF!</v>
      </c>
      <c r="C14" s="140" t="e">
        <f>VLOOKUP($A14,'Data shares'!$C:$FA,3)</f>
        <v>#REF!</v>
      </c>
      <c r="D14" s="50" t="e">
        <f>VLOOKUP($A14,'Data shares'!$C:$FA,6)*100</f>
        <v>#REF!</v>
      </c>
      <c r="E14" s="51" t="e">
        <f>VLOOKUP($A14,'Data shares'!$C:$FA,98)</f>
        <v>#REF!</v>
      </c>
      <c r="F14" s="51" t="e">
        <f>VLOOKUP($A14,'Data shares'!$C:$FA,99)</f>
        <v>#REF!</v>
      </c>
      <c r="G14" s="50" t="e">
        <f>VLOOKUP($A14,'Data shares'!$C:$FA,101)*100</f>
        <v>#REF!</v>
      </c>
      <c r="H14" s="49" t="e">
        <f>VLOOKUP($A14,'Data Vlaue (Cr)'!$C:$FB,99)</f>
        <v>#REF!</v>
      </c>
      <c r="I14" s="49" t="e">
        <f>VLOOKUP($A14,'Data Vlaue (Cr)'!$C:$FB,100)</f>
        <v>#REF!</v>
      </c>
      <c r="J14" s="49" t="e">
        <f>VLOOKUP($A14,'Data Vlaue (Cr)'!$C:$FB,102)*100</f>
        <v>#REF!</v>
      </c>
    </row>
    <row r="15" spans="1:10" x14ac:dyDescent="0.25">
      <c r="A15" s="101" t="e">
        <f>'NIFTY GRP'!#REF!</f>
        <v>#REF!</v>
      </c>
      <c r="B15" s="140" t="e">
        <f>VLOOKUP($A15,'Data shares'!$C:$FA,7)</f>
        <v>#REF!</v>
      </c>
      <c r="C15" s="140" t="e">
        <f>VLOOKUP($A15,'Data shares'!$C:$FA,3)</f>
        <v>#REF!</v>
      </c>
      <c r="D15" s="50" t="e">
        <f>VLOOKUP($A15,'Data shares'!$C:$FA,6)*100</f>
        <v>#REF!</v>
      </c>
      <c r="E15" s="51" t="e">
        <f>VLOOKUP($A15,'Data shares'!$C:$FA,98)</f>
        <v>#REF!</v>
      </c>
      <c r="F15" s="51" t="e">
        <f>VLOOKUP($A15,'Data shares'!$C:$FA,99)</f>
        <v>#REF!</v>
      </c>
      <c r="G15" s="50" t="e">
        <f>VLOOKUP($A15,'Data shares'!$C:$FA,101)*100</f>
        <v>#REF!</v>
      </c>
      <c r="H15" s="49" t="e">
        <f>VLOOKUP($A15,'Data Vlaue (Cr)'!$C:$FB,99)</f>
        <v>#REF!</v>
      </c>
      <c r="I15" s="49" t="e">
        <f>VLOOKUP($A15,'Data Vlaue (Cr)'!$C:$FB,100)</f>
        <v>#REF!</v>
      </c>
      <c r="J15" s="49" t="e">
        <f>VLOOKUP($A15,'Data Vlaue (Cr)'!$C:$FB,102)*100</f>
        <v>#REF!</v>
      </c>
    </row>
    <row r="16" spans="1:10" x14ac:dyDescent="0.25">
      <c r="A16" s="101" t="e">
        <f>'NIFTY GRP'!#REF!</f>
        <v>#REF!</v>
      </c>
      <c r="B16" s="140" t="e">
        <f>VLOOKUP($A16,'Data shares'!$C:$FA,7)</f>
        <v>#REF!</v>
      </c>
      <c r="C16" s="140" t="e">
        <f>VLOOKUP($A16,'Data shares'!$C:$FA,3)</f>
        <v>#REF!</v>
      </c>
      <c r="D16" s="50" t="e">
        <f>VLOOKUP($A16,'Data shares'!$C:$FA,6)*100</f>
        <v>#REF!</v>
      </c>
      <c r="E16" s="51" t="e">
        <f>VLOOKUP($A16,'Data shares'!$C:$FA,98)</f>
        <v>#REF!</v>
      </c>
      <c r="F16" s="51" t="e">
        <f>VLOOKUP($A16,'Data shares'!$C:$FA,99)</f>
        <v>#REF!</v>
      </c>
      <c r="G16" s="50" t="e">
        <f>VLOOKUP($A16,'Data shares'!$C:$FA,101)*100</f>
        <v>#REF!</v>
      </c>
      <c r="H16" s="49" t="e">
        <f>VLOOKUP($A16,'Data Vlaue (Cr)'!$C:$FB,99)</f>
        <v>#REF!</v>
      </c>
      <c r="I16" s="49" t="e">
        <f>VLOOKUP($A16,'Data Vlaue (Cr)'!$C:$FB,100)</f>
        <v>#REF!</v>
      </c>
      <c r="J16" s="49" t="e">
        <f>VLOOKUP($A16,'Data Vlaue (Cr)'!$C:$FB,102)*100</f>
        <v>#REF!</v>
      </c>
    </row>
    <row r="17" spans="1:10" x14ac:dyDescent="0.25">
      <c r="A17" s="101" t="e">
        <f>'NIFTY GRP'!#REF!</f>
        <v>#REF!</v>
      </c>
      <c r="B17" s="140" t="e">
        <f>VLOOKUP($A17,'Data shares'!$C:$FA,7)</f>
        <v>#REF!</v>
      </c>
      <c r="C17" s="140" t="e">
        <f>VLOOKUP($A17,'Data shares'!$C:$FA,3)</f>
        <v>#REF!</v>
      </c>
      <c r="D17" s="50" t="e">
        <f>VLOOKUP($A17,'Data shares'!$C:$FA,6)*100</f>
        <v>#REF!</v>
      </c>
      <c r="E17" s="51" t="e">
        <f>VLOOKUP($A17,'Data shares'!$C:$FA,98)</f>
        <v>#REF!</v>
      </c>
      <c r="F17" s="51" t="e">
        <f>VLOOKUP($A17,'Data shares'!$C:$FA,99)</f>
        <v>#REF!</v>
      </c>
      <c r="G17" s="50" t="e">
        <f>VLOOKUP($A17,'Data shares'!$C:$FA,101)*100</f>
        <v>#REF!</v>
      </c>
      <c r="H17" s="49" t="e">
        <f>VLOOKUP($A17,'Data Vlaue (Cr)'!$C:$FB,99)</f>
        <v>#REF!</v>
      </c>
      <c r="I17" s="49" t="e">
        <f>VLOOKUP($A17,'Data Vlaue (Cr)'!$C:$FB,100)</f>
        <v>#REF!</v>
      </c>
      <c r="J17" s="49" t="e">
        <f>VLOOKUP($A17,'Data Vlaue (Cr)'!$C:$FB,102)*100</f>
        <v>#REF!</v>
      </c>
    </row>
    <row r="18" spans="1:10" x14ac:dyDescent="0.25">
      <c r="A18" s="101" t="e">
        <f>'NIFTY GRP'!#REF!</f>
        <v>#REF!</v>
      </c>
      <c r="B18" s="140" t="e">
        <f>VLOOKUP($A18,'Data shares'!$C:$FA,7)</f>
        <v>#REF!</v>
      </c>
      <c r="C18" s="140" t="e">
        <f>VLOOKUP($A18,'Data shares'!$C:$FA,3)</f>
        <v>#REF!</v>
      </c>
      <c r="D18" s="50" t="e">
        <f>VLOOKUP($A18,'Data shares'!$C:$FA,6)*100</f>
        <v>#REF!</v>
      </c>
      <c r="E18" s="51" t="e">
        <f>VLOOKUP($A18,'Data shares'!$C:$FA,98)</f>
        <v>#REF!</v>
      </c>
      <c r="F18" s="51" t="e">
        <f>VLOOKUP($A18,'Data shares'!$C:$FA,99)</f>
        <v>#REF!</v>
      </c>
      <c r="G18" s="50" t="e">
        <f>VLOOKUP($A18,'Data shares'!$C:$FA,101)*100</f>
        <v>#REF!</v>
      </c>
      <c r="H18" s="49" t="e">
        <f>VLOOKUP($A18,'Data Vlaue (Cr)'!$C:$FB,99)</f>
        <v>#REF!</v>
      </c>
      <c r="I18" s="49" t="e">
        <f>VLOOKUP($A18,'Data Vlaue (Cr)'!$C:$FB,100)</f>
        <v>#REF!</v>
      </c>
      <c r="J18" s="49" t="e">
        <f>VLOOKUP($A18,'Data Vlaue (Cr)'!$C:$FB,102)*100</f>
        <v>#REF!</v>
      </c>
    </row>
    <row r="19" spans="1:10" x14ac:dyDescent="0.25">
      <c r="A19" s="101" t="e">
        <f>'NIFTY GRP'!#REF!</f>
        <v>#REF!</v>
      </c>
      <c r="B19" s="140" t="e">
        <f>VLOOKUP($A19,'Data shares'!$C:$FA,7)</f>
        <v>#REF!</v>
      </c>
      <c r="C19" s="140" t="e">
        <f>VLOOKUP($A19,'Data shares'!$C:$FA,3)</f>
        <v>#REF!</v>
      </c>
      <c r="D19" s="50" t="e">
        <f>VLOOKUP($A19,'Data shares'!$C:$FA,6)*100</f>
        <v>#REF!</v>
      </c>
      <c r="E19" s="51" t="e">
        <f>VLOOKUP($A19,'Data shares'!$C:$FA,98)</f>
        <v>#REF!</v>
      </c>
      <c r="F19" s="51" t="e">
        <f>VLOOKUP($A19,'Data shares'!$C:$FA,99)</f>
        <v>#REF!</v>
      </c>
      <c r="G19" s="50" t="e">
        <f>VLOOKUP($A19,'Data shares'!$C:$FA,101)*100</f>
        <v>#REF!</v>
      </c>
      <c r="H19" s="49" t="e">
        <f>VLOOKUP($A19,'Data Vlaue (Cr)'!$C:$FB,99)</f>
        <v>#REF!</v>
      </c>
      <c r="I19" s="49" t="e">
        <f>VLOOKUP($A19,'Data Vlaue (Cr)'!$C:$FB,100)</f>
        <v>#REF!</v>
      </c>
      <c r="J19" s="49" t="e">
        <f>VLOOKUP($A19,'Data Vlaue (Cr)'!$C:$FB,102)*100</f>
        <v>#REF!</v>
      </c>
    </row>
    <row r="20" spans="1:10" x14ac:dyDescent="0.25">
      <c r="A20" s="101" t="e">
        <f>'NIFTY GRP'!#REF!</f>
        <v>#REF!</v>
      </c>
      <c r="B20" s="140" t="e">
        <f>VLOOKUP($A20,'Data shares'!$C:$FA,7)</f>
        <v>#REF!</v>
      </c>
      <c r="C20" s="140" t="e">
        <f>VLOOKUP($A20,'Data shares'!$C:$FA,3)</f>
        <v>#REF!</v>
      </c>
      <c r="D20" s="50" t="e">
        <f>VLOOKUP($A20,'Data shares'!$C:$FA,6)*100</f>
        <v>#REF!</v>
      </c>
      <c r="E20" s="51" t="e">
        <f>VLOOKUP($A20,'Data shares'!$C:$FA,98)</f>
        <v>#REF!</v>
      </c>
      <c r="F20" s="51" t="e">
        <f>VLOOKUP($A20,'Data shares'!$C:$FA,99)</f>
        <v>#REF!</v>
      </c>
      <c r="G20" s="50" t="e">
        <f>VLOOKUP($A20,'Data shares'!$C:$FA,101)*100</f>
        <v>#REF!</v>
      </c>
      <c r="H20" s="49" t="e">
        <f>VLOOKUP($A20,'Data Vlaue (Cr)'!$C:$FB,99)</f>
        <v>#REF!</v>
      </c>
      <c r="I20" s="49" t="e">
        <f>VLOOKUP($A20,'Data Vlaue (Cr)'!$C:$FB,100)</f>
        <v>#REF!</v>
      </c>
      <c r="J20" s="49" t="e">
        <f>VLOOKUP($A20,'Data Vlaue (Cr)'!$C:$FB,102)*100</f>
        <v>#REF!</v>
      </c>
    </row>
    <row r="21" spans="1:10" x14ac:dyDescent="0.25">
      <c r="A21" s="101" t="e">
        <f>'NIFTY GRP'!#REF!</f>
        <v>#REF!</v>
      </c>
      <c r="B21" s="140" t="e">
        <f>VLOOKUP($A21,'Data shares'!$C:$FA,7)</f>
        <v>#REF!</v>
      </c>
      <c r="C21" s="140" t="e">
        <f>VLOOKUP($A21,'Data shares'!$C:$FA,3)</f>
        <v>#REF!</v>
      </c>
      <c r="D21" s="50" t="e">
        <f>VLOOKUP($A21,'Data shares'!$C:$FA,6)*100</f>
        <v>#REF!</v>
      </c>
      <c r="E21" s="51" t="e">
        <f>VLOOKUP($A21,'Data shares'!$C:$FA,98)</f>
        <v>#REF!</v>
      </c>
      <c r="F21" s="51" t="e">
        <f>VLOOKUP($A21,'Data shares'!$C:$FA,99)</f>
        <v>#REF!</v>
      </c>
      <c r="G21" s="50" t="e">
        <f>VLOOKUP($A21,'Data shares'!$C:$FA,101)*100</f>
        <v>#REF!</v>
      </c>
      <c r="H21" s="49" t="e">
        <f>VLOOKUP($A21,'Data Vlaue (Cr)'!$C:$FB,99)</f>
        <v>#REF!</v>
      </c>
      <c r="I21" s="49" t="e">
        <f>VLOOKUP($A21,'Data Vlaue (Cr)'!$C:$FB,100)</f>
        <v>#REF!</v>
      </c>
      <c r="J21" s="49" t="e">
        <f>VLOOKUP($A21,'Data Vlaue (Cr)'!$C:$FB,102)*100</f>
        <v>#REF!</v>
      </c>
    </row>
    <row r="22" spans="1:10" x14ac:dyDescent="0.25">
      <c r="A22" s="101" t="e">
        <f>'NIFTY GRP'!#REF!</f>
        <v>#REF!</v>
      </c>
      <c r="B22" s="140" t="e">
        <f>VLOOKUP($A22,'Data shares'!$C:$FA,7)</f>
        <v>#REF!</v>
      </c>
      <c r="C22" s="140" t="e">
        <f>VLOOKUP($A22,'Data shares'!$C:$FA,3)</f>
        <v>#REF!</v>
      </c>
      <c r="D22" s="50" t="e">
        <f>VLOOKUP($A22,'Data shares'!$C:$FA,6)*100</f>
        <v>#REF!</v>
      </c>
      <c r="E22" s="51" t="e">
        <f>VLOOKUP($A22,'Data shares'!$C:$FA,98)</f>
        <v>#REF!</v>
      </c>
      <c r="F22" s="51" t="e">
        <f>VLOOKUP($A22,'Data shares'!$C:$FA,99)</f>
        <v>#REF!</v>
      </c>
      <c r="G22" s="50" t="e">
        <f>VLOOKUP($A22,'Data shares'!$C:$FA,101)*100</f>
        <v>#REF!</v>
      </c>
      <c r="H22" s="49" t="e">
        <f>VLOOKUP($A22,'Data Vlaue (Cr)'!$C:$FB,99)</f>
        <v>#REF!</v>
      </c>
      <c r="I22" s="49" t="e">
        <f>VLOOKUP($A22,'Data Vlaue (Cr)'!$C:$FB,100)</f>
        <v>#REF!</v>
      </c>
      <c r="J22" s="49" t="e">
        <f>VLOOKUP($A22,'Data Vlaue (Cr)'!$C:$FB,102)*100</f>
        <v>#REF!</v>
      </c>
    </row>
    <row r="23" spans="1:10" x14ac:dyDescent="0.25">
      <c r="A23" s="101" t="e">
        <f>'NIFTY GRP'!#REF!</f>
        <v>#REF!</v>
      </c>
      <c r="B23" s="140" t="e">
        <f>VLOOKUP($A23,'Data shares'!$C:$FA,7)</f>
        <v>#REF!</v>
      </c>
      <c r="C23" s="140" t="e">
        <f>VLOOKUP($A23,'Data shares'!$C:$FA,3)</f>
        <v>#REF!</v>
      </c>
      <c r="D23" s="50" t="e">
        <f>VLOOKUP($A23,'Data shares'!$C:$FA,6)*100</f>
        <v>#REF!</v>
      </c>
      <c r="E23" s="51" t="e">
        <f>VLOOKUP($A23,'Data shares'!$C:$FA,98)</f>
        <v>#REF!</v>
      </c>
      <c r="F23" s="51" t="e">
        <f>VLOOKUP($A23,'Data shares'!$C:$FA,99)</f>
        <v>#REF!</v>
      </c>
      <c r="G23" s="50" t="e">
        <f>VLOOKUP($A23,'Data shares'!$C:$FA,101)*100</f>
        <v>#REF!</v>
      </c>
      <c r="H23" s="49" t="e">
        <f>VLOOKUP($A23,'Data Vlaue (Cr)'!$C:$FB,99)</f>
        <v>#REF!</v>
      </c>
      <c r="I23" s="49" t="e">
        <f>VLOOKUP($A23,'Data Vlaue (Cr)'!$C:$FB,100)</f>
        <v>#REF!</v>
      </c>
      <c r="J23" s="49" t="e">
        <f>VLOOKUP($A23,'Data Vlaue (Cr)'!$C:$FB,102)*100</f>
        <v>#REF!</v>
      </c>
    </row>
    <row r="24" spans="1:10" x14ac:dyDescent="0.25">
      <c r="A24" s="101" t="e">
        <f>'NIFTY GRP'!#REF!</f>
        <v>#REF!</v>
      </c>
      <c r="B24" s="140" t="e">
        <f>VLOOKUP($A24,'Data shares'!$C:$FA,7)</f>
        <v>#REF!</v>
      </c>
      <c r="C24" s="140" t="e">
        <f>VLOOKUP($A24,'Data shares'!$C:$FA,3)</f>
        <v>#REF!</v>
      </c>
      <c r="D24" s="50" t="e">
        <f>VLOOKUP($A24,'Data shares'!$C:$FA,6)*100</f>
        <v>#REF!</v>
      </c>
      <c r="E24" s="51" t="e">
        <f>VLOOKUP($A24,'Data shares'!$C:$FA,98)</f>
        <v>#REF!</v>
      </c>
      <c r="F24" s="51" t="e">
        <f>VLOOKUP($A24,'Data shares'!$C:$FA,99)</f>
        <v>#REF!</v>
      </c>
      <c r="G24" s="50" t="e">
        <f>VLOOKUP($A24,'Data shares'!$C:$FA,101)*100</f>
        <v>#REF!</v>
      </c>
      <c r="H24" s="49" t="e">
        <f>VLOOKUP($A24,'Data Vlaue (Cr)'!$C:$FB,99)</f>
        <v>#REF!</v>
      </c>
      <c r="I24" s="49" t="e">
        <f>VLOOKUP($A24,'Data Vlaue (Cr)'!$C:$FB,100)</f>
        <v>#REF!</v>
      </c>
      <c r="J24" s="49" t="e">
        <f>VLOOKUP($A24,'Data Vlaue (Cr)'!$C:$FB,102)*100</f>
        <v>#REF!</v>
      </c>
    </row>
    <row r="25" spans="1:10" x14ac:dyDescent="0.25">
      <c r="A25" s="101" t="e">
        <f>'NIFTY GRP'!#REF!</f>
        <v>#REF!</v>
      </c>
      <c r="B25" s="140" t="e">
        <f>VLOOKUP($A25,'Data shares'!$C:$FA,7)</f>
        <v>#REF!</v>
      </c>
      <c r="C25" s="140" t="e">
        <f>VLOOKUP($A25,'Data shares'!$C:$FA,3)</f>
        <v>#REF!</v>
      </c>
      <c r="D25" s="50" t="e">
        <f>VLOOKUP($A25,'Data shares'!$C:$FA,6)*100</f>
        <v>#REF!</v>
      </c>
      <c r="E25" s="51" t="e">
        <f>VLOOKUP($A25,'Data shares'!$C:$FA,98)</f>
        <v>#REF!</v>
      </c>
      <c r="F25" s="51" t="e">
        <f>VLOOKUP($A25,'Data shares'!$C:$FA,99)</f>
        <v>#REF!</v>
      </c>
      <c r="G25" s="50" t="e">
        <f>VLOOKUP($A25,'Data shares'!$C:$FA,101)*100</f>
        <v>#REF!</v>
      </c>
      <c r="H25" s="49" t="e">
        <f>VLOOKUP($A25,'Data Vlaue (Cr)'!$C:$FB,99)</f>
        <v>#REF!</v>
      </c>
      <c r="I25" s="49" t="e">
        <f>VLOOKUP($A25,'Data Vlaue (Cr)'!$C:$FB,100)</f>
        <v>#REF!</v>
      </c>
      <c r="J25" s="49" t="e">
        <f>VLOOKUP($A25,'Data Vlaue (Cr)'!$C:$FB,102)*100</f>
        <v>#REF!</v>
      </c>
    </row>
    <row r="26" spans="1:10" x14ac:dyDescent="0.25">
      <c r="A26" s="101" t="e">
        <f>'NIFTY GRP'!#REF!</f>
        <v>#REF!</v>
      </c>
      <c r="B26" s="140" t="e">
        <f>VLOOKUP($A26,'Data shares'!$C:$FA,7)</f>
        <v>#REF!</v>
      </c>
      <c r="C26" s="140" t="e">
        <f>VLOOKUP($A26,'Data shares'!$C:$FA,3)</f>
        <v>#REF!</v>
      </c>
      <c r="D26" s="50" t="e">
        <f>VLOOKUP($A26,'Data shares'!$C:$FA,6)*100</f>
        <v>#REF!</v>
      </c>
      <c r="E26" s="51" t="e">
        <f>VLOOKUP($A26,'Data shares'!$C:$FA,98)</f>
        <v>#REF!</v>
      </c>
      <c r="F26" s="51" t="e">
        <f>VLOOKUP($A26,'Data shares'!$C:$FA,99)</f>
        <v>#REF!</v>
      </c>
      <c r="G26" s="50" t="e">
        <f>VLOOKUP($A26,'Data shares'!$C:$FA,101)*100</f>
        <v>#REF!</v>
      </c>
      <c r="H26" s="49" t="e">
        <f>VLOOKUP($A26,'Data Vlaue (Cr)'!$C:$FB,99)</f>
        <v>#REF!</v>
      </c>
      <c r="I26" s="49" t="e">
        <f>VLOOKUP($A26,'Data Vlaue (Cr)'!$C:$FB,100)</f>
        <v>#REF!</v>
      </c>
      <c r="J26" s="49" t="e">
        <f>VLOOKUP($A26,'Data Vlaue (Cr)'!$C:$FB,102)*100</f>
        <v>#REF!</v>
      </c>
    </row>
    <row r="27" spans="1:10" x14ac:dyDescent="0.25">
      <c r="A27" s="101" t="e">
        <f>'NIFTY GRP'!#REF!</f>
        <v>#REF!</v>
      </c>
      <c r="B27" s="140" t="e">
        <f>VLOOKUP($A27,'Data shares'!$C:$FA,7)</f>
        <v>#REF!</v>
      </c>
      <c r="C27" s="140" t="e">
        <f>VLOOKUP($A27,'Data shares'!$C:$FA,3)</f>
        <v>#REF!</v>
      </c>
      <c r="D27" s="50" t="e">
        <f>VLOOKUP($A27,'Data shares'!$C:$FA,6)*100</f>
        <v>#REF!</v>
      </c>
      <c r="E27" s="51" t="e">
        <f>VLOOKUP($A27,'Data shares'!$C:$FA,98)</f>
        <v>#REF!</v>
      </c>
      <c r="F27" s="51" t="e">
        <f>VLOOKUP($A27,'Data shares'!$C:$FA,99)</f>
        <v>#REF!</v>
      </c>
      <c r="G27" s="50" t="e">
        <f>VLOOKUP($A27,'Data shares'!$C:$FA,101)*100</f>
        <v>#REF!</v>
      </c>
      <c r="H27" s="49" t="e">
        <f>VLOOKUP($A27,'Data Vlaue (Cr)'!$C:$FB,99)</f>
        <v>#REF!</v>
      </c>
      <c r="I27" s="49" t="e">
        <f>VLOOKUP($A27,'Data Vlaue (Cr)'!$C:$FB,100)</f>
        <v>#REF!</v>
      </c>
      <c r="J27" s="49" t="e">
        <f>VLOOKUP($A27,'Data Vlaue (Cr)'!$C:$FB,102)*100</f>
        <v>#REF!</v>
      </c>
    </row>
    <row r="28" spans="1:10" x14ac:dyDescent="0.25">
      <c r="A28" s="101" t="e">
        <f>'NIFTY GRP'!#REF!</f>
        <v>#REF!</v>
      </c>
      <c r="B28" s="140" t="e">
        <f>VLOOKUP($A28,'Data shares'!$C:$FA,7)</f>
        <v>#REF!</v>
      </c>
      <c r="C28" s="140" t="e">
        <f>VLOOKUP($A28,'Data shares'!$C:$FA,3)</f>
        <v>#REF!</v>
      </c>
      <c r="D28" s="50" t="e">
        <f>VLOOKUP($A28,'Data shares'!$C:$FA,6)*100</f>
        <v>#REF!</v>
      </c>
      <c r="E28" s="51" t="e">
        <f>VLOOKUP($A28,'Data shares'!$C:$FA,98)</f>
        <v>#REF!</v>
      </c>
      <c r="F28" s="51" t="e">
        <f>VLOOKUP($A28,'Data shares'!$C:$FA,99)</f>
        <v>#REF!</v>
      </c>
      <c r="G28" s="50" t="e">
        <f>VLOOKUP($A28,'Data shares'!$C:$FA,101)*100</f>
        <v>#REF!</v>
      </c>
      <c r="H28" s="49" t="e">
        <f>VLOOKUP($A28,'Data Vlaue (Cr)'!$C:$FB,99)</f>
        <v>#REF!</v>
      </c>
      <c r="I28" s="49" t="e">
        <f>VLOOKUP($A28,'Data Vlaue (Cr)'!$C:$FB,100)</f>
        <v>#REF!</v>
      </c>
      <c r="J28" s="49" t="e">
        <f>VLOOKUP($A28,'Data Vlaue (Cr)'!$C:$FB,102)*100</f>
        <v>#REF!</v>
      </c>
    </row>
    <row r="29" spans="1:10" x14ac:dyDescent="0.25">
      <c r="A29" s="101" t="e">
        <f>'NIFTY GRP'!#REF!</f>
        <v>#REF!</v>
      </c>
      <c r="B29" s="140" t="e">
        <f>VLOOKUP($A29,'Data shares'!$C:$FA,7)</f>
        <v>#REF!</v>
      </c>
      <c r="C29" s="140" t="e">
        <f>VLOOKUP($A29,'Data shares'!$C:$FA,3)</f>
        <v>#REF!</v>
      </c>
      <c r="D29" s="50" t="e">
        <f>VLOOKUP($A29,'Data shares'!$C:$FA,6)*100</f>
        <v>#REF!</v>
      </c>
      <c r="E29" s="51" t="e">
        <f>VLOOKUP($A29,'Data shares'!$C:$FA,98)</f>
        <v>#REF!</v>
      </c>
      <c r="F29" s="51" t="e">
        <f>VLOOKUP($A29,'Data shares'!$C:$FA,99)</f>
        <v>#REF!</v>
      </c>
      <c r="G29" s="50" t="e">
        <f>VLOOKUP($A29,'Data shares'!$C:$FA,101)*100</f>
        <v>#REF!</v>
      </c>
      <c r="H29" s="49" t="e">
        <f>VLOOKUP($A29,'Data Vlaue (Cr)'!$C:$FB,99)</f>
        <v>#REF!</v>
      </c>
      <c r="I29" s="49" t="e">
        <f>VLOOKUP($A29,'Data Vlaue (Cr)'!$C:$FB,100)</f>
        <v>#REF!</v>
      </c>
      <c r="J29" s="49" t="e">
        <f>VLOOKUP($A29,'Data Vlaue (Cr)'!$C:$FB,102)*100</f>
        <v>#REF!</v>
      </c>
    </row>
    <row r="30" spans="1:10" x14ac:dyDescent="0.25">
      <c r="A30" s="101" t="e">
        <f>'NIFTY GRP'!#REF!</f>
        <v>#REF!</v>
      </c>
      <c r="B30" s="140" t="e">
        <f>VLOOKUP($A30,'Data shares'!$C:$FA,7)</f>
        <v>#REF!</v>
      </c>
      <c r="C30" s="140" t="e">
        <f>VLOOKUP($A30,'Data shares'!$C:$FA,3)</f>
        <v>#REF!</v>
      </c>
      <c r="D30" s="50" t="e">
        <f>VLOOKUP($A30,'Data shares'!$C:$FA,6)*100</f>
        <v>#REF!</v>
      </c>
      <c r="E30" s="51" t="e">
        <f>VLOOKUP($A30,'Data shares'!$C:$FA,98)</f>
        <v>#REF!</v>
      </c>
      <c r="F30" s="51" t="e">
        <f>VLOOKUP($A30,'Data shares'!$C:$FA,99)</f>
        <v>#REF!</v>
      </c>
      <c r="G30" s="50" t="e">
        <f>VLOOKUP($A30,'Data shares'!$C:$FA,101)*100</f>
        <v>#REF!</v>
      </c>
      <c r="H30" s="49" t="e">
        <f>VLOOKUP($A30,'Data Vlaue (Cr)'!$C:$FB,99)</f>
        <v>#REF!</v>
      </c>
      <c r="I30" s="49" t="e">
        <f>VLOOKUP($A30,'Data Vlaue (Cr)'!$C:$FB,100)</f>
        <v>#REF!</v>
      </c>
      <c r="J30" s="49" t="e">
        <f>VLOOKUP($A30,'Data Vlaue (Cr)'!$C:$FB,102)*100</f>
        <v>#REF!</v>
      </c>
    </row>
    <row r="31" spans="1:10" x14ac:dyDescent="0.25">
      <c r="A31" s="101" t="e">
        <f>'NIFTY GRP'!#REF!</f>
        <v>#REF!</v>
      </c>
      <c r="B31" s="140" t="e">
        <f>VLOOKUP($A31,'Data shares'!$C:$FA,7)</f>
        <v>#REF!</v>
      </c>
      <c r="C31" s="140" t="e">
        <f>VLOOKUP($A31,'Data shares'!$C:$FA,3)</f>
        <v>#REF!</v>
      </c>
      <c r="D31" s="50" t="e">
        <f>VLOOKUP($A31,'Data shares'!$C:$FA,6)*100</f>
        <v>#REF!</v>
      </c>
      <c r="E31" s="51" t="e">
        <f>VLOOKUP($A31,'Data shares'!$C:$FA,98)</f>
        <v>#REF!</v>
      </c>
      <c r="F31" s="51" t="e">
        <f>VLOOKUP($A31,'Data shares'!$C:$FA,99)</f>
        <v>#REF!</v>
      </c>
      <c r="G31" s="50" t="e">
        <f>VLOOKUP($A31,'Data shares'!$C:$FA,101)*100</f>
        <v>#REF!</v>
      </c>
      <c r="H31" s="49" t="e">
        <f>VLOOKUP($A31,'Data Vlaue (Cr)'!$C:$FB,99)</f>
        <v>#REF!</v>
      </c>
      <c r="I31" s="49" t="e">
        <f>VLOOKUP($A31,'Data Vlaue (Cr)'!$C:$FB,100)</f>
        <v>#REF!</v>
      </c>
      <c r="J31" s="49" t="e">
        <f>VLOOKUP($A31,'Data Vlaue (Cr)'!$C:$FB,102)*100</f>
        <v>#REF!</v>
      </c>
    </row>
    <row r="32" spans="1:10" x14ac:dyDescent="0.25">
      <c r="A32" s="101" t="e">
        <f>'NIFTY GRP'!#REF!</f>
        <v>#REF!</v>
      </c>
      <c r="B32" s="140" t="e">
        <f>VLOOKUP($A32,'Data shares'!$C:$FA,7)</f>
        <v>#REF!</v>
      </c>
      <c r="C32" s="140" t="e">
        <f>VLOOKUP($A32,'Data shares'!$C:$FA,3)</f>
        <v>#REF!</v>
      </c>
      <c r="D32" s="50" t="e">
        <f>VLOOKUP($A32,'Data shares'!$C:$FA,6)*100</f>
        <v>#REF!</v>
      </c>
      <c r="E32" s="51" t="e">
        <f>VLOOKUP($A32,'Data shares'!$C:$FA,98)</f>
        <v>#REF!</v>
      </c>
      <c r="F32" s="51" t="e">
        <f>VLOOKUP($A32,'Data shares'!$C:$FA,99)</f>
        <v>#REF!</v>
      </c>
      <c r="G32" s="50" t="e">
        <f>VLOOKUP($A32,'Data shares'!$C:$FA,101)*100</f>
        <v>#REF!</v>
      </c>
      <c r="H32" s="49" t="e">
        <f>VLOOKUP($A32,'Data Vlaue (Cr)'!$C:$FB,99)</f>
        <v>#REF!</v>
      </c>
      <c r="I32" s="49" t="e">
        <f>VLOOKUP($A32,'Data Vlaue (Cr)'!$C:$FB,100)</f>
        <v>#REF!</v>
      </c>
      <c r="J32" s="49" t="e">
        <f>VLOOKUP($A32,'Data Vlaue (Cr)'!$C:$FB,102)*100</f>
        <v>#REF!</v>
      </c>
    </row>
    <row r="33" spans="1:10" x14ac:dyDescent="0.25">
      <c r="A33" s="101" t="e">
        <f>'NIFTY GRP'!#REF!</f>
        <v>#REF!</v>
      </c>
      <c r="B33" s="140" t="e">
        <f>VLOOKUP($A33,'Data shares'!$C:$FA,7)</f>
        <v>#REF!</v>
      </c>
      <c r="C33" s="140" t="e">
        <f>VLOOKUP($A33,'Data shares'!$C:$FA,3)</f>
        <v>#REF!</v>
      </c>
      <c r="D33" s="50" t="e">
        <f>VLOOKUP($A33,'Data shares'!$C:$FA,6)*100</f>
        <v>#REF!</v>
      </c>
      <c r="E33" s="51" t="e">
        <f>VLOOKUP($A33,'Data shares'!$C:$FA,98)</f>
        <v>#REF!</v>
      </c>
      <c r="F33" s="51" t="e">
        <f>VLOOKUP($A33,'Data shares'!$C:$FA,99)</f>
        <v>#REF!</v>
      </c>
      <c r="G33" s="50" t="e">
        <f>VLOOKUP($A33,'Data shares'!$C:$FA,101)*100</f>
        <v>#REF!</v>
      </c>
      <c r="H33" s="49" t="e">
        <f>VLOOKUP($A33,'Data Vlaue (Cr)'!$C:$FB,99)</f>
        <v>#REF!</v>
      </c>
      <c r="I33" s="49" t="e">
        <f>VLOOKUP($A33,'Data Vlaue (Cr)'!$C:$FB,100)</f>
        <v>#REF!</v>
      </c>
      <c r="J33" s="49" t="e">
        <f>VLOOKUP($A33,'Data Vlaue (Cr)'!$C:$FB,102)*100</f>
        <v>#REF!</v>
      </c>
    </row>
    <row r="34" spans="1:10" x14ac:dyDescent="0.25">
      <c r="A34" s="101" t="e">
        <f>'NIFTY GRP'!#REF!</f>
        <v>#REF!</v>
      </c>
      <c r="B34" s="140" t="e">
        <f>VLOOKUP($A34,'Data shares'!$C:$FA,7)</f>
        <v>#REF!</v>
      </c>
      <c r="C34" s="140" t="e">
        <f>VLOOKUP($A34,'Data shares'!$C:$FA,3)</f>
        <v>#REF!</v>
      </c>
      <c r="D34" s="50" t="e">
        <f>VLOOKUP($A34,'Data shares'!$C:$FA,6)*100</f>
        <v>#REF!</v>
      </c>
      <c r="E34" s="51" t="e">
        <f>VLOOKUP($A34,'Data shares'!$C:$FA,98)</f>
        <v>#REF!</v>
      </c>
      <c r="F34" s="51" t="e">
        <f>VLOOKUP($A34,'Data shares'!$C:$FA,99)</f>
        <v>#REF!</v>
      </c>
      <c r="G34" s="50" t="e">
        <f>VLOOKUP($A34,'Data shares'!$C:$FA,101)*100</f>
        <v>#REF!</v>
      </c>
      <c r="H34" s="49" t="e">
        <f>VLOOKUP($A34,'Data Vlaue (Cr)'!$C:$FB,99)</f>
        <v>#REF!</v>
      </c>
      <c r="I34" s="49" t="e">
        <f>VLOOKUP($A34,'Data Vlaue (Cr)'!$C:$FB,100)</f>
        <v>#REF!</v>
      </c>
      <c r="J34" s="49" t="e">
        <f>VLOOKUP($A34,'Data Vlaue (Cr)'!$C:$FB,102)*100</f>
        <v>#REF!</v>
      </c>
    </row>
    <row r="35" spans="1:10" x14ac:dyDescent="0.25">
      <c r="A35" s="101" t="e">
        <f>'NIFTY GRP'!#REF!</f>
        <v>#REF!</v>
      </c>
      <c r="B35" s="140" t="e">
        <f>VLOOKUP($A35,'Data shares'!$C:$FA,7)</f>
        <v>#REF!</v>
      </c>
      <c r="C35" s="140" t="e">
        <f>VLOOKUP($A35,'Data shares'!$C:$FA,3)</f>
        <v>#REF!</v>
      </c>
      <c r="D35" s="50" t="e">
        <f>VLOOKUP($A35,'Data shares'!$C:$FA,6)*100</f>
        <v>#REF!</v>
      </c>
      <c r="E35" s="51" t="e">
        <f>VLOOKUP($A35,'Data shares'!$C:$FA,98)</f>
        <v>#REF!</v>
      </c>
      <c r="F35" s="51" t="e">
        <f>VLOOKUP($A35,'Data shares'!$C:$FA,99)</f>
        <v>#REF!</v>
      </c>
      <c r="G35" s="50" t="e">
        <f>VLOOKUP($A35,'Data shares'!$C:$FA,101)*100</f>
        <v>#REF!</v>
      </c>
      <c r="H35" s="49" t="e">
        <f>VLOOKUP($A35,'Data Vlaue (Cr)'!$C:$FB,99)</f>
        <v>#REF!</v>
      </c>
      <c r="I35" s="49" t="e">
        <f>VLOOKUP($A35,'Data Vlaue (Cr)'!$C:$FB,100)</f>
        <v>#REF!</v>
      </c>
      <c r="J35" s="49" t="e">
        <f>VLOOKUP($A35,'Data Vlaue (Cr)'!$C:$FB,102)*100</f>
        <v>#REF!</v>
      </c>
    </row>
    <row r="36" spans="1:10" x14ac:dyDescent="0.25">
      <c r="A36" s="101" t="e">
        <f>'NIFTY GRP'!#REF!</f>
        <v>#REF!</v>
      </c>
      <c r="B36" s="140" t="e">
        <f>VLOOKUP($A36,'Data shares'!$C:$FA,7)</f>
        <v>#REF!</v>
      </c>
      <c r="C36" s="140" t="e">
        <f>VLOOKUP($A36,'Data shares'!$C:$FA,3)</f>
        <v>#REF!</v>
      </c>
      <c r="D36" s="50" t="e">
        <f>VLOOKUP($A36,'Data shares'!$C:$FA,6)*100</f>
        <v>#REF!</v>
      </c>
      <c r="E36" s="51" t="e">
        <f>VLOOKUP($A36,'Data shares'!$C:$FA,98)</f>
        <v>#REF!</v>
      </c>
      <c r="F36" s="51" t="e">
        <f>VLOOKUP($A36,'Data shares'!$C:$FA,99)</f>
        <v>#REF!</v>
      </c>
      <c r="G36" s="50" t="e">
        <f>VLOOKUP($A36,'Data shares'!$C:$FA,101)*100</f>
        <v>#REF!</v>
      </c>
      <c r="H36" s="49" t="e">
        <f>VLOOKUP($A36,'Data Vlaue (Cr)'!$C:$FB,99)</f>
        <v>#REF!</v>
      </c>
      <c r="I36" s="49" t="e">
        <f>VLOOKUP($A36,'Data Vlaue (Cr)'!$C:$FB,100)</f>
        <v>#REF!</v>
      </c>
      <c r="J36" s="49" t="e">
        <f>VLOOKUP($A36,'Data Vlaue (Cr)'!$C:$FB,102)*100</f>
        <v>#REF!</v>
      </c>
    </row>
    <row r="37" spans="1:10" x14ac:dyDescent="0.25">
      <c r="A37" s="101" t="e">
        <f>'NIFTY GRP'!#REF!</f>
        <v>#REF!</v>
      </c>
      <c r="B37" s="140" t="e">
        <f>VLOOKUP($A37,'Data shares'!$C:$FA,7)</f>
        <v>#REF!</v>
      </c>
      <c r="C37" s="140" t="e">
        <f>VLOOKUP($A37,'Data shares'!$C:$FA,3)</f>
        <v>#REF!</v>
      </c>
      <c r="D37" s="50" t="e">
        <f>VLOOKUP($A37,'Data shares'!$C:$FA,6)*100</f>
        <v>#REF!</v>
      </c>
      <c r="E37" s="51" t="e">
        <f>VLOOKUP($A37,'Data shares'!$C:$FA,98)</f>
        <v>#REF!</v>
      </c>
      <c r="F37" s="51" t="e">
        <f>VLOOKUP($A37,'Data shares'!$C:$FA,99)</f>
        <v>#REF!</v>
      </c>
      <c r="G37" s="50" t="e">
        <f>VLOOKUP($A37,'Data shares'!$C:$FA,101)*100</f>
        <v>#REF!</v>
      </c>
      <c r="H37" s="49" t="e">
        <f>VLOOKUP($A37,'Data Vlaue (Cr)'!$C:$FB,99)</f>
        <v>#REF!</v>
      </c>
      <c r="I37" s="49" t="e">
        <f>VLOOKUP($A37,'Data Vlaue (Cr)'!$C:$FB,100)</f>
        <v>#REF!</v>
      </c>
      <c r="J37" s="49" t="e">
        <f>VLOOKUP($A37,'Data Vlaue (Cr)'!$C:$FB,102)*100</f>
        <v>#REF!</v>
      </c>
    </row>
    <row r="38" spans="1:10" x14ac:dyDescent="0.25">
      <c r="A38" s="101" t="e">
        <f>'NIFTY GRP'!#REF!</f>
        <v>#REF!</v>
      </c>
      <c r="B38" s="140" t="e">
        <f>VLOOKUP($A38,'Data shares'!$C:$FA,7)</f>
        <v>#REF!</v>
      </c>
      <c r="C38" s="140" t="e">
        <f>VLOOKUP($A38,'Data shares'!$C:$FA,3)</f>
        <v>#REF!</v>
      </c>
      <c r="D38" s="50" t="e">
        <f>VLOOKUP($A38,'Data shares'!$C:$FA,6)*100</f>
        <v>#REF!</v>
      </c>
      <c r="E38" s="51" t="e">
        <f>VLOOKUP($A38,'Data shares'!$C:$FA,98)</f>
        <v>#REF!</v>
      </c>
      <c r="F38" s="51" t="e">
        <f>VLOOKUP($A38,'Data shares'!$C:$FA,99)</f>
        <v>#REF!</v>
      </c>
      <c r="G38" s="50" t="e">
        <f>VLOOKUP($A38,'Data shares'!$C:$FA,101)*100</f>
        <v>#REF!</v>
      </c>
      <c r="H38" s="49" t="e">
        <f>VLOOKUP($A38,'Data Vlaue (Cr)'!$C:$FB,99)</f>
        <v>#REF!</v>
      </c>
      <c r="I38" s="49" t="e">
        <f>VLOOKUP($A38,'Data Vlaue (Cr)'!$C:$FB,100)</f>
        <v>#REF!</v>
      </c>
      <c r="J38" s="49" t="e">
        <f>VLOOKUP($A38,'Data Vlaue (Cr)'!$C:$FB,102)*100</f>
        <v>#REF!</v>
      </c>
    </row>
    <row r="39" spans="1:10" x14ac:dyDescent="0.25">
      <c r="A39" s="101" t="e">
        <f>'NIFTY GRP'!#REF!</f>
        <v>#REF!</v>
      </c>
      <c r="B39" s="140" t="e">
        <f>VLOOKUP($A39,'Data shares'!$C:$FA,7)</f>
        <v>#REF!</v>
      </c>
      <c r="C39" s="140" t="e">
        <f>VLOOKUP($A39,'Data shares'!$C:$FA,3)</f>
        <v>#REF!</v>
      </c>
      <c r="D39" s="50" t="e">
        <f>VLOOKUP($A39,'Data shares'!$C:$FA,6)*100</f>
        <v>#REF!</v>
      </c>
      <c r="E39" s="51" t="e">
        <f>VLOOKUP($A39,'Data shares'!$C:$FA,98)</f>
        <v>#REF!</v>
      </c>
      <c r="F39" s="51" t="e">
        <f>VLOOKUP($A39,'Data shares'!$C:$FA,99)</f>
        <v>#REF!</v>
      </c>
      <c r="G39" s="50" t="e">
        <f>VLOOKUP($A39,'Data shares'!$C:$FA,101)*100</f>
        <v>#REF!</v>
      </c>
      <c r="H39" s="49" t="e">
        <f>VLOOKUP($A39,'Data Vlaue (Cr)'!$C:$FB,99)</f>
        <v>#REF!</v>
      </c>
      <c r="I39" s="49" t="e">
        <f>VLOOKUP($A39,'Data Vlaue (Cr)'!$C:$FB,100)</f>
        <v>#REF!</v>
      </c>
      <c r="J39" s="49" t="e">
        <f>VLOOKUP($A39,'Data Vlaue (Cr)'!$C:$FB,102)*100</f>
        <v>#REF!</v>
      </c>
    </row>
    <row r="40" spans="1:10" x14ac:dyDescent="0.25">
      <c r="A40" s="101" t="e">
        <f>'NIFTY GRP'!#REF!</f>
        <v>#REF!</v>
      </c>
      <c r="B40" s="140" t="e">
        <f>VLOOKUP($A40,'Data shares'!$C:$FA,7)</f>
        <v>#REF!</v>
      </c>
      <c r="C40" s="140" t="e">
        <f>VLOOKUP($A40,'Data shares'!$C:$FA,3)</f>
        <v>#REF!</v>
      </c>
      <c r="D40" s="50" t="e">
        <f>VLOOKUP($A40,'Data shares'!$C:$FA,6)*100</f>
        <v>#REF!</v>
      </c>
      <c r="E40" s="51" t="e">
        <f>VLOOKUP($A40,'Data shares'!$C:$FA,98)</f>
        <v>#REF!</v>
      </c>
      <c r="F40" s="51" t="e">
        <f>VLOOKUP($A40,'Data shares'!$C:$FA,99)</f>
        <v>#REF!</v>
      </c>
      <c r="G40" s="50" t="e">
        <f>VLOOKUP($A40,'Data shares'!$C:$FA,101)*100</f>
        <v>#REF!</v>
      </c>
      <c r="H40" s="49" t="e">
        <f>VLOOKUP($A40,'Data Vlaue (Cr)'!$C:$FB,99)</f>
        <v>#REF!</v>
      </c>
      <c r="I40" s="49" t="e">
        <f>VLOOKUP($A40,'Data Vlaue (Cr)'!$C:$FB,100)</f>
        <v>#REF!</v>
      </c>
      <c r="J40" s="49" t="e">
        <f>VLOOKUP($A40,'Data Vlaue (Cr)'!$C:$FB,102)*100</f>
        <v>#REF!</v>
      </c>
    </row>
    <row r="41" spans="1:10" x14ac:dyDescent="0.25">
      <c r="A41" s="101" t="e">
        <f>'NIFTY GRP'!#REF!</f>
        <v>#REF!</v>
      </c>
      <c r="B41" s="140" t="e">
        <f>VLOOKUP($A41,'Data shares'!$C:$FA,7)</f>
        <v>#REF!</v>
      </c>
      <c r="C41" s="140" t="e">
        <f>VLOOKUP($A41,'Data shares'!$C:$FA,3)</f>
        <v>#REF!</v>
      </c>
      <c r="D41" s="50" t="e">
        <f>VLOOKUP($A41,'Data shares'!$C:$FA,6)*100</f>
        <v>#REF!</v>
      </c>
      <c r="E41" s="51" t="e">
        <f>VLOOKUP($A41,'Data shares'!$C:$FA,98)</f>
        <v>#REF!</v>
      </c>
      <c r="F41" s="51" t="e">
        <f>VLOOKUP($A41,'Data shares'!$C:$FA,99)</f>
        <v>#REF!</v>
      </c>
      <c r="G41" s="50" t="e">
        <f>VLOOKUP($A41,'Data shares'!$C:$FA,101)*100</f>
        <v>#REF!</v>
      </c>
      <c r="H41" s="49" t="e">
        <f>VLOOKUP($A41,'Data Vlaue (Cr)'!$C:$FB,99)</f>
        <v>#REF!</v>
      </c>
      <c r="I41" s="49" t="e">
        <f>VLOOKUP($A41,'Data Vlaue (Cr)'!$C:$FB,100)</f>
        <v>#REF!</v>
      </c>
      <c r="J41" s="49" t="e">
        <f>VLOOKUP($A41,'Data Vlaue (Cr)'!$C:$FB,102)*100</f>
        <v>#REF!</v>
      </c>
    </row>
    <row r="42" spans="1:10" x14ac:dyDescent="0.25">
      <c r="A42" s="101" t="e">
        <f>'NIFTY GRP'!#REF!</f>
        <v>#REF!</v>
      </c>
      <c r="B42" s="140" t="e">
        <f>VLOOKUP($A42,'Data shares'!$C:$FA,7)</f>
        <v>#REF!</v>
      </c>
      <c r="C42" s="140" t="e">
        <f>VLOOKUP($A42,'Data shares'!$C:$FA,3)</f>
        <v>#REF!</v>
      </c>
      <c r="D42" s="50" t="e">
        <f>VLOOKUP($A42,'Data shares'!$C:$FA,6)*100</f>
        <v>#REF!</v>
      </c>
      <c r="E42" s="51" t="e">
        <f>VLOOKUP($A42,'Data shares'!$C:$FA,98)</f>
        <v>#REF!</v>
      </c>
      <c r="F42" s="51" t="e">
        <f>VLOOKUP($A42,'Data shares'!$C:$FA,99)</f>
        <v>#REF!</v>
      </c>
      <c r="G42" s="50" t="e">
        <f>VLOOKUP($A42,'Data shares'!$C:$FA,101)*100</f>
        <v>#REF!</v>
      </c>
      <c r="H42" s="49" t="e">
        <f>VLOOKUP($A42,'Data Vlaue (Cr)'!$C:$FB,99)</f>
        <v>#REF!</v>
      </c>
      <c r="I42" s="49" t="e">
        <f>VLOOKUP($A42,'Data Vlaue (Cr)'!$C:$FB,100)</f>
        <v>#REF!</v>
      </c>
      <c r="J42" s="49" t="e">
        <f>VLOOKUP($A42,'Data Vlaue (Cr)'!$C:$FB,102)*100</f>
        <v>#REF!</v>
      </c>
    </row>
    <row r="43" spans="1:10" x14ac:dyDescent="0.25">
      <c r="A43" s="101" t="e">
        <f>'NIFTY GRP'!#REF!</f>
        <v>#REF!</v>
      </c>
      <c r="B43" s="140" t="e">
        <f>VLOOKUP($A43,'Data shares'!$C:$FA,7)</f>
        <v>#REF!</v>
      </c>
      <c r="C43" s="140" t="e">
        <f>VLOOKUP($A43,'Data shares'!$C:$FA,3)</f>
        <v>#REF!</v>
      </c>
      <c r="D43" s="50" t="e">
        <f>VLOOKUP($A43,'Data shares'!$C:$FA,6)*100</f>
        <v>#REF!</v>
      </c>
      <c r="E43" s="51" t="e">
        <f>VLOOKUP($A43,'Data shares'!$C:$FA,98)</f>
        <v>#REF!</v>
      </c>
      <c r="F43" s="51" t="e">
        <f>VLOOKUP($A43,'Data shares'!$C:$FA,99)</f>
        <v>#REF!</v>
      </c>
      <c r="G43" s="50" t="e">
        <f>VLOOKUP($A43,'Data shares'!$C:$FA,101)*100</f>
        <v>#REF!</v>
      </c>
      <c r="H43" s="49" t="e">
        <f>VLOOKUP($A43,'Data Vlaue (Cr)'!$C:$FB,99)</f>
        <v>#REF!</v>
      </c>
      <c r="I43" s="49" t="e">
        <f>VLOOKUP($A43,'Data Vlaue (Cr)'!$C:$FB,100)</f>
        <v>#REF!</v>
      </c>
      <c r="J43" s="49" t="e">
        <f>VLOOKUP($A43,'Data Vlaue (Cr)'!$C:$FB,102)*100</f>
        <v>#REF!</v>
      </c>
    </row>
    <row r="44" spans="1:10" x14ac:dyDescent="0.25">
      <c r="A44" s="101" t="e">
        <f>'NIFTY GRP'!#REF!</f>
        <v>#REF!</v>
      </c>
      <c r="B44" s="140" t="e">
        <f>VLOOKUP($A44,'Data shares'!$C:$FA,7)</f>
        <v>#REF!</v>
      </c>
      <c r="C44" s="140" t="e">
        <f>VLOOKUP($A44,'Data shares'!$C:$FA,3)</f>
        <v>#REF!</v>
      </c>
      <c r="D44" s="50" t="e">
        <f>VLOOKUP($A44,'Data shares'!$C:$FA,6)*100</f>
        <v>#REF!</v>
      </c>
      <c r="E44" s="51" t="e">
        <f>VLOOKUP($A44,'Data shares'!$C:$FA,98)</f>
        <v>#REF!</v>
      </c>
      <c r="F44" s="51" t="e">
        <f>VLOOKUP($A44,'Data shares'!$C:$FA,99)</f>
        <v>#REF!</v>
      </c>
      <c r="G44" s="50" t="e">
        <f>VLOOKUP($A44,'Data shares'!$C:$FA,101)*100</f>
        <v>#REF!</v>
      </c>
      <c r="H44" s="49" t="e">
        <f>VLOOKUP($A44,'Data Vlaue (Cr)'!$C:$FB,99)</f>
        <v>#REF!</v>
      </c>
      <c r="I44" s="49" t="e">
        <f>VLOOKUP($A44,'Data Vlaue (Cr)'!$C:$FB,100)</f>
        <v>#REF!</v>
      </c>
      <c r="J44" s="49" t="e">
        <f>VLOOKUP($A44,'Data Vlaue (Cr)'!$C:$FB,102)*100</f>
        <v>#REF!</v>
      </c>
    </row>
    <row r="45" spans="1:10" x14ac:dyDescent="0.25">
      <c r="A45" s="101" t="e">
        <f>'NIFTY GRP'!#REF!</f>
        <v>#REF!</v>
      </c>
      <c r="B45" s="140" t="e">
        <f>VLOOKUP($A45,'Data shares'!$C:$FA,7)</f>
        <v>#REF!</v>
      </c>
      <c r="C45" s="140" t="e">
        <f>VLOOKUP($A45,'Data shares'!$C:$FA,3)</f>
        <v>#REF!</v>
      </c>
      <c r="D45" s="50" t="e">
        <f>VLOOKUP($A45,'Data shares'!$C:$FA,6)*100</f>
        <v>#REF!</v>
      </c>
      <c r="E45" s="51" t="e">
        <f>VLOOKUP($A45,'Data shares'!$C:$FA,98)</f>
        <v>#REF!</v>
      </c>
      <c r="F45" s="51" t="e">
        <f>VLOOKUP($A45,'Data shares'!$C:$FA,99)</f>
        <v>#REF!</v>
      </c>
      <c r="G45" s="50" t="e">
        <f>VLOOKUP($A45,'Data shares'!$C:$FA,101)*100</f>
        <v>#REF!</v>
      </c>
      <c r="H45" s="49" t="e">
        <f>VLOOKUP($A45,'Data Vlaue (Cr)'!$C:$FB,99)</f>
        <v>#REF!</v>
      </c>
      <c r="I45" s="49" t="e">
        <f>VLOOKUP($A45,'Data Vlaue (Cr)'!$C:$FB,100)</f>
        <v>#REF!</v>
      </c>
      <c r="J45" s="49" t="e">
        <f>VLOOKUP($A45,'Data Vlaue (Cr)'!$C:$FB,102)*100</f>
        <v>#REF!</v>
      </c>
    </row>
    <row r="46" spans="1:10" x14ac:dyDescent="0.25">
      <c r="A46" s="101" t="e">
        <f>'NIFTY GRP'!#REF!</f>
        <v>#REF!</v>
      </c>
      <c r="B46" s="140" t="e">
        <f>VLOOKUP($A46,'Data shares'!$C:$FA,7)</f>
        <v>#REF!</v>
      </c>
      <c r="C46" s="140" t="e">
        <f>VLOOKUP($A46,'Data shares'!$C:$FA,3)</f>
        <v>#REF!</v>
      </c>
      <c r="D46" s="50" t="e">
        <f>VLOOKUP($A46,'Data shares'!$C:$FA,6)*100</f>
        <v>#REF!</v>
      </c>
      <c r="E46" s="51" t="e">
        <f>VLOOKUP($A46,'Data shares'!$C:$FA,98)</f>
        <v>#REF!</v>
      </c>
      <c r="F46" s="51" t="e">
        <f>VLOOKUP($A46,'Data shares'!$C:$FA,99)</f>
        <v>#REF!</v>
      </c>
      <c r="G46" s="50" t="e">
        <f>VLOOKUP($A46,'Data shares'!$C:$FA,101)*100</f>
        <v>#REF!</v>
      </c>
      <c r="H46" s="49" t="e">
        <f>VLOOKUP($A46,'Data Vlaue (Cr)'!$C:$FB,99)</f>
        <v>#REF!</v>
      </c>
      <c r="I46" s="49" t="e">
        <f>VLOOKUP($A46,'Data Vlaue (Cr)'!$C:$FB,100)</f>
        <v>#REF!</v>
      </c>
      <c r="J46" s="49" t="e">
        <f>VLOOKUP($A46,'Data Vlaue (Cr)'!$C:$FB,102)*100</f>
        <v>#REF!</v>
      </c>
    </row>
    <row r="47" spans="1:10" x14ac:dyDescent="0.25">
      <c r="A47" s="101" t="e">
        <f>'NIFTY GRP'!#REF!</f>
        <v>#REF!</v>
      </c>
      <c r="B47" s="140" t="e">
        <f>VLOOKUP($A47,'Data shares'!$C:$FA,7)</f>
        <v>#REF!</v>
      </c>
      <c r="C47" s="140" t="e">
        <f>VLOOKUP($A47,'Data shares'!$C:$FA,3)</f>
        <v>#REF!</v>
      </c>
      <c r="D47" s="50" t="e">
        <f>VLOOKUP($A47,'Data shares'!$C:$FA,6)*100</f>
        <v>#REF!</v>
      </c>
      <c r="E47" s="51" t="e">
        <f>VLOOKUP($A47,'Data shares'!$C:$FA,98)</f>
        <v>#REF!</v>
      </c>
      <c r="F47" s="51" t="e">
        <f>VLOOKUP($A47,'Data shares'!$C:$FA,99)</f>
        <v>#REF!</v>
      </c>
      <c r="G47" s="50" t="e">
        <f>VLOOKUP($A47,'Data shares'!$C:$FA,101)*100</f>
        <v>#REF!</v>
      </c>
      <c r="H47" s="49" t="e">
        <f>VLOOKUP($A47,'Data Vlaue (Cr)'!$C:$FB,99)</f>
        <v>#REF!</v>
      </c>
      <c r="I47" s="49" t="e">
        <f>VLOOKUP($A47,'Data Vlaue (Cr)'!$C:$FB,100)</f>
        <v>#REF!</v>
      </c>
      <c r="J47" s="49" t="e">
        <f>VLOOKUP($A47,'Data Vlaue (Cr)'!$C:$FB,102)*100</f>
        <v>#REF!</v>
      </c>
    </row>
    <row r="48" spans="1:10" x14ac:dyDescent="0.25">
      <c r="A48" s="101" t="e">
        <f>'NIFTY GRP'!#REF!</f>
        <v>#REF!</v>
      </c>
      <c r="B48" s="140" t="e">
        <f>VLOOKUP($A48,'Data shares'!$C:$FA,7)</f>
        <v>#REF!</v>
      </c>
      <c r="C48" s="140" t="e">
        <f>VLOOKUP($A48,'Data shares'!$C:$FA,3)</f>
        <v>#REF!</v>
      </c>
      <c r="D48" s="50" t="e">
        <f>VLOOKUP($A48,'Data shares'!$C:$FA,6)*100</f>
        <v>#REF!</v>
      </c>
      <c r="E48" s="51" t="e">
        <f>VLOOKUP($A48,'Data shares'!$C:$FA,98)</f>
        <v>#REF!</v>
      </c>
      <c r="F48" s="51" t="e">
        <f>VLOOKUP($A48,'Data shares'!$C:$FA,99)</f>
        <v>#REF!</v>
      </c>
      <c r="G48" s="50" t="e">
        <f>VLOOKUP($A48,'Data shares'!$C:$FA,101)*100</f>
        <v>#REF!</v>
      </c>
      <c r="H48" s="49" t="e">
        <f>VLOOKUP($A48,'Data Vlaue (Cr)'!$C:$FB,99)</f>
        <v>#REF!</v>
      </c>
      <c r="I48" s="49" t="e">
        <f>VLOOKUP($A48,'Data Vlaue (Cr)'!$C:$FB,100)</f>
        <v>#REF!</v>
      </c>
      <c r="J48" s="49" t="e">
        <f>VLOOKUP($A48,'Data Vlaue (Cr)'!$C:$FB,102)*100</f>
        <v>#REF!</v>
      </c>
    </row>
    <row r="49" spans="1:10" x14ac:dyDescent="0.25">
      <c r="A49" s="101" t="e">
        <f>'NIFTY GRP'!#REF!</f>
        <v>#REF!</v>
      </c>
      <c r="B49" s="140" t="e">
        <f>VLOOKUP($A49,'Data shares'!$C:$FA,7)</f>
        <v>#REF!</v>
      </c>
      <c r="C49" s="140" t="e">
        <f>VLOOKUP($A49,'Data shares'!$C:$FA,3)</f>
        <v>#REF!</v>
      </c>
      <c r="D49" s="50" t="e">
        <f>VLOOKUP($A49,'Data shares'!$C:$FA,6)*100</f>
        <v>#REF!</v>
      </c>
      <c r="E49" s="51" t="e">
        <f>VLOOKUP($A49,'Data shares'!$C:$FA,98)</f>
        <v>#REF!</v>
      </c>
      <c r="F49" s="51" t="e">
        <f>VLOOKUP($A49,'Data shares'!$C:$FA,99)</f>
        <v>#REF!</v>
      </c>
      <c r="G49" s="50" t="e">
        <f>VLOOKUP($A49,'Data shares'!$C:$FA,101)*100</f>
        <v>#REF!</v>
      </c>
      <c r="H49" s="49" t="e">
        <f>VLOOKUP($A49,'Data Vlaue (Cr)'!$C:$FB,99)</f>
        <v>#REF!</v>
      </c>
      <c r="I49" s="49" t="e">
        <f>VLOOKUP($A49,'Data Vlaue (Cr)'!$C:$FB,100)</f>
        <v>#REF!</v>
      </c>
      <c r="J49" s="49" t="e">
        <f>VLOOKUP($A49,'Data Vlaue (Cr)'!$C:$FB,102)*100</f>
        <v>#REF!</v>
      </c>
    </row>
    <row r="50" spans="1:10" x14ac:dyDescent="0.25">
      <c r="A50" s="101" t="e">
        <f>'NIFTY GRP'!#REF!</f>
        <v>#REF!</v>
      </c>
      <c r="B50" s="140" t="e">
        <f>VLOOKUP($A50,'Data shares'!$C:$FA,7)</f>
        <v>#REF!</v>
      </c>
      <c r="C50" s="140" t="e">
        <f>VLOOKUP($A50,'Data shares'!$C:$FA,3)</f>
        <v>#REF!</v>
      </c>
      <c r="D50" s="50" t="e">
        <f>VLOOKUP($A50,'Data shares'!$C:$FA,6)*100</f>
        <v>#REF!</v>
      </c>
      <c r="E50" s="51" t="e">
        <f>VLOOKUP($A50,'Data shares'!$C:$FA,98)</f>
        <v>#REF!</v>
      </c>
      <c r="F50" s="51" t="e">
        <f>VLOOKUP($A50,'Data shares'!$C:$FA,99)</f>
        <v>#REF!</v>
      </c>
      <c r="G50" s="50" t="e">
        <f>VLOOKUP($A50,'Data shares'!$C:$FA,101)*100</f>
        <v>#REF!</v>
      </c>
      <c r="H50" s="49" t="e">
        <f>VLOOKUP($A50,'Data Vlaue (Cr)'!$C:$FB,99)</f>
        <v>#REF!</v>
      </c>
      <c r="I50" s="49" t="e">
        <f>VLOOKUP($A50,'Data Vlaue (Cr)'!$C:$FB,100)</f>
        <v>#REF!</v>
      </c>
      <c r="J50" s="49" t="e">
        <f>VLOOKUP($A50,'Data Vlaue (Cr)'!$C:$FB,102)*100</f>
        <v>#REF!</v>
      </c>
    </row>
    <row r="51" spans="1:10" x14ac:dyDescent="0.25">
      <c r="A51" s="101" t="e">
        <f>'NIFTY GRP'!#REF!</f>
        <v>#REF!</v>
      </c>
      <c r="B51" s="140" t="e">
        <f>VLOOKUP($A51,'Data shares'!$C:$FA,7)</f>
        <v>#REF!</v>
      </c>
      <c r="C51" s="140" t="e">
        <f>VLOOKUP($A51,'Data shares'!$C:$FA,3)</f>
        <v>#REF!</v>
      </c>
      <c r="D51" s="50" t="e">
        <f>VLOOKUP($A51,'Data shares'!$C:$FA,6)*100</f>
        <v>#REF!</v>
      </c>
      <c r="E51" s="51" t="e">
        <f>VLOOKUP($A51,'Data shares'!$C:$FA,98)</f>
        <v>#REF!</v>
      </c>
      <c r="F51" s="51" t="e">
        <f>VLOOKUP($A51,'Data shares'!$C:$FA,99)</f>
        <v>#REF!</v>
      </c>
      <c r="G51" s="50" t="e">
        <f>VLOOKUP($A51,'Data shares'!$C:$FA,101)*100</f>
        <v>#REF!</v>
      </c>
      <c r="H51" s="49" t="e">
        <f>VLOOKUP($A51,'Data Vlaue (Cr)'!$C:$FB,99)</f>
        <v>#REF!</v>
      </c>
      <c r="I51" s="49" t="e">
        <f>VLOOKUP($A51,'Data Vlaue (Cr)'!$C:$FB,100)</f>
        <v>#REF!</v>
      </c>
      <c r="J51" s="49" t="e">
        <f>VLOOKUP($A51,'Data Vlaue (Cr)'!$C:$FB,102)*100</f>
        <v>#REF!</v>
      </c>
    </row>
    <row r="52" spans="1:10" x14ac:dyDescent="0.25">
      <c r="A52" s="101" t="e">
        <f>'NIFTY GRP'!#REF!</f>
        <v>#REF!</v>
      </c>
      <c r="B52" s="140" t="e">
        <f>VLOOKUP($A52,'Data shares'!$C:$FA,7)</f>
        <v>#REF!</v>
      </c>
      <c r="C52" s="140" t="e">
        <f>VLOOKUP($A52,'Data shares'!$C:$FA,3)</f>
        <v>#REF!</v>
      </c>
      <c r="D52" s="50" t="e">
        <f>VLOOKUP($A52,'Data shares'!$C:$FA,6)*100</f>
        <v>#REF!</v>
      </c>
      <c r="E52" s="51" t="e">
        <f>VLOOKUP($A52,'Data shares'!$C:$FA,98)</f>
        <v>#REF!</v>
      </c>
      <c r="F52" s="51" t="e">
        <f>VLOOKUP($A52,'Data shares'!$C:$FA,99)</f>
        <v>#REF!</v>
      </c>
      <c r="G52" s="50" t="e">
        <f>VLOOKUP($A52,'Data shares'!$C:$FA,101)*100</f>
        <v>#REF!</v>
      </c>
      <c r="H52" s="49" t="e">
        <f>VLOOKUP($A52,'Data Vlaue (Cr)'!$C:$FB,99)</f>
        <v>#REF!</v>
      </c>
      <c r="I52" s="49" t="e">
        <f>VLOOKUP($A52,'Data Vlaue (Cr)'!$C:$FB,100)</f>
        <v>#REF!</v>
      </c>
      <c r="J52" s="49" t="e">
        <f>VLOOKUP($A52,'Data Vlaue (Cr)'!$C:$FB,102)*100</f>
        <v>#REF!</v>
      </c>
    </row>
    <row r="53" spans="1:10" x14ac:dyDescent="0.25">
      <c r="A53" s="101" t="e">
        <f>'NIFTY GRP'!#REF!</f>
        <v>#REF!</v>
      </c>
      <c r="B53" s="140" t="e">
        <f>VLOOKUP($A53,'Data shares'!$C:$FA,7)</f>
        <v>#REF!</v>
      </c>
      <c r="C53" s="140" t="e">
        <f>VLOOKUP($A53,'Data shares'!$C:$FA,3)</f>
        <v>#REF!</v>
      </c>
      <c r="D53" s="50" t="e">
        <f>VLOOKUP($A53,'Data shares'!$C:$FA,6)*100</f>
        <v>#REF!</v>
      </c>
      <c r="E53" s="51" t="e">
        <f>VLOOKUP($A53,'Data shares'!$C:$FA,98)</f>
        <v>#REF!</v>
      </c>
      <c r="F53" s="51" t="e">
        <f>VLOOKUP($A53,'Data shares'!$C:$FA,99)</f>
        <v>#REF!</v>
      </c>
      <c r="G53" s="50" t="e">
        <f>VLOOKUP($A53,'Data shares'!$C:$FA,101)*100</f>
        <v>#REF!</v>
      </c>
      <c r="H53" s="49" t="e">
        <f>VLOOKUP($A53,'Data Vlaue (Cr)'!$C:$FB,99)</f>
        <v>#REF!</v>
      </c>
      <c r="I53" s="49" t="e">
        <f>VLOOKUP($A53,'Data Vlaue (Cr)'!$C:$FB,100)</f>
        <v>#REF!</v>
      </c>
      <c r="J53" s="49" t="e">
        <f>VLOOKUP($A53,'Data Vlaue (Cr)'!$C:$FB,102)*100</f>
        <v>#REF!</v>
      </c>
    </row>
    <row r="54" spans="1:10" x14ac:dyDescent="0.25">
      <c r="A54" s="101" t="e">
        <f>'NIFTY GRP'!#REF!</f>
        <v>#REF!</v>
      </c>
      <c r="B54" s="140" t="e">
        <f>VLOOKUP($A54,'Data shares'!$C:$FA,7)</f>
        <v>#REF!</v>
      </c>
      <c r="C54" s="140" t="e">
        <f>VLOOKUP($A54,'Data shares'!$C:$FA,3)</f>
        <v>#REF!</v>
      </c>
      <c r="D54" s="50" t="e">
        <f>VLOOKUP($A54,'Data shares'!$C:$FA,6)*100</f>
        <v>#REF!</v>
      </c>
      <c r="E54" s="51" t="e">
        <f>VLOOKUP($A54,'Data shares'!$C:$FA,98)</f>
        <v>#REF!</v>
      </c>
      <c r="F54" s="51" t="e">
        <f>VLOOKUP($A54,'Data shares'!$C:$FA,99)</f>
        <v>#REF!</v>
      </c>
      <c r="G54" s="50" t="e">
        <f>VLOOKUP($A54,'Data shares'!$C:$FA,101)*100</f>
        <v>#REF!</v>
      </c>
      <c r="H54" s="49" t="e">
        <f>VLOOKUP($A54,'Data Vlaue (Cr)'!$C:$FB,99)</f>
        <v>#REF!</v>
      </c>
      <c r="I54" s="49" t="e">
        <f>VLOOKUP($A54,'Data Vlaue (Cr)'!$C:$FB,100)</f>
        <v>#REF!</v>
      </c>
      <c r="J54" s="49" t="e">
        <f>VLOOKUP($A54,'Data Vlaue (Cr)'!$C:$FB,102)*100</f>
        <v>#REF!</v>
      </c>
    </row>
    <row r="55" spans="1:10" x14ac:dyDescent="0.25">
      <c r="A55" s="101" t="e">
        <f>'NIFTY GRP'!#REF!</f>
        <v>#REF!</v>
      </c>
      <c r="B55" s="140" t="e">
        <f>VLOOKUP($A55,'Data shares'!$C:$FA,7)</f>
        <v>#REF!</v>
      </c>
      <c r="C55" s="140" t="e">
        <f>VLOOKUP($A55,'Data shares'!$C:$FA,3)</f>
        <v>#REF!</v>
      </c>
      <c r="D55" s="50" t="e">
        <f>VLOOKUP($A55,'Data shares'!$C:$FA,6)*100</f>
        <v>#REF!</v>
      </c>
      <c r="E55" s="51" t="e">
        <f>VLOOKUP($A55,'Data shares'!$C:$FA,98)</f>
        <v>#REF!</v>
      </c>
      <c r="F55" s="51" t="e">
        <f>VLOOKUP($A55,'Data shares'!$C:$FA,99)</f>
        <v>#REF!</v>
      </c>
      <c r="G55" s="50" t="e">
        <f>VLOOKUP($A55,'Data shares'!$C:$FA,101)*100</f>
        <v>#REF!</v>
      </c>
      <c r="H55" s="49" t="e">
        <f>VLOOKUP($A55,'Data Vlaue (Cr)'!$C:$FB,99)</f>
        <v>#REF!</v>
      </c>
      <c r="I55" s="49" t="e">
        <f>VLOOKUP($A55,'Data Vlaue (Cr)'!$C:$FB,100)</f>
        <v>#REF!</v>
      </c>
      <c r="J55" s="49" t="e">
        <f>VLOOKUP($A55,'Data Vlaue (Cr)'!$C:$FB,102)*100</f>
        <v>#REF!</v>
      </c>
    </row>
    <row r="56" spans="1:10" x14ac:dyDescent="0.25">
      <c r="A56" s="101">
        <f>'NIFTY GRP'!C2</f>
        <v>0</v>
      </c>
      <c r="B56" s="140" t="e">
        <f>VLOOKUP($A56,'Data shares'!$C:$FA,7)</f>
        <v>#N/A</v>
      </c>
      <c r="C56" s="140" t="e">
        <f>VLOOKUP($A56,'Data shares'!$C:$FA,3)</f>
        <v>#N/A</v>
      </c>
      <c r="D56" s="50" t="e">
        <f>VLOOKUP($A56,'Data shares'!$C:$FA,6)*100</f>
        <v>#N/A</v>
      </c>
      <c r="E56" s="51" t="e">
        <f>VLOOKUP($A56,'Data shares'!$C:$FA,98)</f>
        <v>#N/A</v>
      </c>
      <c r="F56" s="51" t="e">
        <f>VLOOKUP($A56,'Data shares'!$C:$FA,99)</f>
        <v>#N/A</v>
      </c>
      <c r="G56" s="50" t="e">
        <f>VLOOKUP($A56,'Data shares'!$C:$FA,101)*100</f>
        <v>#N/A</v>
      </c>
      <c r="H56" s="49" t="e">
        <f>VLOOKUP($A56,'Data Vlaue (Cr)'!$C:$FB,99)</f>
        <v>#N/A</v>
      </c>
      <c r="I56" s="49" t="e">
        <f>VLOOKUP($A56,'Data Vlaue (Cr)'!$C:$FB,100)</f>
        <v>#N/A</v>
      </c>
      <c r="J56" s="49" t="e">
        <f>VLOOKUP($A56,'Data Vlaue (Cr)'!$C:$FB,102)*100</f>
        <v>#N/A</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t="e">
        <f>SUM(E7:E93)</f>
        <v>#REF!</v>
      </c>
      <c r="F94" s="127" t="e">
        <f>SUM(F7:F93)</f>
        <v>#REF!</v>
      </c>
      <c r="G94" s="128" t="e">
        <f>(E94-F94)/F94</f>
        <v>#REF!</v>
      </c>
      <c r="H94" s="127" t="e">
        <f>SUM(H7:H93)</f>
        <v>#REF!</v>
      </c>
      <c r="I94" s="127" t="e">
        <f>SUM(I7:I93)</f>
        <v>#REF!</v>
      </c>
      <c r="J94" s="128" t="e">
        <f>(H94-I94)/I94</f>
        <v>#REF!</v>
      </c>
    </row>
    <row r="95" spans="1:10" s="88" customFormat="1" ht="13.5" customHeight="1" x14ac:dyDescent="0.25">
      <c r="A95" s="126" t="s">
        <v>398</v>
      </c>
      <c r="B95" s="122"/>
      <c r="C95" s="122"/>
      <c r="D95" s="122"/>
      <c r="E95" s="125" t="e">
        <f>E94/10000000</f>
        <v>#REF!</v>
      </c>
      <c r="F95" s="125" t="e">
        <f>F94/10000000</f>
        <v>#REF!</v>
      </c>
      <c r="G95" s="128" t="e">
        <f>(E95-F95)/F95</f>
        <v>#REF!</v>
      </c>
      <c r="H95" s="129" t="e">
        <f>H94/10000000</f>
        <v>#REF!</v>
      </c>
      <c r="I95" s="129" t="e">
        <f>I94/10000000</f>
        <v>#REF!</v>
      </c>
      <c r="J95" s="128" t="e">
        <f>(H95-I95)/I95</f>
        <v>#REF!</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t="e">
        <f>H94</f>
        <v>#REF!</v>
      </c>
      <c r="B103" s="38" t="e">
        <f>I94</f>
        <v>#REF!</v>
      </c>
      <c r="C103" s="42" t="e">
        <f>J94</f>
        <v>#REF!</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7" activePane="bottomLeft" state="frozen"/>
      <selection pane="bottomLeft" activeCell="Q9" sqref="Q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46029</v>
      </c>
      <c r="C6" s="76" t="s">
        <v>328</v>
      </c>
      <c r="D6" s="3">
        <f>B6</f>
        <v>46029</v>
      </c>
      <c r="E6" s="76" t="s">
        <v>322</v>
      </c>
      <c r="F6" s="76" t="s">
        <v>328</v>
      </c>
      <c r="G6" s="3">
        <f>D6</f>
        <v>46029</v>
      </c>
      <c r="H6" s="76" t="s">
        <v>322</v>
      </c>
      <c r="I6" s="76" t="s">
        <v>328</v>
      </c>
      <c r="J6" s="3">
        <f>D6</f>
        <v>46029</v>
      </c>
      <c r="K6" s="76" t="s">
        <v>322</v>
      </c>
      <c r="L6" s="76" t="s">
        <v>328</v>
      </c>
      <c r="M6" s="3">
        <f>D6</f>
        <v>46029</v>
      </c>
      <c r="N6" s="76" t="s">
        <v>322</v>
      </c>
      <c r="O6" s="76" t="s">
        <v>328</v>
      </c>
    </row>
    <row r="7" spans="1:15" x14ac:dyDescent="0.25">
      <c r="A7" s="101" t="str">
        <f>'Data Vlaue (Cr)'!C2</f>
        <v>360ONE</v>
      </c>
      <c r="B7" s="50">
        <f>VLOOKUP($A7,'Data Vlaue (Cr)'!$C:$FB,8)</f>
        <v>1191.8</v>
      </c>
      <c r="C7" s="50">
        <f>VLOOKUP($A7,'Data Vlaue (Cr)'!$C:$FB,11)*100</f>
        <v>0.4</v>
      </c>
      <c r="D7" s="50">
        <f>VLOOKUP($A7,'Data Vlaue (Cr)'!$C:$FB,143)</f>
        <v>888.43</v>
      </c>
      <c r="E7" s="50">
        <f>VLOOKUP($A7,'Data Vlaue (Cr)'!$C:$FB,144)</f>
        <v>404.08</v>
      </c>
      <c r="F7" s="50">
        <f>VLOOKUP($A7,'Data Vlaue (Cr)'!$C:$FB,146)*100</f>
        <v>119.87</v>
      </c>
      <c r="G7" s="49">
        <f>VLOOKUP($A7,'Data Vlaue (Cr)'!$C:$FB,43)</f>
        <v>264</v>
      </c>
      <c r="H7" s="49">
        <f>VLOOKUP($A7,'Data Vlaue (Cr)'!$C:$FB,44)</f>
        <v>77</v>
      </c>
      <c r="I7" s="49">
        <f>VLOOKUP($A7,'Data Vlaue (Cr)'!$C:$FB,46)*100</f>
        <v>244.96000000000004</v>
      </c>
      <c r="J7" s="51">
        <f>VLOOKUP($A7,'Data Vlaue (Cr)'!$C:$FB,59)</f>
        <v>383</v>
      </c>
      <c r="K7" s="51">
        <f>VLOOKUP($A7,'Data Vlaue (Cr)'!$C:$FB,60)</f>
        <v>236</v>
      </c>
      <c r="L7" s="51">
        <f>VLOOKUP($A7,'Data Vlaue (Cr)'!$C:$FB,62)*100</f>
        <v>62.44</v>
      </c>
      <c r="M7" s="51">
        <f>VLOOKUP($A7,'Data Vlaue (Cr)'!$C:$FB,63)</f>
        <v>227</v>
      </c>
      <c r="N7" s="51">
        <f>VLOOKUP($A7,'Data Vlaue (Cr)'!$C:$FB,64)</f>
        <v>78</v>
      </c>
      <c r="O7" s="51">
        <f>VLOOKUP($A7,'Data Vlaue (Cr)'!$C:$FB,66)*100</f>
        <v>189.16</v>
      </c>
    </row>
    <row r="8" spans="1:15" x14ac:dyDescent="0.25">
      <c r="A8" s="101" t="str">
        <f>'Data Vlaue (Cr)'!C3</f>
        <v>ABB</v>
      </c>
      <c r="B8" s="50">
        <f>VLOOKUP($A8,'Data Vlaue (Cr)'!$C:$FB,8)</f>
        <v>5299</v>
      </c>
      <c r="C8" s="50">
        <f>VLOOKUP($A8,'Data Vlaue (Cr)'!$C:$FB,11)*100</f>
        <v>1.43</v>
      </c>
      <c r="D8" s="50">
        <f>VLOOKUP($A8,'Data Vlaue (Cr)'!$C:$FB,143)</f>
        <v>1517.53</v>
      </c>
      <c r="E8" s="50">
        <f>VLOOKUP($A8,'Data Vlaue (Cr)'!$C:$FB,144)</f>
        <v>869.17</v>
      </c>
      <c r="F8" s="50">
        <f>VLOOKUP($A8,'Data Vlaue (Cr)'!$C:$FB,146)*100</f>
        <v>74.59</v>
      </c>
      <c r="G8" s="49">
        <f>VLOOKUP($A8,'Data Vlaue (Cr)'!$C:$FB,43)</f>
        <v>236</v>
      </c>
      <c r="H8" s="49">
        <f>VLOOKUP($A8,'Data Vlaue (Cr)'!$C:$FB,44)</f>
        <v>154</v>
      </c>
      <c r="I8" s="49">
        <f>VLOOKUP($A8,'Data Vlaue (Cr)'!$C:$FB,46)*100</f>
        <v>52.87</v>
      </c>
      <c r="J8" s="51">
        <f>VLOOKUP($A8,'Data Vlaue (Cr)'!$C:$FB,59)</f>
        <v>1029</v>
      </c>
      <c r="K8" s="51">
        <f>VLOOKUP($A8,'Data Vlaue (Cr)'!$C:$FB,60)</f>
        <v>591</v>
      </c>
      <c r="L8" s="51">
        <f>VLOOKUP($A8,'Data Vlaue (Cr)'!$C:$FB,62)*100</f>
        <v>74.050000000000011</v>
      </c>
      <c r="M8" s="51">
        <f>VLOOKUP($A8,'Data Vlaue (Cr)'!$C:$FB,63)</f>
        <v>227</v>
      </c>
      <c r="N8" s="51">
        <f>VLOOKUP($A8,'Data Vlaue (Cr)'!$C:$FB,64)</f>
        <v>118</v>
      </c>
      <c r="O8" s="51">
        <f>VLOOKUP($A8,'Data Vlaue (Cr)'!$C:$FB,66)*100</f>
        <v>91.86</v>
      </c>
    </row>
    <row r="9" spans="1:15" x14ac:dyDescent="0.25">
      <c r="A9" s="101" t="str">
        <f>'Data Vlaue (Cr)'!C4</f>
        <v>ABCAPITAL</v>
      </c>
      <c r="B9" s="50">
        <f>VLOOKUP($A9,'Data Vlaue (Cr)'!$C:$FB,8)</f>
        <v>361.1</v>
      </c>
      <c r="C9" s="50">
        <f>VLOOKUP($A9,'Data Vlaue (Cr)'!$C:$FB,11)*100</f>
        <v>0.12</v>
      </c>
      <c r="D9" s="50">
        <f>VLOOKUP($A9,'Data Vlaue (Cr)'!$C:$FB,143)</f>
        <v>1909.31</v>
      </c>
      <c r="E9" s="50">
        <f>VLOOKUP($A9,'Data Vlaue (Cr)'!$C:$FB,144)</f>
        <v>2350.21</v>
      </c>
      <c r="F9" s="50">
        <f>VLOOKUP($A9,'Data Vlaue (Cr)'!$C:$FB,146)*100</f>
        <v>-18.759999999999998</v>
      </c>
      <c r="G9" s="49">
        <f>VLOOKUP($A9,'Data Vlaue (Cr)'!$C:$FB,43)</f>
        <v>412</v>
      </c>
      <c r="H9" s="49">
        <f>VLOOKUP($A9,'Data Vlaue (Cr)'!$C:$FB,44)</f>
        <v>398</v>
      </c>
      <c r="I9" s="49">
        <f>VLOOKUP($A9,'Data Vlaue (Cr)'!$C:$FB,46)*100</f>
        <v>3.36</v>
      </c>
      <c r="J9" s="51">
        <f>VLOOKUP($A9,'Data Vlaue (Cr)'!$C:$FB,59)</f>
        <v>1091</v>
      </c>
      <c r="K9" s="51">
        <f>VLOOKUP($A9,'Data Vlaue (Cr)'!$C:$FB,60)</f>
        <v>1472</v>
      </c>
      <c r="L9" s="51">
        <f>VLOOKUP($A9,'Data Vlaue (Cr)'!$C:$FB,62)*100</f>
        <v>-25.89</v>
      </c>
      <c r="M9" s="51">
        <f>VLOOKUP($A9,'Data Vlaue (Cr)'!$C:$FB,63)</f>
        <v>361</v>
      </c>
      <c r="N9" s="51">
        <f>VLOOKUP($A9,'Data Vlaue (Cr)'!$C:$FB,64)</f>
        <v>391</v>
      </c>
      <c r="O9" s="51">
        <f>VLOOKUP($A9,'Data Vlaue (Cr)'!$C:$FB,66)*100</f>
        <v>-7.6499999999999995</v>
      </c>
    </row>
    <row r="10" spans="1:15" x14ac:dyDescent="0.25">
      <c r="A10" s="101" t="str">
        <f>'Data Vlaue (Cr)'!C5</f>
        <v>ADANIENSOL</v>
      </c>
      <c r="B10" s="50">
        <f>VLOOKUP($A10,'Data Vlaue (Cr)'!$C:$FB,8)</f>
        <v>1033.5</v>
      </c>
      <c r="C10" s="50">
        <f>VLOOKUP($A10,'Data Vlaue (Cr)'!$C:$FB,11)*100</f>
        <v>-1.02</v>
      </c>
      <c r="D10" s="50">
        <f>VLOOKUP($A10,'Data Vlaue (Cr)'!$C:$FB,143)</f>
        <v>409.82</v>
      </c>
      <c r="E10" s="50">
        <f>VLOOKUP($A10,'Data Vlaue (Cr)'!$C:$FB,144)</f>
        <v>543.14</v>
      </c>
      <c r="F10" s="50">
        <f>VLOOKUP($A10,'Data Vlaue (Cr)'!$C:$FB,146)*100</f>
        <v>-24.55</v>
      </c>
      <c r="G10" s="49">
        <f>VLOOKUP($A10,'Data Vlaue (Cr)'!$C:$FB,43)</f>
        <v>90</v>
      </c>
      <c r="H10" s="49">
        <f>VLOOKUP($A10,'Data Vlaue (Cr)'!$C:$FB,44)</f>
        <v>151</v>
      </c>
      <c r="I10" s="49">
        <f>VLOOKUP($A10,'Data Vlaue (Cr)'!$C:$FB,46)*100</f>
        <v>-40.53</v>
      </c>
      <c r="J10" s="51">
        <f>VLOOKUP($A10,'Data Vlaue (Cr)'!$C:$FB,59)</f>
        <v>247</v>
      </c>
      <c r="K10" s="51">
        <f>VLOOKUP($A10,'Data Vlaue (Cr)'!$C:$FB,60)</f>
        <v>242</v>
      </c>
      <c r="L10" s="51">
        <f>VLOOKUP($A10,'Data Vlaue (Cr)'!$C:$FB,62)*100</f>
        <v>1.9900000000000002</v>
      </c>
      <c r="M10" s="51">
        <f>VLOOKUP($A10,'Data Vlaue (Cr)'!$C:$FB,63)</f>
        <v>58</v>
      </c>
      <c r="N10" s="51">
        <f>VLOOKUP($A10,'Data Vlaue (Cr)'!$C:$FB,64)</f>
        <v>133</v>
      </c>
      <c r="O10" s="51">
        <f>VLOOKUP($A10,'Data Vlaue (Cr)'!$C:$FB,66)*100</f>
        <v>-56.410000000000004</v>
      </c>
    </row>
    <row r="11" spans="1:15" x14ac:dyDescent="0.25">
      <c r="A11" s="101" t="str">
        <f>'Data Vlaue (Cr)'!C6</f>
        <v>ADANIENT</v>
      </c>
      <c r="B11" s="50">
        <f>VLOOKUP($A11,'Data Vlaue (Cr)'!$C:$FB,8)</f>
        <v>2274.1</v>
      </c>
      <c r="C11" s="50">
        <f>VLOOKUP($A11,'Data Vlaue (Cr)'!$C:$FB,11)*100</f>
        <v>0.66</v>
      </c>
      <c r="D11" s="50">
        <f>VLOOKUP($A11,'Data Vlaue (Cr)'!$C:$FB,143)</f>
        <v>2297.96</v>
      </c>
      <c r="E11" s="50">
        <f>VLOOKUP($A11,'Data Vlaue (Cr)'!$C:$FB,144)</f>
        <v>2331.59</v>
      </c>
      <c r="F11" s="50">
        <f>VLOOKUP($A11,'Data Vlaue (Cr)'!$C:$FB,146)*100</f>
        <v>-1.44</v>
      </c>
      <c r="G11" s="49">
        <f>VLOOKUP($A11,'Data Vlaue (Cr)'!$C:$FB,43)</f>
        <v>396</v>
      </c>
      <c r="H11" s="49">
        <f>VLOOKUP($A11,'Data Vlaue (Cr)'!$C:$FB,44)</f>
        <v>362</v>
      </c>
      <c r="I11" s="49">
        <f>VLOOKUP($A11,'Data Vlaue (Cr)'!$C:$FB,46)*100</f>
        <v>9.48</v>
      </c>
      <c r="J11" s="51">
        <f>VLOOKUP($A11,'Data Vlaue (Cr)'!$C:$FB,59)</f>
        <v>1319</v>
      </c>
      <c r="K11" s="51">
        <f>VLOOKUP($A11,'Data Vlaue (Cr)'!$C:$FB,60)</f>
        <v>1106</v>
      </c>
      <c r="L11" s="51">
        <f>VLOOKUP($A11,'Data Vlaue (Cr)'!$C:$FB,62)*100</f>
        <v>19.25</v>
      </c>
      <c r="M11" s="51">
        <f>VLOOKUP($A11,'Data Vlaue (Cr)'!$C:$FB,63)</f>
        <v>546</v>
      </c>
      <c r="N11" s="51">
        <f>VLOOKUP($A11,'Data Vlaue (Cr)'!$C:$FB,64)</f>
        <v>831</v>
      </c>
      <c r="O11" s="51">
        <f>VLOOKUP($A11,'Data Vlaue (Cr)'!$C:$FB,66)*100</f>
        <v>-34.35</v>
      </c>
    </row>
    <row r="12" spans="1:15" x14ac:dyDescent="0.25">
      <c r="A12" s="101" t="str">
        <f>'Data Vlaue (Cr)'!C7</f>
        <v>ADANIGREEN</v>
      </c>
      <c r="B12" s="50">
        <f>VLOOKUP($A12,'Data Vlaue (Cr)'!$C:$FB,8)</f>
        <v>1019.2</v>
      </c>
      <c r="C12" s="50">
        <f>VLOOKUP($A12,'Data Vlaue (Cr)'!$C:$FB,11)*100</f>
        <v>-0.02</v>
      </c>
      <c r="D12" s="50">
        <f>VLOOKUP($A12,'Data Vlaue (Cr)'!$C:$FB,143)</f>
        <v>546.19000000000005</v>
      </c>
      <c r="E12" s="50">
        <f>VLOOKUP($A12,'Data Vlaue (Cr)'!$C:$FB,144)</f>
        <v>750.47</v>
      </c>
      <c r="F12" s="50">
        <f>VLOOKUP($A12,'Data Vlaue (Cr)'!$C:$FB,146)*100</f>
        <v>-27.22</v>
      </c>
      <c r="G12" s="49">
        <f>VLOOKUP($A12,'Data Vlaue (Cr)'!$C:$FB,43)</f>
        <v>126</v>
      </c>
      <c r="H12" s="49">
        <f>VLOOKUP($A12,'Data Vlaue (Cr)'!$C:$FB,44)</f>
        <v>207</v>
      </c>
      <c r="I12" s="49">
        <f>VLOOKUP($A12,'Data Vlaue (Cr)'!$C:$FB,46)*100</f>
        <v>-39.290000000000006</v>
      </c>
      <c r="J12" s="51">
        <f>VLOOKUP($A12,'Data Vlaue (Cr)'!$C:$FB,59)</f>
        <v>323</v>
      </c>
      <c r="K12" s="51">
        <f>VLOOKUP($A12,'Data Vlaue (Cr)'!$C:$FB,60)</f>
        <v>382</v>
      </c>
      <c r="L12" s="51">
        <f>VLOOKUP($A12,'Data Vlaue (Cr)'!$C:$FB,62)*100</f>
        <v>-15.459999999999999</v>
      </c>
      <c r="M12" s="51">
        <f>VLOOKUP($A12,'Data Vlaue (Cr)'!$C:$FB,63)</f>
        <v>78</v>
      </c>
      <c r="N12" s="51">
        <f>VLOOKUP($A12,'Data Vlaue (Cr)'!$C:$FB,64)</f>
        <v>130</v>
      </c>
      <c r="O12" s="51">
        <f>VLOOKUP($A12,'Data Vlaue (Cr)'!$C:$FB,66)*100</f>
        <v>-39.76</v>
      </c>
    </row>
    <row r="13" spans="1:15" x14ac:dyDescent="0.25">
      <c r="A13" s="101" t="str">
        <f>'Data Vlaue (Cr)'!C8</f>
        <v>ADANIPORTS</v>
      </c>
      <c r="B13" s="50">
        <f>VLOOKUP($A13,'Data Vlaue (Cr)'!$C:$FB,8)</f>
        <v>1465.3</v>
      </c>
      <c r="C13" s="50">
        <f>VLOOKUP($A13,'Data Vlaue (Cr)'!$C:$FB,11)*100</f>
        <v>-0.54</v>
      </c>
      <c r="D13" s="50">
        <f>VLOOKUP($A13,'Data Vlaue (Cr)'!$C:$FB,143)</f>
        <v>2037.23</v>
      </c>
      <c r="E13" s="50">
        <f>VLOOKUP($A13,'Data Vlaue (Cr)'!$C:$FB,144)</f>
        <v>2491.2399999999998</v>
      </c>
      <c r="F13" s="50">
        <f>VLOOKUP($A13,'Data Vlaue (Cr)'!$C:$FB,146)*100</f>
        <v>-18.22</v>
      </c>
      <c r="G13" s="49">
        <f>VLOOKUP($A13,'Data Vlaue (Cr)'!$C:$FB,43)</f>
        <v>357</v>
      </c>
      <c r="H13" s="49">
        <f>VLOOKUP($A13,'Data Vlaue (Cr)'!$C:$FB,44)</f>
        <v>365</v>
      </c>
      <c r="I13" s="49">
        <f>VLOOKUP($A13,'Data Vlaue (Cr)'!$C:$FB,46)*100</f>
        <v>-2.0699999999999998</v>
      </c>
      <c r="J13" s="51">
        <f>VLOOKUP($A13,'Data Vlaue (Cr)'!$C:$FB,59)</f>
        <v>1033</v>
      </c>
      <c r="K13" s="51">
        <f>VLOOKUP($A13,'Data Vlaue (Cr)'!$C:$FB,60)</f>
        <v>1299</v>
      </c>
      <c r="L13" s="51">
        <f>VLOOKUP($A13,'Data Vlaue (Cr)'!$C:$FB,62)*100</f>
        <v>-20.47</v>
      </c>
      <c r="M13" s="51">
        <f>VLOOKUP($A13,'Data Vlaue (Cr)'!$C:$FB,63)</f>
        <v>609</v>
      </c>
      <c r="N13" s="51">
        <f>VLOOKUP($A13,'Data Vlaue (Cr)'!$C:$FB,64)</f>
        <v>764</v>
      </c>
      <c r="O13" s="51">
        <f>VLOOKUP($A13,'Data Vlaue (Cr)'!$C:$FB,66)*100</f>
        <v>-20.260000000000002</v>
      </c>
    </row>
    <row r="14" spans="1:15" x14ac:dyDescent="0.25">
      <c r="A14" s="101" t="str">
        <f>'Data Vlaue (Cr)'!C9</f>
        <v>ALKEM</v>
      </c>
      <c r="B14" s="50">
        <f>VLOOKUP($A14,'Data Vlaue (Cr)'!$C:$FB,8)</f>
        <v>5806.5</v>
      </c>
      <c r="C14" s="50">
        <f>VLOOKUP($A14,'Data Vlaue (Cr)'!$C:$FB,11)*100</f>
        <v>2.67</v>
      </c>
      <c r="D14" s="50">
        <f>VLOOKUP($A14,'Data Vlaue (Cr)'!$C:$FB,143)</f>
        <v>1217.32</v>
      </c>
      <c r="E14" s="50">
        <f>VLOOKUP($A14,'Data Vlaue (Cr)'!$C:$FB,144)</f>
        <v>373.48</v>
      </c>
      <c r="F14" s="50">
        <f>VLOOKUP($A14,'Data Vlaue (Cr)'!$C:$FB,146)*100</f>
        <v>225.94</v>
      </c>
      <c r="G14" s="49">
        <f>VLOOKUP($A14,'Data Vlaue (Cr)'!$C:$FB,43)</f>
        <v>190</v>
      </c>
      <c r="H14" s="49">
        <f>VLOOKUP($A14,'Data Vlaue (Cr)'!$C:$FB,44)</f>
        <v>88</v>
      </c>
      <c r="I14" s="49">
        <f>VLOOKUP($A14,'Data Vlaue (Cr)'!$C:$FB,46)*100</f>
        <v>115.07000000000001</v>
      </c>
      <c r="J14" s="51">
        <f>VLOOKUP($A14,'Data Vlaue (Cr)'!$C:$FB,59)</f>
        <v>866</v>
      </c>
      <c r="K14" s="51">
        <f>VLOOKUP($A14,'Data Vlaue (Cr)'!$C:$FB,60)</f>
        <v>241</v>
      </c>
      <c r="L14" s="51">
        <f>VLOOKUP($A14,'Data Vlaue (Cr)'!$C:$FB,62)*100</f>
        <v>259.41000000000003</v>
      </c>
      <c r="M14" s="51">
        <f>VLOOKUP($A14,'Data Vlaue (Cr)'!$C:$FB,63)</f>
        <v>146</v>
      </c>
      <c r="N14" s="51">
        <f>VLOOKUP($A14,'Data Vlaue (Cr)'!$C:$FB,64)</f>
        <v>50</v>
      </c>
      <c r="O14" s="51">
        <f>VLOOKUP($A14,'Data Vlaue (Cr)'!$C:$FB,66)*100</f>
        <v>190.88</v>
      </c>
    </row>
    <row r="15" spans="1:15" x14ac:dyDescent="0.25">
      <c r="A15" s="101" t="str">
        <f>'Data Vlaue (Cr)'!C10</f>
        <v>AMBER</v>
      </c>
      <c r="B15" s="50">
        <f>VLOOKUP($A15,'Data Vlaue (Cr)'!$C:$FB,8)</f>
        <v>6653</v>
      </c>
      <c r="C15" s="50">
        <f>VLOOKUP($A15,'Data Vlaue (Cr)'!$C:$FB,11)*100</f>
        <v>-0.80999999999999994</v>
      </c>
      <c r="D15" s="50">
        <f>VLOOKUP($A15,'Data Vlaue (Cr)'!$C:$FB,143)</f>
        <v>437.76</v>
      </c>
      <c r="E15" s="50">
        <f>VLOOKUP($A15,'Data Vlaue (Cr)'!$C:$FB,144)</f>
        <v>936.55</v>
      </c>
      <c r="F15" s="50">
        <f>VLOOKUP($A15,'Data Vlaue (Cr)'!$C:$FB,146)*100</f>
        <v>-53.26</v>
      </c>
      <c r="G15" s="49">
        <f>VLOOKUP($A15,'Data Vlaue (Cr)'!$C:$FB,43)</f>
        <v>78</v>
      </c>
      <c r="H15" s="49">
        <f>VLOOKUP($A15,'Data Vlaue (Cr)'!$C:$FB,44)</f>
        <v>157</v>
      </c>
      <c r="I15" s="49">
        <f>VLOOKUP($A15,'Data Vlaue (Cr)'!$C:$FB,46)*100</f>
        <v>-50.28</v>
      </c>
      <c r="J15" s="51">
        <f>VLOOKUP($A15,'Data Vlaue (Cr)'!$C:$FB,59)</f>
        <v>236</v>
      </c>
      <c r="K15" s="51">
        <f>VLOOKUP($A15,'Data Vlaue (Cr)'!$C:$FB,60)</f>
        <v>409</v>
      </c>
      <c r="L15" s="51">
        <f>VLOOKUP($A15,'Data Vlaue (Cr)'!$C:$FB,62)*100</f>
        <v>-42.26</v>
      </c>
      <c r="M15" s="51">
        <f>VLOOKUP($A15,'Data Vlaue (Cr)'!$C:$FB,63)</f>
        <v>114</v>
      </c>
      <c r="N15" s="51">
        <f>VLOOKUP($A15,'Data Vlaue (Cr)'!$C:$FB,64)</f>
        <v>355</v>
      </c>
      <c r="O15" s="51">
        <f>VLOOKUP($A15,'Data Vlaue (Cr)'!$C:$FB,66)*100</f>
        <v>-67.789999999999992</v>
      </c>
    </row>
    <row r="16" spans="1:15" x14ac:dyDescent="0.25">
      <c r="A16" s="101" t="str">
        <f>'Data Vlaue (Cr)'!C11</f>
        <v>AMBUJACEM</v>
      </c>
      <c r="B16" s="50">
        <f>VLOOKUP($A16,'Data Vlaue (Cr)'!$C:$FB,8)</f>
        <v>562</v>
      </c>
      <c r="C16" s="50">
        <f>VLOOKUP($A16,'Data Vlaue (Cr)'!$C:$FB,11)*100</f>
        <v>-0.27999999999999997</v>
      </c>
      <c r="D16" s="50">
        <f>VLOOKUP($A16,'Data Vlaue (Cr)'!$C:$FB,143)</f>
        <v>717.27</v>
      </c>
      <c r="E16" s="50">
        <f>VLOOKUP($A16,'Data Vlaue (Cr)'!$C:$FB,144)</f>
        <v>951.7</v>
      </c>
      <c r="F16" s="50">
        <f>VLOOKUP($A16,'Data Vlaue (Cr)'!$C:$FB,146)*100</f>
        <v>-24.63</v>
      </c>
      <c r="G16" s="49">
        <f>VLOOKUP($A16,'Data Vlaue (Cr)'!$C:$FB,43)</f>
        <v>224</v>
      </c>
      <c r="H16" s="49">
        <f>VLOOKUP($A16,'Data Vlaue (Cr)'!$C:$FB,44)</f>
        <v>288</v>
      </c>
      <c r="I16" s="49">
        <f>VLOOKUP($A16,'Data Vlaue (Cr)'!$C:$FB,46)*100</f>
        <v>-22.14</v>
      </c>
      <c r="J16" s="51">
        <f>VLOOKUP($A16,'Data Vlaue (Cr)'!$C:$FB,59)</f>
        <v>331</v>
      </c>
      <c r="K16" s="51">
        <f>VLOOKUP($A16,'Data Vlaue (Cr)'!$C:$FB,60)</f>
        <v>392</v>
      </c>
      <c r="L16" s="51">
        <f>VLOOKUP($A16,'Data Vlaue (Cr)'!$C:$FB,62)*100</f>
        <v>-15.49</v>
      </c>
      <c r="M16" s="51">
        <f>VLOOKUP($A16,'Data Vlaue (Cr)'!$C:$FB,63)</f>
        <v>151</v>
      </c>
      <c r="N16" s="51">
        <f>VLOOKUP($A16,'Data Vlaue (Cr)'!$C:$FB,64)</f>
        <v>253</v>
      </c>
      <c r="O16" s="51">
        <f>VLOOKUP($A16,'Data Vlaue (Cr)'!$C:$FB,66)*100</f>
        <v>-40.53</v>
      </c>
    </row>
    <row r="17" spans="1:15" x14ac:dyDescent="0.25">
      <c r="A17" s="101" t="str">
        <f>'Data Vlaue (Cr)'!C12</f>
        <v>ANGELONE</v>
      </c>
      <c r="B17" s="50">
        <f>VLOOKUP($A17,'Data Vlaue (Cr)'!$C:$FB,8)</f>
        <v>2470.6</v>
      </c>
      <c r="C17" s="50">
        <f>VLOOKUP($A17,'Data Vlaue (Cr)'!$C:$FB,11)*100</f>
        <v>2.46</v>
      </c>
      <c r="D17" s="50">
        <f>VLOOKUP($A17,'Data Vlaue (Cr)'!$C:$FB,143)</f>
        <v>1875.62</v>
      </c>
      <c r="E17" s="50">
        <f>VLOOKUP($A17,'Data Vlaue (Cr)'!$C:$FB,144)</f>
        <v>1573.15</v>
      </c>
      <c r="F17" s="50">
        <f>VLOOKUP($A17,'Data Vlaue (Cr)'!$C:$FB,146)*100</f>
        <v>19.23</v>
      </c>
      <c r="G17" s="49">
        <f>VLOOKUP($A17,'Data Vlaue (Cr)'!$C:$FB,43)</f>
        <v>282</v>
      </c>
      <c r="H17" s="49">
        <f>VLOOKUP($A17,'Data Vlaue (Cr)'!$C:$FB,44)</f>
        <v>215</v>
      </c>
      <c r="I17" s="49">
        <f>VLOOKUP($A17,'Data Vlaue (Cr)'!$C:$FB,46)*100</f>
        <v>31.080000000000002</v>
      </c>
      <c r="J17" s="51">
        <f>VLOOKUP($A17,'Data Vlaue (Cr)'!$C:$FB,59)</f>
        <v>965</v>
      </c>
      <c r="K17" s="51">
        <f>VLOOKUP($A17,'Data Vlaue (Cr)'!$C:$FB,60)</f>
        <v>885</v>
      </c>
      <c r="L17" s="51">
        <f>VLOOKUP($A17,'Data Vlaue (Cr)'!$C:$FB,62)*100</f>
        <v>9.0499999999999989</v>
      </c>
      <c r="M17" s="51">
        <f>VLOOKUP($A17,'Data Vlaue (Cr)'!$C:$FB,63)</f>
        <v>601</v>
      </c>
      <c r="N17" s="51">
        <f>VLOOKUP($A17,'Data Vlaue (Cr)'!$C:$FB,64)</f>
        <v>457</v>
      </c>
      <c r="O17" s="51">
        <f>VLOOKUP($A17,'Data Vlaue (Cr)'!$C:$FB,66)*100</f>
        <v>31.28</v>
      </c>
    </row>
    <row r="18" spans="1:15" x14ac:dyDescent="0.25">
      <c r="A18" s="101" t="str">
        <f>'Data Vlaue (Cr)'!C13</f>
        <v>APLAPOLLO</v>
      </c>
      <c r="B18" s="50">
        <f>VLOOKUP($A18,'Data Vlaue (Cr)'!$C:$FB,8)</f>
        <v>1949.8</v>
      </c>
      <c r="C18" s="50">
        <f>VLOOKUP($A18,'Data Vlaue (Cr)'!$C:$FB,11)*100</f>
        <v>0.1</v>
      </c>
      <c r="D18" s="50">
        <f>VLOOKUP($A18,'Data Vlaue (Cr)'!$C:$FB,143)</f>
        <v>184.31</v>
      </c>
      <c r="E18" s="50">
        <f>VLOOKUP($A18,'Data Vlaue (Cr)'!$C:$FB,144)</f>
        <v>356.12</v>
      </c>
      <c r="F18" s="50">
        <f>VLOOKUP($A18,'Data Vlaue (Cr)'!$C:$FB,146)*100</f>
        <v>-48.25</v>
      </c>
      <c r="G18" s="49">
        <f>VLOOKUP($A18,'Data Vlaue (Cr)'!$C:$FB,43)</f>
        <v>72</v>
      </c>
      <c r="H18" s="49">
        <f>VLOOKUP($A18,'Data Vlaue (Cr)'!$C:$FB,44)</f>
        <v>135</v>
      </c>
      <c r="I18" s="49">
        <f>VLOOKUP($A18,'Data Vlaue (Cr)'!$C:$FB,46)*100</f>
        <v>-46.379999999999995</v>
      </c>
      <c r="J18" s="51">
        <f>VLOOKUP($A18,'Data Vlaue (Cr)'!$C:$FB,59)</f>
        <v>89</v>
      </c>
      <c r="K18" s="51">
        <f>VLOOKUP($A18,'Data Vlaue (Cr)'!$C:$FB,60)</f>
        <v>172</v>
      </c>
      <c r="L18" s="51">
        <f>VLOOKUP($A18,'Data Vlaue (Cr)'!$C:$FB,62)*100</f>
        <v>-48.51</v>
      </c>
      <c r="M18" s="51">
        <f>VLOOKUP($A18,'Data Vlaue (Cr)'!$C:$FB,63)</f>
        <v>20</v>
      </c>
      <c r="N18" s="51">
        <f>VLOOKUP($A18,'Data Vlaue (Cr)'!$C:$FB,64)</f>
        <v>41</v>
      </c>
      <c r="O18" s="51">
        <f>VLOOKUP($A18,'Data Vlaue (Cr)'!$C:$FB,66)*100</f>
        <v>-52.23</v>
      </c>
    </row>
    <row r="19" spans="1:15" x14ac:dyDescent="0.25">
      <c r="A19" s="101" t="str">
        <f>'Data Vlaue (Cr)'!C14</f>
        <v>APOLLOHOSP</v>
      </c>
      <c r="B19" s="50">
        <f>VLOOKUP($A19,'Data Vlaue (Cr)'!$C:$FB,8)</f>
        <v>7447.5</v>
      </c>
      <c r="C19" s="50">
        <f>VLOOKUP($A19,'Data Vlaue (Cr)'!$C:$FB,11)*100</f>
        <v>1.35</v>
      </c>
      <c r="D19" s="50">
        <f>VLOOKUP($A19,'Data Vlaue (Cr)'!$C:$FB,143)</f>
        <v>9007.0499999999993</v>
      </c>
      <c r="E19" s="50">
        <f>VLOOKUP($A19,'Data Vlaue (Cr)'!$C:$FB,144)</f>
        <v>9426.9599999999991</v>
      </c>
      <c r="F19" s="50">
        <f>VLOOKUP($A19,'Data Vlaue (Cr)'!$C:$FB,146)*100</f>
        <v>-4.45</v>
      </c>
      <c r="G19" s="49">
        <f>VLOOKUP($A19,'Data Vlaue (Cr)'!$C:$FB,43)</f>
        <v>662</v>
      </c>
      <c r="H19" s="49">
        <f>VLOOKUP($A19,'Data Vlaue (Cr)'!$C:$FB,44)</f>
        <v>737</v>
      </c>
      <c r="I19" s="49">
        <f>VLOOKUP($A19,'Data Vlaue (Cr)'!$C:$FB,46)*100</f>
        <v>-10.100000000000001</v>
      </c>
      <c r="J19" s="51">
        <f>VLOOKUP($A19,'Data Vlaue (Cr)'!$C:$FB,59)</f>
        <v>5907</v>
      </c>
      <c r="K19" s="51">
        <f>VLOOKUP($A19,'Data Vlaue (Cr)'!$C:$FB,60)</f>
        <v>6621</v>
      </c>
      <c r="L19" s="51">
        <f>VLOOKUP($A19,'Data Vlaue (Cr)'!$C:$FB,62)*100</f>
        <v>-10.79</v>
      </c>
      <c r="M19" s="51">
        <f>VLOOKUP($A19,'Data Vlaue (Cr)'!$C:$FB,63)</f>
        <v>2326</v>
      </c>
      <c r="N19" s="51">
        <f>VLOOKUP($A19,'Data Vlaue (Cr)'!$C:$FB,64)</f>
        <v>2146</v>
      </c>
      <c r="O19" s="51">
        <f>VLOOKUP($A19,'Data Vlaue (Cr)'!$C:$FB,66)*100</f>
        <v>8.41</v>
      </c>
    </row>
    <row r="20" spans="1:15" x14ac:dyDescent="0.25">
      <c r="A20" s="101" t="str">
        <f>'Data Vlaue (Cr)'!C15</f>
        <v>ASHOKLEY</v>
      </c>
      <c r="B20" s="50">
        <f>VLOOKUP($A20,'Data Vlaue (Cr)'!$C:$FB,8)</f>
        <v>186.12</v>
      </c>
      <c r="C20" s="50">
        <f>VLOOKUP($A20,'Data Vlaue (Cr)'!$C:$FB,11)*100</f>
        <v>-0.02</v>
      </c>
      <c r="D20" s="50">
        <f>VLOOKUP($A20,'Data Vlaue (Cr)'!$C:$FB,143)</f>
        <v>1451.15</v>
      </c>
      <c r="E20" s="50">
        <f>VLOOKUP($A20,'Data Vlaue (Cr)'!$C:$FB,144)</f>
        <v>1788.59</v>
      </c>
      <c r="F20" s="50">
        <f>VLOOKUP($A20,'Data Vlaue (Cr)'!$C:$FB,146)*100</f>
        <v>-18.87</v>
      </c>
      <c r="G20" s="49">
        <f>VLOOKUP($A20,'Data Vlaue (Cr)'!$C:$FB,43)</f>
        <v>358</v>
      </c>
      <c r="H20" s="49">
        <f>VLOOKUP($A20,'Data Vlaue (Cr)'!$C:$FB,44)</f>
        <v>286</v>
      </c>
      <c r="I20" s="49">
        <f>VLOOKUP($A20,'Data Vlaue (Cr)'!$C:$FB,46)*100</f>
        <v>25.259999999999998</v>
      </c>
      <c r="J20" s="51">
        <f>VLOOKUP($A20,'Data Vlaue (Cr)'!$C:$FB,59)</f>
        <v>678</v>
      </c>
      <c r="K20" s="51">
        <f>VLOOKUP($A20,'Data Vlaue (Cr)'!$C:$FB,60)</f>
        <v>1048</v>
      </c>
      <c r="L20" s="51">
        <f>VLOOKUP($A20,'Data Vlaue (Cr)'!$C:$FB,62)*100</f>
        <v>-35.28</v>
      </c>
      <c r="M20" s="51">
        <f>VLOOKUP($A20,'Data Vlaue (Cr)'!$C:$FB,63)</f>
        <v>399</v>
      </c>
      <c r="N20" s="51">
        <f>VLOOKUP($A20,'Data Vlaue (Cr)'!$C:$FB,64)</f>
        <v>414</v>
      </c>
      <c r="O20" s="51">
        <f>VLOOKUP($A20,'Data Vlaue (Cr)'!$C:$FB,66)*100</f>
        <v>-3.74</v>
      </c>
    </row>
    <row r="21" spans="1:15" x14ac:dyDescent="0.25">
      <c r="A21" s="101" t="str">
        <f>'Data Vlaue (Cr)'!C16</f>
        <v>ASIANPAINT</v>
      </c>
      <c r="B21" s="50">
        <f>VLOOKUP($A21,'Data Vlaue (Cr)'!$C:$FB,8)</f>
        <v>2809.4</v>
      </c>
      <c r="C21" s="50">
        <f>VLOOKUP($A21,'Data Vlaue (Cr)'!$C:$FB,11)*100</f>
        <v>-1.28</v>
      </c>
      <c r="D21" s="50">
        <f>VLOOKUP($A21,'Data Vlaue (Cr)'!$C:$FB,143)</f>
        <v>2637.6</v>
      </c>
      <c r="E21" s="50">
        <f>VLOOKUP($A21,'Data Vlaue (Cr)'!$C:$FB,144)</f>
        <v>3630.22</v>
      </c>
      <c r="F21" s="50">
        <f>VLOOKUP($A21,'Data Vlaue (Cr)'!$C:$FB,146)*100</f>
        <v>-27.339999999999996</v>
      </c>
      <c r="G21" s="49">
        <f>VLOOKUP($A21,'Data Vlaue (Cr)'!$C:$FB,43)</f>
        <v>291</v>
      </c>
      <c r="H21" s="49">
        <f>VLOOKUP($A21,'Data Vlaue (Cr)'!$C:$FB,44)</f>
        <v>357</v>
      </c>
      <c r="I21" s="49">
        <f>VLOOKUP($A21,'Data Vlaue (Cr)'!$C:$FB,46)*100</f>
        <v>-18.399999999999999</v>
      </c>
      <c r="J21" s="51">
        <f>VLOOKUP($A21,'Data Vlaue (Cr)'!$C:$FB,59)</f>
        <v>1442</v>
      </c>
      <c r="K21" s="51">
        <f>VLOOKUP($A21,'Data Vlaue (Cr)'!$C:$FB,60)</f>
        <v>2153</v>
      </c>
      <c r="L21" s="51">
        <f>VLOOKUP($A21,'Data Vlaue (Cr)'!$C:$FB,62)*100</f>
        <v>-33.03</v>
      </c>
      <c r="M21" s="51">
        <f>VLOOKUP($A21,'Data Vlaue (Cr)'!$C:$FB,63)</f>
        <v>845</v>
      </c>
      <c r="N21" s="51">
        <f>VLOOKUP($A21,'Data Vlaue (Cr)'!$C:$FB,64)</f>
        <v>1028</v>
      </c>
      <c r="O21" s="51">
        <f>VLOOKUP($A21,'Data Vlaue (Cr)'!$C:$FB,66)*100</f>
        <v>-17.8</v>
      </c>
    </row>
    <row r="22" spans="1:15" x14ac:dyDescent="0.25">
      <c r="A22" s="101" t="str">
        <f>'Data Vlaue (Cr)'!C17</f>
        <v>ASTRAL</v>
      </c>
      <c r="B22" s="50">
        <f>VLOOKUP($A22,'Data Vlaue (Cr)'!$C:$FB,8)</f>
        <v>1502.6</v>
      </c>
      <c r="C22" s="50">
        <f>VLOOKUP($A22,'Data Vlaue (Cr)'!$C:$FB,11)*100</f>
        <v>1.04</v>
      </c>
      <c r="D22" s="50">
        <f>VLOOKUP($A22,'Data Vlaue (Cr)'!$C:$FB,143)</f>
        <v>1498.24</v>
      </c>
      <c r="E22" s="50">
        <f>VLOOKUP($A22,'Data Vlaue (Cr)'!$C:$FB,144)</f>
        <v>507.52</v>
      </c>
      <c r="F22" s="50">
        <f>VLOOKUP($A22,'Data Vlaue (Cr)'!$C:$FB,146)*100</f>
        <v>195.21</v>
      </c>
      <c r="G22" s="49">
        <f>VLOOKUP($A22,'Data Vlaue (Cr)'!$C:$FB,43)</f>
        <v>416</v>
      </c>
      <c r="H22" s="49">
        <f>VLOOKUP($A22,'Data Vlaue (Cr)'!$C:$FB,44)</f>
        <v>128</v>
      </c>
      <c r="I22" s="49">
        <f>VLOOKUP($A22,'Data Vlaue (Cr)'!$C:$FB,46)*100</f>
        <v>224.22</v>
      </c>
      <c r="J22" s="51">
        <f>VLOOKUP($A22,'Data Vlaue (Cr)'!$C:$FB,59)</f>
        <v>699</v>
      </c>
      <c r="K22" s="51">
        <f>VLOOKUP($A22,'Data Vlaue (Cr)'!$C:$FB,60)</f>
        <v>247</v>
      </c>
      <c r="L22" s="51">
        <f>VLOOKUP($A22,'Data Vlaue (Cr)'!$C:$FB,62)*100</f>
        <v>182.58</v>
      </c>
      <c r="M22" s="51">
        <f>VLOOKUP($A22,'Data Vlaue (Cr)'!$C:$FB,63)</f>
        <v>365</v>
      </c>
      <c r="N22" s="51">
        <f>VLOOKUP($A22,'Data Vlaue (Cr)'!$C:$FB,64)</f>
        <v>126</v>
      </c>
      <c r="O22" s="51">
        <f>VLOOKUP($A22,'Data Vlaue (Cr)'!$C:$FB,66)*100</f>
        <v>189.56</v>
      </c>
    </row>
    <row r="23" spans="1:15" x14ac:dyDescent="0.25">
      <c r="A23" s="101" t="str">
        <f>'Data Vlaue (Cr)'!C18</f>
        <v>AUBANK</v>
      </c>
      <c r="B23" s="50">
        <f>VLOOKUP($A23,'Data Vlaue (Cr)'!$C:$FB,8)</f>
        <v>1004.55</v>
      </c>
      <c r="C23" s="50">
        <f>VLOOKUP($A23,'Data Vlaue (Cr)'!$C:$FB,11)*100</f>
        <v>-0.42</v>
      </c>
      <c r="D23" s="50">
        <f>VLOOKUP($A23,'Data Vlaue (Cr)'!$C:$FB,143)</f>
        <v>769.66</v>
      </c>
      <c r="E23" s="50">
        <f>VLOOKUP($A23,'Data Vlaue (Cr)'!$C:$FB,144)</f>
        <v>795.62</v>
      </c>
      <c r="F23" s="50">
        <f>VLOOKUP($A23,'Data Vlaue (Cr)'!$C:$FB,146)*100</f>
        <v>-3.26</v>
      </c>
      <c r="G23" s="49">
        <f>VLOOKUP($A23,'Data Vlaue (Cr)'!$C:$FB,43)</f>
        <v>247</v>
      </c>
      <c r="H23" s="49">
        <f>VLOOKUP($A23,'Data Vlaue (Cr)'!$C:$FB,44)</f>
        <v>223</v>
      </c>
      <c r="I23" s="49">
        <f>VLOOKUP($A23,'Data Vlaue (Cr)'!$C:$FB,46)*100</f>
        <v>10.71</v>
      </c>
      <c r="J23" s="51">
        <f>VLOOKUP($A23,'Data Vlaue (Cr)'!$C:$FB,59)</f>
        <v>315</v>
      </c>
      <c r="K23" s="51">
        <f>VLOOKUP($A23,'Data Vlaue (Cr)'!$C:$FB,60)</f>
        <v>325</v>
      </c>
      <c r="L23" s="51">
        <f>VLOOKUP($A23,'Data Vlaue (Cr)'!$C:$FB,62)*100</f>
        <v>-3.01</v>
      </c>
      <c r="M23" s="51">
        <f>VLOOKUP($A23,'Data Vlaue (Cr)'!$C:$FB,63)</f>
        <v>194</v>
      </c>
      <c r="N23" s="51">
        <f>VLOOKUP($A23,'Data Vlaue (Cr)'!$C:$FB,64)</f>
        <v>233</v>
      </c>
      <c r="O23" s="51">
        <f>VLOOKUP($A23,'Data Vlaue (Cr)'!$C:$FB,66)*100</f>
        <v>-16.619999999999997</v>
      </c>
    </row>
    <row r="24" spans="1:15" x14ac:dyDescent="0.25">
      <c r="A24" s="101" t="str">
        <f>'Data Vlaue (Cr)'!C19</f>
        <v>AUROPHARMA</v>
      </c>
      <c r="B24" s="50">
        <f>VLOOKUP($A24,'Data Vlaue (Cr)'!$C:$FB,8)</f>
        <v>1235.4000000000001</v>
      </c>
      <c r="C24" s="50">
        <f>VLOOKUP($A24,'Data Vlaue (Cr)'!$C:$FB,11)*100</f>
        <v>0.33</v>
      </c>
      <c r="D24" s="50">
        <f>VLOOKUP($A24,'Data Vlaue (Cr)'!$C:$FB,143)</f>
        <v>3597.58</v>
      </c>
      <c r="E24" s="50">
        <f>VLOOKUP($A24,'Data Vlaue (Cr)'!$C:$FB,144)</f>
        <v>1720.78</v>
      </c>
      <c r="F24" s="50">
        <f>VLOOKUP($A24,'Data Vlaue (Cr)'!$C:$FB,146)*100</f>
        <v>109.07</v>
      </c>
      <c r="G24" s="49">
        <f>VLOOKUP($A24,'Data Vlaue (Cr)'!$C:$FB,43)</f>
        <v>566</v>
      </c>
      <c r="H24" s="49">
        <f>VLOOKUP($A24,'Data Vlaue (Cr)'!$C:$FB,44)</f>
        <v>402</v>
      </c>
      <c r="I24" s="49">
        <f>VLOOKUP($A24,'Data Vlaue (Cr)'!$C:$FB,46)*100</f>
        <v>40.869999999999997</v>
      </c>
      <c r="J24" s="51">
        <f>VLOOKUP($A24,'Data Vlaue (Cr)'!$C:$FB,59)</f>
        <v>2325</v>
      </c>
      <c r="K24" s="51">
        <f>VLOOKUP($A24,'Data Vlaue (Cr)'!$C:$FB,60)</f>
        <v>996</v>
      </c>
      <c r="L24" s="51">
        <f>VLOOKUP($A24,'Data Vlaue (Cr)'!$C:$FB,62)*100</f>
        <v>133.46</v>
      </c>
      <c r="M24" s="51">
        <f>VLOOKUP($A24,'Data Vlaue (Cr)'!$C:$FB,63)</f>
        <v>598</v>
      </c>
      <c r="N24" s="51">
        <f>VLOOKUP($A24,'Data Vlaue (Cr)'!$C:$FB,64)</f>
        <v>310</v>
      </c>
      <c r="O24" s="51">
        <f>VLOOKUP($A24,'Data Vlaue (Cr)'!$C:$FB,66)*100</f>
        <v>92.800000000000011</v>
      </c>
    </row>
    <row r="25" spans="1:15" x14ac:dyDescent="0.25">
      <c r="A25" s="101" t="str">
        <f>'Data Vlaue (Cr)'!C20</f>
        <v>AXISBANK</v>
      </c>
      <c r="B25" s="50">
        <f>VLOOKUP($A25,'Data Vlaue (Cr)'!$C:$FB,8)</f>
        <v>1295.5</v>
      </c>
      <c r="C25" s="50">
        <f>VLOOKUP($A25,'Data Vlaue (Cr)'!$C:$FB,11)*100</f>
        <v>0.13</v>
      </c>
      <c r="D25" s="50">
        <f>VLOOKUP($A25,'Data Vlaue (Cr)'!$C:$FB,143)</f>
        <v>5426.27</v>
      </c>
      <c r="E25" s="50">
        <f>VLOOKUP($A25,'Data Vlaue (Cr)'!$C:$FB,144)</f>
        <v>10013.040000000001</v>
      </c>
      <c r="F25" s="50">
        <f>VLOOKUP($A25,'Data Vlaue (Cr)'!$C:$FB,146)*100</f>
        <v>-45.81</v>
      </c>
      <c r="G25" s="49">
        <f>VLOOKUP($A25,'Data Vlaue (Cr)'!$C:$FB,43)</f>
        <v>817</v>
      </c>
      <c r="H25" s="49">
        <f>VLOOKUP($A25,'Data Vlaue (Cr)'!$C:$FB,44)</f>
        <v>1601</v>
      </c>
      <c r="I25" s="49">
        <f>VLOOKUP($A25,'Data Vlaue (Cr)'!$C:$FB,46)*100</f>
        <v>-48.96</v>
      </c>
      <c r="J25" s="51">
        <f>VLOOKUP($A25,'Data Vlaue (Cr)'!$C:$FB,59)</f>
        <v>2927</v>
      </c>
      <c r="K25" s="51">
        <f>VLOOKUP($A25,'Data Vlaue (Cr)'!$C:$FB,60)</f>
        <v>5712</v>
      </c>
      <c r="L25" s="51">
        <f>VLOOKUP($A25,'Data Vlaue (Cr)'!$C:$FB,62)*100</f>
        <v>-48.77</v>
      </c>
      <c r="M25" s="51">
        <f>VLOOKUP($A25,'Data Vlaue (Cr)'!$C:$FB,63)</f>
        <v>1630</v>
      </c>
      <c r="N25" s="51">
        <f>VLOOKUP($A25,'Data Vlaue (Cr)'!$C:$FB,64)</f>
        <v>2576</v>
      </c>
      <c r="O25" s="51">
        <f>VLOOKUP($A25,'Data Vlaue (Cr)'!$C:$FB,66)*100</f>
        <v>-36.730000000000004</v>
      </c>
    </row>
    <row r="26" spans="1:15" x14ac:dyDescent="0.25">
      <c r="A26" s="101" t="str">
        <f>'Data Vlaue (Cr)'!C21</f>
        <v>BAJAJ-AUTO</v>
      </c>
      <c r="B26" s="50">
        <f>VLOOKUP($A26,'Data Vlaue (Cr)'!$C:$FB,8)</f>
        <v>9789.5</v>
      </c>
      <c r="C26" s="50">
        <f>VLOOKUP($A26,'Data Vlaue (Cr)'!$C:$FB,11)*100</f>
        <v>1.3299999999999998</v>
      </c>
      <c r="D26" s="50">
        <f>VLOOKUP($A26,'Data Vlaue (Cr)'!$C:$FB,143)</f>
        <v>5875.28</v>
      </c>
      <c r="E26" s="50">
        <f>VLOOKUP($A26,'Data Vlaue (Cr)'!$C:$FB,144)</f>
        <v>9861.1299999999992</v>
      </c>
      <c r="F26" s="50">
        <f>VLOOKUP($A26,'Data Vlaue (Cr)'!$C:$FB,146)*100</f>
        <v>-40.42</v>
      </c>
      <c r="G26" s="49">
        <f>VLOOKUP($A26,'Data Vlaue (Cr)'!$C:$FB,43)</f>
        <v>513</v>
      </c>
      <c r="H26" s="49">
        <f>VLOOKUP($A26,'Data Vlaue (Cr)'!$C:$FB,44)</f>
        <v>721</v>
      </c>
      <c r="I26" s="49">
        <f>VLOOKUP($A26,'Data Vlaue (Cr)'!$C:$FB,46)*100</f>
        <v>-28.89</v>
      </c>
      <c r="J26" s="51">
        <f>VLOOKUP($A26,'Data Vlaue (Cr)'!$C:$FB,59)</f>
        <v>3392</v>
      </c>
      <c r="K26" s="51">
        <f>VLOOKUP($A26,'Data Vlaue (Cr)'!$C:$FB,60)</f>
        <v>6242</v>
      </c>
      <c r="L26" s="51">
        <f>VLOOKUP($A26,'Data Vlaue (Cr)'!$C:$FB,62)*100</f>
        <v>-45.65</v>
      </c>
      <c r="M26" s="51">
        <f>VLOOKUP($A26,'Data Vlaue (Cr)'!$C:$FB,63)</f>
        <v>1916</v>
      </c>
      <c r="N26" s="51">
        <f>VLOOKUP($A26,'Data Vlaue (Cr)'!$C:$FB,64)</f>
        <v>2805</v>
      </c>
      <c r="O26" s="51">
        <f>VLOOKUP($A26,'Data Vlaue (Cr)'!$C:$FB,66)*100</f>
        <v>-31.669999999999998</v>
      </c>
    </row>
    <row r="27" spans="1:15" x14ac:dyDescent="0.25">
      <c r="A27" s="101" t="str">
        <f>'Data Vlaue (Cr)'!C22</f>
        <v>BAJAJFINSV</v>
      </c>
      <c r="B27" s="50">
        <f>VLOOKUP($A27,'Data Vlaue (Cr)'!$C:$FB,8)</f>
        <v>2031.9</v>
      </c>
      <c r="C27" s="50">
        <f>VLOOKUP($A27,'Data Vlaue (Cr)'!$C:$FB,11)*100</f>
        <v>-0.62</v>
      </c>
      <c r="D27" s="50">
        <f>VLOOKUP($A27,'Data Vlaue (Cr)'!$C:$FB,143)</f>
        <v>1439.7</v>
      </c>
      <c r="E27" s="50">
        <f>VLOOKUP($A27,'Data Vlaue (Cr)'!$C:$FB,144)</f>
        <v>3533.39</v>
      </c>
      <c r="F27" s="50">
        <f>VLOOKUP($A27,'Data Vlaue (Cr)'!$C:$FB,146)*100</f>
        <v>-59.25</v>
      </c>
      <c r="G27" s="49">
        <f>VLOOKUP($A27,'Data Vlaue (Cr)'!$C:$FB,43)</f>
        <v>193</v>
      </c>
      <c r="H27" s="49">
        <f>VLOOKUP($A27,'Data Vlaue (Cr)'!$C:$FB,44)</f>
        <v>438</v>
      </c>
      <c r="I27" s="49">
        <f>VLOOKUP($A27,'Data Vlaue (Cr)'!$C:$FB,46)*100</f>
        <v>-55.98</v>
      </c>
      <c r="J27" s="51">
        <f>VLOOKUP($A27,'Data Vlaue (Cr)'!$C:$FB,59)</f>
        <v>804</v>
      </c>
      <c r="K27" s="51">
        <f>VLOOKUP($A27,'Data Vlaue (Cr)'!$C:$FB,60)</f>
        <v>2270</v>
      </c>
      <c r="L27" s="51">
        <f>VLOOKUP($A27,'Data Vlaue (Cr)'!$C:$FB,62)*100</f>
        <v>-64.59</v>
      </c>
      <c r="M27" s="51">
        <f>VLOOKUP($A27,'Data Vlaue (Cr)'!$C:$FB,63)</f>
        <v>419</v>
      </c>
      <c r="N27" s="51">
        <f>VLOOKUP($A27,'Data Vlaue (Cr)'!$C:$FB,64)</f>
        <v>705</v>
      </c>
      <c r="O27" s="51">
        <f>VLOOKUP($A27,'Data Vlaue (Cr)'!$C:$FB,66)*100</f>
        <v>-40.58</v>
      </c>
    </row>
    <row r="28" spans="1:15" x14ac:dyDescent="0.25">
      <c r="A28" s="101" t="str">
        <f>'Data Vlaue (Cr)'!C23</f>
        <v>BAJAJHLDNG</v>
      </c>
      <c r="B28" s="50">
        <f>VLOOKUP($A28,'Data Vlaue (Cr)'!$C:$FB,8)</f>
        <v>11198</v>
      </c>
      <c r="C28" s="50">
        <f>VLOOKUP($A28,'Data Vlaue (Cr)'!$C:$FB,11)*100</f>
        <v>-0.04</v>
      </c>
      <c r="D28" s="50">
        <f>VLOOKUP($A28,'Data Vlaue (Cr)'!$C:$FB,143)</f>
        <v>158.71</v>
      </c>
      <c r="E28" s="50">
        <f>VLOOKUP($A28,'Data Vlaue (Cr)'!$C:$FB,144)</f>
        <v>187.86</v>
      </c>
      <c r="F28" s="50">
        <f>VLOOKUP($A28,'Data Vlaue (Cr)'!$C:$FB,146)*100</f>
        <v>-15.52</v>
      </c>
      <c r="G28" s="49">
        <f>VLOOKUP($A28,'Data Vlaue (Cr)'!$C:$FB,43)</f>
        <v>25</v>
      </c>
      <c r="H28" s="49">
        <f>VLOOKUP($A28,'Data Vlaue (Cr)'!$C:$FB,44)</f>
        <v>37</v>
      </c>
      <c r="I28" s="49">
        <f>VLOOKUP($A28,'Data Vlaue (Cr)'!$C:$FB,46)*100</f>
        <v>-34.53</v>
      </c>
      <c r="J28" s="51">
        <f>VLOOKUP($A28,'Data Vlaue (Cr)'!$C:$FB,59)</f>
        <v>109</v>
      </c>
      <c r="K28" s="51">
        <f>VLOOKUP($A28,'Data Vlaue (Cr)'!$C:$FB,60)</f>
        <v>110</v>
      </c>
      <c r="L28" s="51">
        <f>VLOOKUP($A28,'Data Vlaue (Cr)'!$C:$FB,62)*100</f>
        <v>-0.26</v>
      </c>
      <c r="M28" s="51">
        <f>VLOOKUP($A28,'Data Vlaue (Cr)'!$C:$FB,63)</f>
        <v>14</v>
      </c>
      <c r="N28" s="51">
        <f>VLOOKUP($A28,'Data Vlaue (Cr)'!$C:$FB,64)</f>
        <v>32</v>
      </c>
      <c r="O28" s="51">
        <f>VLOOKUP($A28,'Data Vlaue (Cr)'!$C:$FB,66)*100</f>
        <v>-56.79</v>
      </c>
    </row>
    <row r="29" spans="1:15" x14ac:dyDescent="0.25">
      <c r="A29" s="101" t="str">
        <f>'Data Vlaue (Cr)'!C24</f>
        <v>BAJFINANCE</v>
      </c>
      <c r="B29" s="50">
        <f>VLOOKUP($A29,'Data Vlaue (Cr)'!$C:$FB,8)</f>
        <v>968.8</v>
      </c>
      <c r="C29" s="50">
        <f>VLOOKUP($A29,'Data Vlaue (Cr)'!$C:$FB,11)*100</f>
        <v>-0.86999999999999988</v>
      </c>
      <c r="D29" s="50">
        <f>VLOOKUP($A29,'Data Vlaue (Cr)'!$C:$FB,143)</f>
        <v>3418.7</v>
      </c>
      <c r="E29" s="50">
        <f>VLOOKUP($A29,'Data Vlaue (Cr)'!$C:$FB,144)</f>
        <v>3405.17</v>
      </c>
      <c r="F29" s="50">
        <f>VLOOKUP($A29,'Data Vlaue (Cr)'!$C:$FB,146)*100</f>
        <v>0.4</v>
      </c>
      <c r="G29" s="49">
        <f>VLOOKUP($A29,'Data Vlaue (Cr)'!$C:$FB,43)</f>
        <v>562</v>
      </c>
      <c r="H29" s="49">
        <f>VLOOKUP($A29,'Data Vlaue (Cr)'!$C:$FB,44)</f>
        <v>580</v>
      </c>
      <c r="I29" s="49">
        <f>VLOOKUP($A29,'Data Vlaue (Cr)'!$C:$FB,46)*100</f>
        <v>-3.2</v>
      </c>
      <c r="J29" s="51">
        <f>VLOOKUP($A29,'Data Vlaue (Cr)'!$C:$FB,59)</f>
        <v>1934</v>
      </c>
      <c r="K29" s="51">
        <f>VLOOKUP($A29,'Data Vlaue (Cr)'!$C:$FB,60)</f>
        <v>2017</v>
      </c>
      <c r="L29" s="51">
        <f>VLOOKUP($A29,'Data Vlaue (Cr)'!$C:$FB,62)*100</f>
        <v>-4.1399999999999997</v>
      </c>
      <c r="M29" s="51">
        <f>VLOOKUP($A29,'Data Vlaue (Cr)'!$C:$FB,63)</f>
        <v>822</v>
      </c>
      <c r="N29" s="51">
        <f>VLOOKUP($A29,'Data Vlaue (Cr)'!$C:$FB,64)</f>
        <v>690</v>
      </c>
      <c r="O29" s="51">
        <f>VLOOKUP($A29,'Data Vlaue (Cr)'!$C:$FB,66)*100</f>
        <v>19.18</v>
      </c>
    </row>
    <row r="30" spans="1:15" x14ac:dyDescent="0.25">
      <c r="A30" s="101" t="str">
        <f>'Data Vlaue (Cr)'!C25</f>
        <v>BANDHANBNK</v>
      </c>
      <c r="B30" s="50">
        <f>VLOOKUP($A30,'Data Vlaue (Cr)'!$C:$FB,8)</f>
        <v>147.63999999999999</v>
      </c>
      <c r="C30" s="50">
        <f>VLOOKUP($A30,'Data Vlaue (Cr)'!$C:$FB,11)*100</f>
        <v>-0.02</v>
      </c>
      <c r="D30" s="50">
        <f>VLOOKUP($A30,'Data Vlaue (Cr)'!$C:$FB,143)</f>
        <v>494.4</v>
      </c>
      <c r="E30" s="50">
        <f>VLOOKUP($A30,'Data Vlaue (Cr)'!$C:$FB,144)</f>
        <v>725.47</v>
      </c>
      <c r="F30" s="50">
        <f>VLOOKUP($A30,'Data Vlaue (Cr)'!$C:$FB,146)*100</f>
        <v>-31.85</v>
      </c>
      <c r="G30" s="49">
        <f>VLOOKUP($A30,'Data Vlaue (Cr)'!$C:$FB,43)</f>
        <v>141</v>
      </c>
      <c r="H30" s="49">
        <f>VLOOKUP($A30,'Data Vlaue (Cr)'!$C:$FB,44)</f>
        <v>191</v>
      </c>
      <c r="I30" s="49">
        <f>VLOOKUP($A30,'Data Vlaue (Cr)'!$C:$FB,46)*100</f>
        <v>-25.979999999999997</v>
      </c>
      <c r="J30" s="51">
        <f>VLOOKUP($A30,'Data Vlaue (Cr)'!$C:$FB,59)</f>
        <v>245</v>
      </c>
      <c r="K30" s="51">
        <f>VLOOKUP($A30,'Data Vlaue (Cr)'!$C:$FB,60)</f>
        <v>391</v>
      </c>
      <c r="L30" s="51">
        <f>VLOOKUP($A30,'Data Vlaue (Cr)'!$C:$FB,62)*100</f>
        <v>-37.46</v>
      </c>
      <c r="M30" s="51">
        <f>VLOOKUP($A30,'Data Vlaue (Cr)'!$C:$FB,63)</f>
        <v>98</v>
      </c>
      <c r="N30" s="51">
        <f>VLOOKUP($A30,'Data Vlaue (Cr)'!$C:$FB,64)</f>
        <v>124</v>
      </c>
      <c r="O30" s="51">
        <f>VLOOKUP($A30,'Data Vlaue (Cr)'!$C:$FB,66)*100</f>
        <v>-20.919999999999998</v>
      </c>
    </row>
    <row r="31" spans="1:15" x14ac:dyDescent="0.25">
      <c r="A31" s="101" t="str">
        <f>'Data Vlaue (Cr)'!C26</f>
        <v>BANKBARODA</v>
      </c>
      <c r="B31" s="50">
        <f>VLOOKUP($A31,'Data Vlaue (Cr)'!$C:$FB,8)</f>
        <v>308.25</v>
      </c>
      <c r="C31" s="50">
        <f>VLOOKUP($A31,'Data Vlaue (Cr)'!$C:$FB,11)*100</f>
        <v>1.05</v>
      </c>
      <c r="D31" s="50">
        <f>VLOOKUP($A31,'Data Vlaue (Cr)'!$C:$FB,143)</f>
        <v>4606.25</v>
      </c>
      <c r="E31" s="50">
        <f>VLOOKUP($A31,'Data Vlaue (Cr)'!$C:$FB,144)</f>
        <v>3718.4</v>
      </c>
      <c r="F31" s="50">
        <f>VLOOKUP($A31,'Data Vlaue (Cr)'!$C:$FB,146)*100</f>
        <v>23.880000000000003</v>
      </c>
      <c r="G31" s="49">
        <f>VLOOKUP($A31,'Data Vlaue (Cr)'!$C:$FB,43)</f>
        <v>491</v>
      </c>
      <c r="H31" s="49">
        <f>VLOOKUP($A31,'Data Vlaue (Cr)'!$C:$FB,44)</f>
        <v>694</v>
      </c>
      <c r="I31" s="49">
        <f>VLOOKUP($A31,'Data Vlaue (Cr)'!$C:$FB,46)*100</f>
        <v>-29.32</v>
      </c>
      <c r="J31" s="51">
        <f>VLOOKUP($A31,'Data Vlaue (Cr)'!$C:$FB,59)</f>
        <v>3141</v>
      </c>
      <c r="K31" s="51">
        <f>VLOOKUP($A31,'Data Vlaue (Cr)'!$C:$FB,60)</f>
        <v>1957</v>
      </c>
      <c r="L31" s="51">
        <f>VLOOKUP($A31,'Data Vlaue (Cr)'!$C:$FB,62)*100</f>
        <v>60.5</v>
      </c>
      <c r="M31" s="51">
        <f>VLOOKUP($A31,'Data Vlaue (Cr)'!$C:$FB,63)</f>
        <v>855</v>
      </c>
      <c r="N31" s="51">
        <f>VLOOKUP($A31,'Data Vlaue (Cr)'!$C:$FB,64)</f>
        <v>1030</v>
      </c>
      <c r="O31" s="51">
        <f>VLOOKUP($A31,'Data Vlaue (Cr)'!$C:$FB,66)*100</f>
        <v>-16.950000000000003</v>
      </c>
    </row>
    <row r="32" spans="1:15" x14ac:dyDescent="0.25">
      <c r="A32" s="101" t="str">
        <f>'Data Vlaue (Cr)'!C27</f>
        <v>BANKINDIA</v>
      </c>
      <c r="B32" s="50">
        <f>VLOOKUP($A32,'Data Vlaue (Cr)'!$C:$FB,8)</f>
        <v>151.49</v>
      </c>
      <c r="C32" s="50">
        <f>VLOOKUP($A32,'Data Vlaue (Cr)'!$C:$FB,11)*100</f>
        <v>0.54999999999999993</v>
      </c>
      <c r="D32" s="50">
        <f>VLOOKUP($A32,'Data Vlaue (Cr)'!$C:$FB,143)</f>
        <v>411.01</v>
      </c>
      <c r="E32" s="50">
        <f>VLOOKUP($A32,'Data Vlaue (Cr)'!$C:$FB,144)</f>
        <v>843.69</v>
      </c>
      <c r="F32" s="50">
        <f>VLOOKUP($A32,'Data Vlaue (Cr)'!$C:$FB,146)*100</f>
        <v>-51.28</v>
      </c>
      <c r="G32" s="49">
        <f>VLOOKUP($A32,'Data Vlaue (Cr)'!$C:$FB,43)</f>
        <v>177</v>
      </c>
      <c r="H32" s="49">
        <f>VLOOKUP($A32,'Data Vlaue (Cr)'!$C:$FB,44)</f>
        <v>231</v>
      </c>
      <c r="I32" s="49">
        <f>VLOOKUP($A32,'Data Vlaue (Cr)'!$C:$FB,46)*100</f>
        <v>-23.47</v>
      </c>
      <c r="J32" s="51">
        <f>VLOOKUP($A32,'Data Vlaue (Cr)'!$C:$FB,59)</f>
        <v>159</v>
      </c>
      <c r="K32" s="51">
        <f>VLOOKUP($A32,'Data Vlaue (Cr)'!$C:$FB,60)</f>
        <v>452</v>
      </c>
      <c r="L32" s="51">
        <f>VLOOKUP($A32,'Data Vlaue (Cr)'!$C:$FB,62)*100</f>
        <v>-64.900000000000006</v>
      </c>
      <c r="M32" s="51">
        <f>VLOOKUP($A32,'Data Vlaue (Cr)'!$C:$FB,63)</f>
        <v>71</v>
      </c>
      <c r="N32" s="51">
        <f>VLOOKUP($A32,'Data Vlaue (Cr)'!$C:$FB,64)</f>
        <v>147</v>
      </c>
      <c r="O32" s="51">
        <f>VLOOKUP($A32,'Data Vlaue (Cr)'!$C:$FB,66)*100</f>
        <v>-51.51</v>
      </c>
    </row>
    <row r="33" spans="1:15" x14ac:dyDescent="0.25">
      <c r="A33" s="101" t="str">
        <f>'Data Vlaue (Cr)'!C28</f>
        <v>BANKNIFTY</v>
      </c>
      <c r="B33" s="50">
        <f>VLOOKUP($A33,'Data Vlaue (Cr)'!$C:$FB,8)</f>
        <v>59990.85</v>
      </c>
      <c r="C33" s="50">
        <f>VLOOKUP($A33,'Data Vlaue (Cr)'!$C:$FB,11)*100</f>
        <v>-0.21</v>
      </c>
      <c r="D33" s="50">
        <f>VLOOKUP($A33,'Data Vlaue (Cr)'!$C:$FB,143)</f>
        <v>362628.48</v>
      </c>
      <c r="E33" s="50">
        <f>VLOOKUP($A33,'Data Vlaue (Cr)'!$C:$FB,144)</f>
        <v>347644.32</v>
      </c>
      <c r="F33" s="50">
        <f>VLOOKUP($A33,'Data Vlaue (Cr)'!$C:$FB,146)*100</f>
        <v>4.3099999999999996</v>
      </c>
      <c r="G33" s="49">
        <f>VLOOKUP($A33,'Data Vlaue (Cr)'!$C:$FB,43)</f>
        <v>4567</v>
      </c>
      <c r="H33" s="49">
        <f>VLOOKUP($A33,'Data Vlaue (Cr)'!$C:$FB,44)</f>
        <v>3433</v>
      </c>
      <c r="I33" s="49">
        <f>VLOOKUP($A33,'Data Vlaue (Cr)'!$C:$FB,46)*100</f>
        <v>33.019999999999996</v>
      </c>
      <c r="J33" s="51">
        <f>VLOOKUP($A33,'Data Vlaue (Cr)'!$C:$FB,59)</f>
        <v>176097</v>
      </c>
      <c r="K33" s="51">
        <f>VLOOKUP($A33,'Data Vlaue (Cr)'!$C:$FB,60)</f>
        <v>172428</v>
      </c>
      <c r="L33" s="51">
        <f>VLOOKUP($A33,'Data Vlaue (Cr)'!$C:$FB,62)*100</f>
        <v>2.13</v>
      </c>
      <c r="M33" s="51">
        <f>VLOOKUP($A33,'Data Vlaue (Cr)'!$C:$FB,63)</f>
        <v>180416</v>
      </c>
      <c r="N33" s="51">
        <f>VLOOKUP($A33,'Data Vlaue (Cr)'!$C:$FB,64)</f>
        <v>169146</v>
      </c>
      <c r="O33" s="51">
        <f>VLOOKUP($A33,'Data Vlaue (Cr)'!$C:$FB,66)*100</f>
        <v>6.660000000000001</v>
      </c>
    </row>
    <row r="34" spans="1:15" x14ac:dyDescent="0.25">
      <c r="A34" s="101" t="str">
        <f>'Data Vlaue (Cr)'!C29</f>
        <v>BDL</v>
      </c>
      <c r="B34" s="50">
        <f>VLOOKUP($A34,'Data Vlaue (Cr)'!$C:$FB,8)</f>
        <v>1539.5</v>
      </c>
      <c r="C34" s="50">
        <f>VLOOKUP($A34,'Data Vlaue (Cr)'!$C:$FB,11)*100</f>
        <v>-0.19</v>
      </c>
      <c r="D34" s="50">
        <f>VLOOKUP($A34,'Data Vlaue (Cr)'!$C:$FB,143)</f>
        <v>2784.11</v>
      </c>
      <c r="E34" s="50">
        <f>VLOOKUP($A34,'Data Vlaue (Cr)'!$C:$FB,144)</f>
        <v>8887.68</v>
      </c>
      <c r="F34" s="50">
        <f>VLOOKUP($A34,'Data Vlaue (Cr)'!$C:$FB,146)*100</f>
        <v>-68.67</v>
      </c>
      <c r="G34" s="49">
        <f>VLOOKUP($A34,'Data Vlaue (Cr)'!$C:$FB,43)</f>
        <v>507</v>
      </c>
      <c r="H34" s="49">
        <f>VLOOKUP($A34,'Data Vlaue (Cr)'!$C:$FB,44)</f>
        <v>1584</v>
      </c>
      <c r="I34" s="49">
        <f>VLOOKUP($A34,'Data Vlaue (Cr)'!$C:$FB,46)*100</f>
        <v>-67.97</v>
      </c>
      <c r="J34" s="51">
        <f>VLOOKUP($A34,'Data Vlaue (Cr)'!$C:$FB,59)</f>
        <v>1484</v>
      </c>
      <c r="K34" s="51">
        <f>VLOOKUP($A34,'Data Vlaue (Cr)'!$C:$FB,60)</f>
        <v>4554</v>
      </c>
      <c r="L34" s="51">
        <f>VLOOKUP($A34,'Data Vlaue (Cr)'!$C:$FB,62)*100</f>
        <v>-67.400000000000006</v>
      </c>
      <c r="M34" s="51">
        <f>VLOOKUP($A34,'Data Vlaue (Cr)'!$C:$FB,63)</f>
        <v>721</v>
      </c>
      <c r="N34" s="51">
        <f>VLOOKUP($A34,'Data Vlaue (Cr)'!$C:$FB,64)</f>
        <v>2460</v>
      </c>
      <c r="O34" s="51">
        <f>VLOOKUP($A34,'Data Vlaue (Cr)'!$C:$FB,66)*100</f>
        <v>-70.679999999999993</v>
      </c>
    </row>
    <row r="35" spans="1:15" x14ac:dyDescent="0.25">
      <c r="A35" s="101" t="str">
        <f>'Data Vlaue (Cr)'!C30</f>
        <v>BEL</v>
      </c>
      <c r="B35" s="50">
        <f>VLOOKUP($A35,'Data Vlaue (Cr)'!$C:$FB,8)</f>
        <v>415.65</v>
      </c>
      <c r="C35" s="50">
        <f>VLOOKUP($A35,'Data Vlaue (Cr)'!$C:$FB,11)*100</f>
        <v>0.62</v>
      </c>
      <c r="D35" s="50">
        <f>VLOOKUP($A35,'Data Vlaue (Cr)'!$C:$FB,143)</f>
        <v>3926.76</v>
      </c>
      <c r="E35" s="50">
        <f>VLOOKUP($A35,'Data Vlaue (Cr)'!$C:$FB,144)</f>
        <v>3832.88</v>
      </c>
      <c r="F35" s="50">
        <f>VLOOKUP($A35,'Data Vlaue (Cr)'!$C:$FB,146)*100</f>
        <v>2.4500000000000002</v>
      </c>
      <c r="G35" s="49">
        <f>VLOOKUP($A35,'Data Vlaue (Cr)'!$C:$FB,43)</f>
        <v>444</v>
      </c>
      <c r="H35" s="49">
        <f>VLOOKUP($A35,'Data Vlaue (Cr)'!$C:$FB,44)</f>
        <v>455</v>
      </c>
      <c r="I35" s="49">
        <f>VLOOKUP($A35,'Data Vlaue (Cr)'!$C:$FB,46)*100</f>
        <v>-2.37</v>
      </c>
      <c r="J35" s="51">
        <f>VLOOKUP($A35,'Data Vlaue (Cr)'!$C:$FB,59)</f>
        <v>2271</v>
      </c>
      <c r="K35" s="51">
        <f>VLOOKUP($A35,'Data Vlaue (Cr)'!$C:$FB,60)</f>
        <v>2084</v>
      </c>
      <c r="L35" s="51">
        <f>VLOOKUP($A35,'Data Vlaue (Cr)'!$C:$FB,62)*100</f>
        <v>8.9700000000000006</v>
      </c>
      <c r="M35" s="51">
        <f>VLOOKUP($A35,'Data Vlaue (Cr)'!$C:$FB,63)</f>
        <v>1168</v>
      </c>
      <c r="N35" s="51">
        <f>VLOOKUP($A35,'Data Vlaue (Cr)'!$C:$FB,64)</f>
        <v>1255</v>
      </c>
      <c r="O35" s="51">
        <f>VLOOKUP($A35,'Data Vlaue (Cr)'!$C:$FB,66)*100</f>
        <v>-6.98</v>
      </c>
    </row>
    <row r="36" spans="1:15" x14ac:dyDescent="0.25">
      <c r="A36" s="101" t="str">
        <f>'Data Vlaue (Cr)'!C31</f>
        <v>BHARATFORG</v>
      </c>
      <c r="B36" s="50">
        <f>VLOOKUP($A36,'Data Vlaue (Cr)'!$C:$FB,8)</f>
        <v>1483.4</v>
      </c>
      <c r="C36" s="50">
        <f>VLOOKUP($A36,'Data Vlaue (Cr)'!$C:$FB,11)*100</f>
        <v>0.59</v>
      </c>
      <c r="D36" s="50">
        <f>VLOOKUP($A36,'Data Vlaue (Cr)'!$C:$FB,143)</f>
        <v>1051</v>
      </c>
      <c r="E36" s="50">
        <f>VLOOKUP($A36,'Data Vlaue (Cr)'!$C:$FB,144)</f>
        <v>2005.99</v>
      </c>
      <c r="F36" s="50">
        <f>VLOOKUP($A36,'Data Vlaue (Cr)'!$C:$FB,146)*100</f>
        <v>-47.61</v>
      </c>
      <c r="G36" s="49">
        <f>VLOOKUP($A36,'Data Vlaue (Cr)'!$C:$FB,43)</f>
        <v>246</v>
      </c>
      <c r="H36" s="49">
        <f>VLOOKUP($A36,'Data Vlaue (Cr)'!$C:$FB,44)</f>
        <v>350</v>
      </c>
      <c r="I36" s="49">
        <f>VLOOKUP($A36,'Data Vlaue (Cr)'!$C:$FB,46)*100</f>
        <v>-29.720000000000002</v>
      </c>
      <c r="J36" s="51">
        <f>VLOOKUP($A36,'Data Vlaue (Cr)'!$C:$FB,59)</f>
        <v>552</v>
      </c>
      <c r="K36" s="51">
        <f>VLOOKUP($A36,'Data Vlaue (Cr)'!$C:$FB,60)</f>
        <v>1183</v>
      </c>
      <c r="L36" s="51">
        <f>VLOOKUP($A36,'Data Vlaue (Cr)'!$C:$FB,62)*100</f>
        <v>-53.32</v>
      </c>
      <c r="M36" s="51">
        <f>VLOOKUP($A36,'Data Vlaue (Cr)'!$C:$FB,63)</f>
        <v>233</v>
      </c>
      <c r="N36" s="51">
        <f>VLOOKUP($A36,'Data Vlaue (Cr)'!$C:$FB,64)</f>
        <v>421</v>
      </c>
      <c r="O36" s="51">
        <f>VLOOKUP($A36,'Data Vlaue (Cr)'!$C:$FB,66)*100</f>
        <v>-44.64</v>
      </c>
    </row>
    <row r="37" spans="1:15" x14ac:dyDescent="0.25">
      <c r="A37" s="101" t="str">
        <f>'Data Vlaue (Cr)'!C32</f>
        <v>BHARTIARTL</v>
      </c>
      <c r="B37" s="50">
        <f>VLOOKUP($A37,'Data Vlaue (Cr)'!$C:$FB,8)</f>
        <v>2084.1999999999998</v>
      </c>
      <c r="C37" s="50">
        <f>VLOOKUP($A37,'Data Vlaue (Cr)'!$C:$FB,11)*100</f>
        <v>-1</v>
      </c>
      <c r="D37" s="50">
        <f>VLOOKUP($A37,'Data Vlaue (Cr)'!$C:$FB,143)</f>
        <v>5153.67</v>
      </c>
      <c r="E37" s="50">
        <f>VLOOKUP($A37,'Data Vlaue (Cr)'!$C:$FB,144)</f>
        <v>6513.01</v>
      </c>
      <c r="F37" s="50">
        <f>VLOOKUP($A37,'Data Vlaue (Cr)'!$C:$FB,146)*100</f>
        <v>-20.87</v>
      </c>
      <c r="G37" s="49">
        <f>VLOOKUP($A37,'Data Vlaue (Cr)'!$C:$FB,43)</f>
        <v>711</v>
      </c>
      <c r="H37" s="49">
        <f>VLOOKUP($A37,'Data Vlaue (Cr)'!$C:$FB,44)</f>
        <v>914</v>
      </c>
      <c r="I37" s="49">
        <f>VLOOKUP($A37,'Data Vlaue (Cr)'!$C:$FB,46)*100</f>
        <v>-22.23</v>
      </c>
      <c r="J37" s="51">
        <f>VLOOKUP($A37,'Data Vlaue (Cr)'!$C:$FB,59)</f>
        <v>2744</v>
      </c>
      <c r="K37" s="51">
        <f>VLOOKUP($A37,'Data Vlaue (Cr)'!$C:$FB,60)</f>
        <v>3393</v>
      </c>
      <c r="L37" s="51">
        <f>VLOOKUP($A37,'Data Vlaue (Cr)'!$C:$FB,62)*100</f>
        <v>-19.13</v>
      </c>
      <c r="M37" s="51">
        <f>VLOOKUP($A37,'Data Vlaue (Cr)'!$C:$FB,63)</f>
        <v>1611</v>
      </c>
      <c r="N37" s="51">
        <f>VLOOKUP($A37,'Data Vlaue (Cr)'!$C:$FB,64)</f>
        <v>2062</v>
      </c>
      <c r="O37" s="51">
        <f>VLOOKUP($A37,'Data Vlaue (Cr)'!$C:$FB,66)*100</f>
        <v>-21.86</v>
      </c>
    </row>
    <row r="38" spans="1:15" x14ac:dyDescent="0.25">
      <c r="A38" s="101" t="str">
        <f>'Data Vlaue (Cr)'!C33</f>
        <v>BHEL</v>
      </c>
      <c r="B38" s="50">
        <f>VLOOKUP($A38,'Data Vlaue (Cr)'!$C:$FB,8)</f>
        <v>303.55</v>
      </c>
      <c r="C38" s="50">
        <f>VLOOKUP($A38,'Data Vlaue (Cr)'!$C:$FB,11)*100</f>
        <v>2.2200000000000002</v>
      </c>
      <c r="D38" s="50">
        <f>VLOOKUP($A38,'Data Vlaue (Cr)'!$C:$FB,143)</f>
        <v>6225.62</v>
      </c>
      <c r="E38" s="50">
        <f>VLOOKUP($A38,'Data Vlaue (Cr)'!$C:$FB,144)</f>
        <v>3663.26</v>
      </c>
      <c r="F38" s="50">
        <f>VLOOKUP($A38,'Data Vlaue (Cr)'!$C:$FB,146)*100</f>
        <v>69.95</v>
      </c>
      <c r="G38" s="49">
        <f>VLOOKUP($A38,'Data Vlaue (Cr)'!$C:$FB,43)</f>
        <v>867</v>
      </c>
      <c r="H38" s="49">
        <f>VLOOKUP($A38,'Data Vlaue (Cr)'!$C:$FB,44)</f>
        <v>673</v>
      </c>
      <c r="I38" s="49">
        <f>VLOOKUP($A38,'Data Vlaue (Cr)'!$C:$FB,46)*100</f>
        <v>28.860000000000003</v>
      </c>
      <c r="J38" s="51">
        <f>VLOOKUP($A38,'Data Vlaue (Cr)'!$C:$FB,59)</f>
        <v>4086</v>
      </c>
      <c r="K38" s="51">
        <f>VLOOKUP($A38,'Data Vlaue (Cr)'!$C:$FB,60)</f>
        <v>1996</v>
      </c>
      <c r="L38" s="51">
        <f>VLOOKUP($A38,'Data Vlaue (Cr)'!$C:$FB,62)*100</f>
        <v>104.67</v>
      </c>
      <c r="M38" s="51">
        <f>VLOOKUP($A38,'Data Vlaue (Cr)'!$C:$FB,63)</f>
        <v>1123</v>
      </c>
      <c r="N38" s="51">
        <f>VLOOKUP($A38,'Data Vlaue (Cr)'!$C:$FB,64)</f>
        <v>969</v>
      </c>
      <c r="O38" s="51">
        <f>VLOOKUP($A38,'Data Vlaue (Cr)'!$C:$FB,66)*100</f>
        <v>15.920000000000002</v>
      </c>
    </row>
    <row r="39" spans="1:15" x14ac:dyDescent="0.25">
      <c r="A39" s="101" t="str">
        <f>'Data Vlaue (Cr)'!C34</f>
        <v>BIOCON</v>
      </c>
      <c r="B39" s="50">
        <f>VLOOKUP($A39,'Data Vlaue (Cr)'!$C:$FB,8)</f>
        <v>387.05</v>
      </c>
      <c r="C39" s="50">
        <f>VLOOKUP($A39,'Data Vlaue (Cr)'!$C:$FB,11)*100</f>
        <v>0.49</v>
      </c>
      <c r="D39" s="50">
        <f>VLOOKUP($A39,'Data Vlaue (Cr)'!$C:$FB,143)</f>
        <v>2437.27</v>
      </c>
      <c r="E39" s="50">
        <f>VLOOKUP($A39,'Data Vlaue (Cr)'!$C:$FB,144)</f>
        <v>1605.32</v>
      </c>
      <c r="F39" s="50">
        <f>VLOOKUP($A39,'Data Vlaue (Cr)'!$C:$FB,146)*100</f>
        <v>51.82</v>
      </c>
      <c r="G39" s="49">
        <f>VLOOKUP($A39,'Data Vlaue (Cr)'!$C:$FB,43)</f>
        <v>413</v>
      </c>
      <c r="H39" s="49">
        <f>VLOOKUP($A39,'Data Vlaue (Cr)'!$C:$FB,44)</f>
        <v>316</v>
      </c>
      <c r="I39" s="49">
        <f>VLOOKUP($A39,'Data Vlaue (Cr)'!$C:$FB,46)*100</f>
        <v>30.75</v>
      </c>
      <c r="J39" s="51">
        <f>VLOOKUP($A39,'Data Vlaue (Cr)'!$C:$FB,59)</f>
        <v>1529</v>
      </c>
      <c r="K39" s="51">
        <f>VLOOKUP($A39,'Data Vlaue (Cr)'!$C:$FB,60)</f>
        <v>833</v>
      </c>
      <c r="L39" s="51">
        <f>VLOOKUP($A39,'Data Vlaue (Cr)'!$C:$FB,62)*100</f>
        <v>83.67</v>
      </c>
      <c r="M39" s="51">
        <f>VLOOKUP($A39,'Data Vlaue (Cr)'!$C:$FB,63)</f>
        <v>414</v>
      </c>
      <c r="N39" s="51">
        <f>VLOOKUP($A39,'Data Vlaue (Cr)'!$C:$FB,64)</f>
        <v>410</v>
      </c>
      <c r="O39" s="51">
        <f>VLOOKUP($A39,'Data Vlaue (Cr)'!$C:$FB,66)*100</f>
        <v>1</v>
      </c>
    </row>
    <row r="40" spans="1:15" x14ac:dyDescent="0.25">
      <c r="A40" s="101" t="str">
        <f>'Data Vlaue (Cr)'!C35</f>
        <v>BLUESTARCO</v>
      </c>
      <c r="B40" s="50">
        <f>VLOOKUP($A40,'Data Vlaue (Cr)'!$C:$FB,8)</f>
        <v>1842.7</v>
      </c>
      <c r="C40" s="50">
        <f>VLOOKUP($A40,'Data Vlaue (Cr)'!$C:$FB,11)*100</f>
        <v>1.05</v>
      </c>
      <c r="D40" s="50">
        <f>VLOOKUP($A40,'Data Vlaue (Cr)'!$C:$FB,143)</f>
        <v>741.51</v>
      </c>
      <c r="E40" s="50">
        <f>VLOOKUP($A40,'Data Vlaue (Cr)'!$C:$FB,144)</f>
        <v>230.76</v>
      </c>
      <c r="F40" s="50">
        <f>VLOOKUP($A40,'Data Vlaue (Cr)'!$C:$FB,146)*100</f>
        <v>221.32999999999998</v>
      </c>
      <c r="G40" s="49">
        <f>VLOOKUP($A40,'Data Vlaue (Cr)'!$C:$FB,43)</f>
        <v>201</v>
      </c>
      <c r="H40" s="49">
        <f>VLOOKUP($A40,'Data Vlaue (Cr)'!$C:$FB,44)</f>
        <v>101</v>
      </c>
      <c r="I40" s="49">
        <f>VLOOKUP($A40,'Data Vlaue (Cr)'!$C:$FB,46)*100</f>
        <v>98.81</v>
      </c>
      <c r="J40" s="51">
        <f>VLOOKUP($A40,'Data Vlaue (Cr)'!$C:$FB,59)</f>
        <v>360</v>
      </c>
      <c r="K40" s="51">
        <f>VLOOKUP($A40,'Data Vlaue (Cr)'!$C:$FB,60)</f>
        <v>83</v>
      </c>
      <c r="L40" s="51">
        <f>VLOOKUP($A40,'Data Vlaue (Cr)'!$C:$FB,62)*100</f>
        <v>331.82</v>
      </c>
      <c r="M40" s="51">
        <f>VLOOKUP($A40,'Data Vlaue (Cr)'!$C:$FB,63)</f>
        <v>177</v>
      </c>
      <c r="N40" s="51">
        <f>VLOOKUP($A40,'Data Vlaue (Cr)'!$C:$FB,64)</f>
        <v>45</v>
      </c>
      <c r="O40" s="51">
        <f>VLOOKUP($A40,'Data Vlaue (Cr)'!$C:$FB,66)*100</f>
        <v>289.05</v>
      </c>
    </row>
    <row r="41" spans="1:15" x14ac:dyDescent="0.25">
      <c r="A41" s="101" t="str">
        <f>'Data Vlaue (Cr)'!C36</f>
        <v>BOSCHLTD</v>
      </c>
      <c r="B41" s="50">
        <f>VLOOKUP($A41,'Data Vlaue (Cr)'!$C:$FB,8)</f>
        <v>39145</v>
      </c>
      <c r="C41" s="50">
        <f>VLOOKUP($A41,'Data Vlaue (Cr)'!$C:$FB,11)*100</f>
        <v>0.47000000000000003</v>
      </c>
      <c r="D41" s="50">
        <f>VLOOKUP($A41,'Data Vlaue (Cr)'!$C:$FB,143)</f>
        <v>4501.66</v>
      </c>
      <c r="E41" s="50">
        <f>VLOOKUP($A41,'Data Vlaue (Cr)'!$C:$FB,144)</f>
        <v>2508.29</v>
      </c>
      <c r="F41" s="50">
        <f>VLOOKUP($A41,'Data Vlaue (Cr)'!$C:$FB,146)*100</f>
        <v>79.47</v>
      </c>
      <c r="G41" s="49">
        <f>VLOOKUP($A41,'Data Vlaue (Cr)'!$C:$FB,43)</f>
        <v>253</v>
      </c>
      <c r="H41" s="49">
        <f>VLOOKUP($A41,'Data Vlaue (Cr)'!$C:$FB,44)</f>
        <v>185</v>
      </c>
      <c r="I41" s="49">
        <f>VLOOKUP($A41,'Data Vlaue (Cr)'!$C:$FB,46)*100</f>
        <v>36.97</v>
      </c>
      <c r="J41" s="51">
        <f>VLOOKUP($A41,'Data Vlaue (Cr)'!$C:$FB,59)</f>
        <v>2249</v>
      </c>
      <c r="K41" s="51">
        <f>VLOOKUP($A41,'Data Vlaue (Cr)'!$C:$FB,60)</f>
        <v>1477</v>
      </c>
      <c r="L41" s="51">
        <f>VLOOKUP($A41,'Data Vlaue (Cr)'!$C:$FB,62)*100</f>
        <v>52.239999999999995</v>
      </c>
      <c r="M41" s="51">
        <f>VLOOKUP($A41,'Data Vlaue (Cr)'!$C:$FB,63)</f>
        <v>1991</v>
      </c>
      <c r="N41" s="51">
        <f>VLOOKUP($A41,'Data Vlaue (Cr)'!$C:$FB,64)</f>
        <v>785</v>
      </c>
      <c r="O41" s="51">
        <f>VLOOKUP($A41,'Data Vlaue (Cr)'!$C:$FB,66)*100</f>
        <v>153.59</v>
      </c>
    </row>
    <row r="42" spans="1:15" x14ac:dyDescent="0.25">
      <c r="A42" s="101" t="str">
        <f>'Data Vlaue (Cr)'!C37</f>
        <v>BPCL</v>
      </c>
      <c r="B42" s="50">
        <f>VLOOKUP($A42,'Data Vlaue (Cr)'!$C:$FB,8)</f>
        <v>368.2</v>
      </c>
      <c r="C42" s="50">
        <f>VLOOKUP($A42,'Data Vlaue (Cr)'!$C:$FB,11)*100</f>
        <v>-0.70000000000000007</v>
      </c>
      <c r="D42" s="50">
        <f>VLOOKUP($A42,'Data Vlaue (Cr)'!$C:$FB,143)</f>
        <v>815.52</v>
      </c>
      <c r="E42" s="50">
        <f>VLOOKUP($A42,'Data Vlaue (Cr)'!$C:$FB,144)</f>
        <v>2490.7600000000002</v>
      </c>
      <c r="F42" s="50">
        <f>VLOOKUP($A42,'Data Vlaue (Cr)'!$C:$FB,146)*100</f>
        <v>-67.259999999999991</v>
      </c>
      <c r="G42" s="49">
        <f>VLOOKUP($A42,'Data Vlaue (Cr)'!$C:$FB,43)</f>
        <v>135</v>
      </c>
      <c r="H42" s="49">
        <f>VLOOKUP($A42,'Data Vlaue (Cr)'!$C:$FB,44)</f>
        <v>385</v>
      </c>
      <c r="I42" s="49">
        <f>VLOOKUP($A42,'Data Vlaue (Cr)'!$C:$FB,46)*100</f>
        <v>-64.97</v>
      </c>
      <c r="J42" s="51">
        <f>VLOOKUP($A42,'Data Vlaue (Cr)'!$C:$FB,59)</f>
        <v>417</v>
      </c>
      <c r="K42" s="51">
        <f>VLOOKUP($A42,'Data Vlaue (Cr)'!$C:$FB,60)</f>
        <v>1195</v>
      </c>
      <c r="L42" s="51">
        <f>VLOOKUP($A42,'Data Vlaue (Cr)'!$C:$FB,62)*100</f>
        <v>-65.100000000000009</v>
      </c>
      <c r="M42" s="51">
        <f>VLOOKUP($A42,'Data Vlaue (Cr)'!$C:$FB,63)</f>
        <v>241</v>
      </c>
      <c r="N42" s="51">
        <f>VLOOKUP($A42,'Data Vlaue (Cr)'!$C:$FB,64)</f>
        <v>842</v>
      </c>
      <c r="O42" s="51">
        <f>VLOOKUP($A42,'Data Vlaue (Cr)'!$C:$FB,66)*100</f>
        <v>-71.419999999999987</v>
      </c>
    </row>
    <row r="43" spans="1:15" x14ac:dyDescent="0.25">
      <c r="A43" s="101" t="str">
        <f>'Data Vlaue (Cr)'!C38</f>
        <v>BRITANNIA</v>
      </c>
      <c r="B43" s="50">
        <f>VLOOKUP($A43,'Data Vlaue (Cr)'!$C:$FB,8)</f>
        <v>6185</v>
      </c>
      <c r="C43" s="50">
        <f>VLOOKUP($A43,'Data Vlaue (Cr)'!$C:$FB,11)*100</f>
        <v>0.91</v>
      </c>
      <c r="D43" s="50">
        <f>VLOOKUP($A43,'Data Vlaue (Cr)'!$C:$FB,143)</f>
        <v>2993.85</v>
      </c>
      <c r="E43" s="50">
        <f>VLOOKUP($A43,'Data Vlaue (Cr)'!$C:$FB,144)</f>
        <v>2608.4299999999998</v>
      </c>
      <c r="F43" s="50">
        <f>VLOOKUP($A43,'Data Vlaue (Cr)'!$C:$FB,146)*100</f>
        <v>14.78</v>
      </c>
      <c r="G43" s="49">
        <f>VLOOKUP($A43,'Data Vlaue (Cr)'!$C:$FB,43)</f>
        <v>339</v>
      </c>
      <c r="H43" s="49">
        <f>VLOOKUP($A43,'Data Vlaue (Cr)'!$C:$FB,44)</f>
        <v>496</v>
      </c>
      <c r="I43" s="49">
        <f>VLOOKUP($A43,'Data Vlaue (Cr)'!$C:$FB,46)*100</f>
        <v>-31.7</v>
      </c>
      <c r="J43" s="51">
        <f>VLOOKUP($A43,'Data Vlaue (Cr)'!$C:$FB,59)</f>
        <v>1890</v>
      </c>
      <c r="K43" s="51">
        <f>VLOOKUP($A43,'Data Vlaue (Cr)'!$C:$FB,60)</f>
        <v>1552</v>
      </c>
      <c r="L43" s="51">
        <f>VLOOKUP($A43,'Data Vlaue (Cr)'!$C:$FB,62)*100</f>
        <v>21.790000000000003</v>
      </c>
      <c r="M43" s="51">
        <f>VLOOKUP($A43,'Data Vlaue (Cr)'!$C:$FB,63)</f>
        <v>700</v>
      </c>
      <c r="N43" s="51">
        <f>VLOOKUP($A43,'Data Vlaue (Cr)'!$C:$FB,64)</f>
        <v>565</v>
      </c>
      <c r="O43" s="51">
        <f>VLOOKUP($A43,'Data Vlaue (Cr)'!$C:$FB,66)*100</f>
        <v>24.04</v>
      </c>
    </row>
    <row r="44" spans="1:15" x14ac:dyDescent="0.25">
      <c r="A44" s="101" t="str">
        <f>'Data Vlaue (Cr)'!C39</f>
        <v>BSE</v>
      </c>
      <c r="B44" s="50">
        <f>VLOOKUP($A44,'Data Vlaue (Cr)'!$C:$FB,8)</f>
        <v>2744.9</v>
      </c>
      <c r="C44" s="50">
        <f>VLOOKUP($A44,'Data Vlaue (Cr)'!$C:$FB,11)*100</f>
        <v>1.43</v>
      </c>
      <c r="D44" s="50">
        <f>VLOOKUP($A44,'Data Vlaue (Cr)'!$C:$FB,143)</f>
        <v>6567.91</v>
      </c>
      <c r="E44" s="50">
        <f>VLOOKUP($A44,'Data Vlaue (Cr)'!$C:$FB,144)</f>
        <v>6034.28</v>
      </c>
      <c r="F44" s="50">
        <f>VLOOKUP($A44,'Data Vlaue (Cr)'!$C:$FB,146)*100</f>
        <v>8.84</v>
      </c>
      <c r="G44" s="49">
        <f>VLOOKUP($A44,'Data Vlaue (Cr)'!$C:$FB,43)</f>
        <v>839</v>
      </c>
      <c r="H44" s="49">
        <f>VLOOKUP($A44,'Data Vlaue (Cr)'!$C:$FB,44)</f>
        <v>842</v>
      </c>
      <c r="I44" s="49">
        <f>VLOOKUP($A44,'Data Vlaue (Cr)'!$C:$FB,46)*100</f>
        <v>-0.27</v>
      </c>
      <c r="J44" s="51">
        <f>VLOOKUP($A44,'Data Vlaue (Cr)'!$C:$FB,59)</f>
        <v>3712</v>
      </c>
      <c r="K44" s="51">
        <f>VLOOKUP($A44,'Data Vlaue (Cr)'!$C:$FB,60)</f>
        <v>3396</v>
      </c>
      <c r="L44" s="51">
        <f>VLOOKUP($A44,'Data Vlaue (Cr)'!$C:$FB,62)*100</f>
        <v>9.3000000000000007</v>
      </c>
      <c r="M44" s="51">
        <f>VLOOKUP($A44,'Data Vlaue (Cr)'!$C:$FB,63)</f>
        <v>1902</v>
      </c>
      <c r="N44" s="51">
        <f>VLOOKUP($A44,'Data Vlaue (Cr)'!$C:$FB,64)</f>
        <v>1743</v>
      </c>
      <c r="O44" s="51">
        <f>VLOOKUP($A44,'Data Vlaue (Cr)'!$C:$FB,66)*100</f>
        <v>9.120000000000001</v>
      </c>
    </row>
    <row r="45" spans="1:15" x14ac:dyDescent="0.25">
      <c r="A45" s="101" t="str">
        <f>'Data Vlaue (Cr)'!C40</f>
        <v>CAMS</v>
      </c>
      <c r="B45" s="50">
        <f>VLOOKUP($A45,'Data Vlaue (Cr)'!$C:$FB,8)</f>
        <v>756.8</v>
      </c>
      <c r="C45" s="50">
        <f>VLOOKUP($A45,'Data Vlaue (Cr)'!$C:$FB,11)*100</f>
        <v>0.94000000000000006</v>
      </c>
      <c r="D45" s="50">
        <f>VLOOKUP($A45,'Data Vlaue (Cr)'!$C:$FB,143)</f>
        <v>357.96</v>
      </c>
      <c r="E45" s="50">
        <f>VLOOKUP($A45,'Data Vlaue (Cr)'!$C:$FB,144)</f>
        <v>272.95999999999998</v>
      </c>
      <c r="F45" s="50">
        <f>VLOOKUP($A45,'Data Vlaue (Cr)'!$C:$FB,146)*100</f>
        <v>31.14</v>
      </c>
      <c r="G45" s="49">
        <f>VLOOKUP($A45,'Data Vlaue (Cr)'!$C:$FB,43)</f>
        <v>101</v>
      </c>
      <c r="H45" s="49">
        <f>VLOOKUP($A45,'Data Vlaue (Cr)'!$C:$FB,44)</f>
        <v>87</v>
      </c>
      <c r="I45" s="49">
        <f>VLOOKUP($A45,'Data Vlaue (Cr)'!$C:$FB,46)*100</f>
        <v>16.14</v>
      </c>
      <c r="J45" s="51">
        <f>VLOOKUP($A45,'Data Vlaue (Cr)'!$C:$FB,59)</f>
        <v>187</v>
      </c>
      <c r="K45" s="51">
        <f>VLOOKUP($A45,'Data Vlaue (Cr)'!$C:$FB,60)</f>
        <v>131</v>
      </c>
      <c r="L45" s="51">
        <f>VLOOKUP($A45,'Data Vlaue (Cr)'!$C:$FB,62)*100</f>
        <v>43.14</v>
      </c>
      <c r="M45" s="51">
        <f>VLOOKUP($A45,'Data Vlaue (Cr)'!$C:$FB,63)</f>
        <v>62</v>
      </c>
      <c r="N45" s="51">
        <f>VLOOKUP($A45,'Data Vlaue (Cr)'!$C:$FB,64)</f>
        <v>53</v>
      </c>
      <c r="O45" s="51">
        <f>VLOOKUP($A45,'Data Vlaue (Cr)'!$C:$FB,66)*100</f>
        <v>18.43</v>
      </c>
    </row>
    <row r="46" spans="1:15" x14ac:dyDescent="0.25">
      <c r="A46" s="101" t="str">
        <f>'Data Vlaue (Cr)'!C41</f>
        <v>CANBK</v>
      </c>
      <c r="B46" s="50">
        <f>VLOOKUP($A46,'Data Vlaue (Cr)'!$C:$FB,8)</f>
        <v>152.96</v>
      </c>
      <c r="C46" s="50">
        <f>VLOOKUP($A46,'Data Vlaue (Cr)'!$C:$FB,11)*100</f>
        <v>-0.6</v>
      </c>
      <c r="D46" s="50">
        <f>VLOOKUP($A46,'Data Vlaue (Cr)'!$C:$FB,143)</f>
        <v>3882.38</v>
      </c>
      <c r="E46" s="50">
        <f>VLOOKUP($A46,'Data Vlaue (Cr)'!$C:$FB,144)</f>
        <v>2701.53</v>
      </c>
      <c r="F46" s="50">
        <f>VLOOKUP($A46,'Data Vlaue (Cr)'!$C:$FB,146)*100</f>
        <v>43.71</v>
      </c>
      <c r="G46" s="49">
        <f>VLOOKUP($A46,'Data Vlaue (Cr)'!$C:$FB,43)</f>
        <v>909</v>
      </c>
      <c r="H46" s="49">
        <f>VLOOKUP($A46,'Data Vlaue (Cr)'!$C:$FB,44)</f>
        <v>744</v>
      </c>
      <c r="I46" s="49">
        <f>VLOOKUP($A46,'Data Vlaue (Cr)'!$C:$FB,46)*100</f>
        <v>22.15</v>
      </c>
      <c r="J46" s="51">
        <f>VLOOKUP($A46,'Data Vlaue (Cr)'!$C:$FB,59)</f>
        <v>1729</v>
      </c>
      <c r="K46" s="51">
        <f>VLOOKUP($A46,'Data Vlaue (Cr)'!$C:$FB,60)</f>
        <v>1211</v>
      </c>
      <c r="L46" s="51">
        <f>VLOOKUP($A46,'Data Vlaue (Cr)'!$C:$FB,62)*100</f>
        <v>42.74</v>
      </c>
      <c r="M46" s="51">
        <f>VLOOKUP($A46,'Data Vlaue (Cr)'!$C:$FB,63)</f>
        <v>1149</v>
      </c>
      <c r="N46" s="51">
        <f>VLOOKUP($A46,'Data Vlaue (Cr)'!$C:$FB,64)</f>
        <v>671</v>
      </c>
      <c r="O46" s="51">
        <f>VLOOKUP($A46,'Data Vlaue (Cr)'!$C:$FB,66)*100</f>
        <v>71.179999999999993</v>
      </c>
    </row>
    <row r="47" spans="1:15" x14ac:dyDescent="0.25">
      <c r="A47" s="101" t="str">
        <f>'Data Vlaue (Cr)'!C42</f>
        <v>CDSL</v>
      </c>
      <c r="B47" s="50">
        <f>VLOOKUP($A47,'Data Vlaue (Cr)'!$C:$FB,8)</f>
        <v>1475.6</v>
      </c>
      <c r="C47" s="50">
        <f>VLOOKUP($A47,'Data Vlaue (Cr)'!$C:$FB,11)*100</f>
        <v>1.28</v>
      </c>
      <c r="D47" s="50">
        <f>VLOOKUP($A47,'Data Vlaue (Cr)'!$C:$FB,143)</f>
        <v>1594.96</v>
      </c>
      <c r="E47" s="50">
        <f>VLOOKUP($A47,'Data Vlaue (Cr)'!$C:$FB,144)</f>
        <v>1324.55</v>
      </c>
      <c r="F47" s="50">
        <f>VLOOKUP($A47,'Data Vlaue (Cr)'!$C:$FB,146)*100</f>
        <v>20.419999999999998</v>
      </c>
      <c r="G47" s="49">
        <f>VLOOKUP($A47,'Data Vlaue (Cr)'!$C:$FB,43)</f>
        <v>262</v>
      </c>
      <c r="H47" s="49">
        <f>VLOOKUP($A47,'Data Vlaue (Cr)'!$C:$FB,44)</f>
        <v>220</v>
      </c>
      <c r="I47" s="49">
        <f>VLOOKUP($A47,'Data Vlaue (Cr)'!$C:$FB,46)*100</f>
        <v>18.91</v>
      </c>
      <c r="J47" s="51">
        <f>VLOOKUP($A47,'Data Vlaue (Cr)'!$C:$FB,59)</f>
        <v>881</v>
      </c>
      <c r="K47" s="51">
        <f>VLOOKUP($A47,'Data Vlaue (Cr)'!$C:$FB,60)</f>
        <v>723</v>
      </c>
      <c r="L47" s="51">
        <f>VLOOKUP($A47,'Data Vlaue (Cr)'!$C:$FB,62)*100</f>
        <v>21.94</v>
      </c>
      <c r="M47" s="51">
        <f>VLOOKUP($A47,'Data Vlaue (Cr)'!$C:$FB,63)</f>
        <v>426</v>
      </c>
      <c r="N47" s="51">
        <f>VLOOKUP($A47,'Data Vlaue (Cr)'!$C:$FB,64)</f>
        <v>363</v>
      </c>
      <c r="O47" s="51">
        <f>VLOOKUP($A47,'Data Vlaue (Cr)'!$C:$FB,66)*100</f>
        <v>17.399999999999999</v>
      </c>
    </row>
    <row r="48" spans="1:15" x14ac:dyDescent="0.25">
      <c r="A48" s="101" t="str">
        <f>'Data Vlaue (Cr)'!C43</f>
        <v>CGPOWER</v>
      </c>
      <c r="B48" s="50">
        <f>VLOOKUP($A48,'Data Vlaue (Cr)'!$C:$FB,8)</f>
        <v>636.95000000000005</v>
      </c>
      <c r="C48" s="50">
        <f>VLOOKUP($A48,'Data Vlaue (Cr)'!$C:$FB,11)*100</f>
        <v>-0.13999999999999999</v>
      </c>
      <c r="D48" s="50">
        <f>VLOOKUP($A48,'Data Vlaue (Cr)'!$C:$FB,143)</f>
        <v>541.99</v>
      </c>
      <c r="E48" s="50">
        <f>VLOOKUP($A48,'Data Vlaue (Cr)'!$C:$FB,144)</f>
        <v>451.8</v>
      </c>
      <c r="F48" s="50">
        <f>VLOOKUP($A48,'Data Vlaue (Cr)'!$C:$FB,146)*100</f>
        <v>19.96</v>
      </c>
      <c r="G48" s="49">
        <f>VLOOKUP($A48,'Data Vlaue (Cr)'!$C:$FB,43)</f>
        <v>125</v>
      </c>
      <c r="H48" s="49">
        <f>VLOOKUP($A48,'Data Vlaue (Cr)'!$C:$FB,44)</f>
        <v>103</v>
      </c>
      <c r="I48" s="49">
        <f>VLOOKUP($A48,'Data Vlaue (Cr)'!$C:$FB,46)*100</f>
        <v>21.7</v>
      </c>
      <c r="J48" s="51">
        <f>VLOOKUP($A48,'Data Vlaue (Cr)'!$C:$FB,59)</f>
        <v>292</v>
      </c>
      <c r="K48" s="51">
        <f>VLOOKUP($A48,'Data Vlaue (Cr)'!$C:$FB,60)</f>
        <v>246</v>
      </c>
      <c r="L48" s="51">
        <f>VLOOKUP($A48,'Data Vlaue (Cr)'!$C:$FB,62)*100</f>
        <v>18.459999999999997</v>
      </c>
      <c r="M48" s="51">
        <f>VLOOKUP($A48,'Data Vlaue (Cr)'!$C:$FB,63)</f>
        <v>108</v>
      </c>
      <c r="N48" s="51">
        <f>VLOOKUP($A48,'Data Vlaue (Cr)'!$C:$FB,64)</f>
        <v>88</v>
      </c>
      <c r="O48" s="51">
        <f>VLOOKUP($A48,'Data Vlaue (Cr)'!$C:$FB,66)*100</f>
        <v>22.470000000000002</v>
      </c>
    </row>
    <row r="49" spans="1:15" x14ac:dyDescent="0.25">
      <c r="A49" s="101" t="str">
        <f>'Data Vlaue (Cr)'!C44</f>
        <v>CHOLAFIN</v>
      </c>
      <c r="B49" s="50">
        <f>VLOOKUP($A49,'Data Vlaue (Cr)'!$C:$FB,8)</f>
        <v>1786.5</v>
      </c>
      <c r="C49" s="50">
        <f>VLOOKUP($A49,'Data Vlaue (Cr)'!$C:$FB,11)*100</f>
        <v>-1.05</v>
      </c>
      <c r="D49" s="50">
        <f>VLOOKUP($A49,'Data Vlaue (Cr)'!$C:$FB,143)</f>
        <v>1252.51</v>
      </c>
      <c r="E49" s="50">
        <f>VLOOKUP($A49,'Data Vlaue (Cr)'!$C:$FB,144)</f>
        <v>5772.95</v>
      </c>
      <c r="F49" s="50">
        <f>VLOOKUP($A49,'Data Vlaue (Cr)'!$C:$FB,146)*100</f>
        <v>-78.3</v>
      </c>
      <c r="G49" s="49">
        <f>VLOOKUP($A49,'Data Vlaue (Cr)'!$C:$FB,43)</f>
        <v>220</v>
      </c>
      <c r="H49" s="49">
        <f>VLOOKUP($A49,'Data Vlaue (Cr)'!$C:$FB,44)</f>
        <v>593</v>
      </c>
      <c r="I49" s="49">
        <f>VLOOKUP($A49,'Data Vlaue (Cr)'!$C:$FB,46)*100</f>
        <v>-62.89</v>
      </c>
      <c r="J49" s="51">
        <f>VLOOKUP($A49,'Data Vlaue (Cr)'!$C:$FB,59)</f>
        <v>542</v>
      </c>
      <c r="K49" s="51">
        <f>VLOOKUP($A49,'Data Vlaue (Cr)'!$C:$FB,60)</f>
        <v>3568</v>
      </c>
      <c r="L49" s="51">
        <f>VLOOKUP($A49,'Data Vlaue (Cr)'!$C:$FB,62)*100</f>
        <v>-84.82</v>
      </c>
      <c r="M49" s="51">
        <f>VLOOKUP($A49,'Data Vlaue (Cr)'!$C:$FB,63)</f>
        <v>475</v>
      </c>
      <c r="N49" s="51">
        <f>VLOOKUP($A49,'Data Vlaue (Cr)'!$C:$FB,64)</f>
        <v>1451</v>
      </c>
      <c r="O49" s="51">
        <f>VLOOKUP($A49,'Data Vlaue (Cr)'!$C:$FB,66)*100</f>
        <v>-67.22</v>
      </c>
    </row>
    <row r="50" spans="1:15" x14ac:dyDescent="0.25">
      <c r="A50" s="101" t="str">
        <f>'Data Vlaue (Cr)'!C45</f>
        <v>CIPLA</v>
      </c>
      <c r="B50" s="50">
        <f>VLOOKUP($A50,'Data Vlaue (Cr)'!$C:$FB,8)</f>
        <v>1467.9</v>
      </c>
      <c r="C50" s="50">
        <f>VLOOKUP($A50,'Data Vlaue (Cr)'!$C:$FB,11)*100</f>
        <v>-4.1099999999999994</v>
      </c>
      <c r="D50" s="50">
        <f>VLOOKUP($A50,'Data Vlaue (Cr)'!$C:$FB,143)</f>
        <v>10087.06</v>
      </c>
      <c r="E50" s="50">
        <f>VLOOKUP($A50,'Data Vlaue (Cr)'!$C:$FB,144)</f>
        <v>1882.22</v>
      </c>
      <c r="F50" s="50">
        <f>VLOOKUP($A50,'Data Vlaue (Cr)'!$C:$FB,146)*100</f>
        <v>435.90999999999997</v>
      </c>
      <c r="G50" s="49">
        <f>VLOOKUP($A50,'Data Vlaue (Cr)'!$C:$FB,43)</f>
        <v>999</v>
      </c>
      <c r="H50" s="49">
        <f>VLOOKUP($A50,'Data Vlaue (Cr)'!$C:$FB,44)</f>
        <v>247</v>
      </c>
      <c r="I50" s="49">
        <f>VLOOKUP($A50,'Data Vlaue (Cr)'!$C:$FB,46)*100</f>
        <v>304.89999999999998</v>
      </c>
      <c r="J50" s="51">
        <f>VLOOKUP($A50,'Data Vlaue (Cr)'!$C:$FB,59)</f>
        <v>4105</v>
      </c>
      <c r="K50" s="51">
        <f>VLOOKUP($A50,'Data Vlaue (Cr)'!$C:$FB,60)</f>
        <v>1123</v>
      </c>
      <c r="L50" s="51">
        <f>VLOOKUP($A50,'Data Vlaue (Cr)'!$C:$FB,62)*100</f>
        <v>265.58999999999997</v>
      </c>
      <c r="M50" s="51">
        <f>VLOOKUP($A50,'Data Vlaue (Cr)'!$C:$FB,63)</f>
        <v>4758</v>
      </c>
      <c r="N50" s="51">
        <f>VLOOKUP($A50,'Data Vlaue (Cr)'!$C:$FB,64)</f>
        <v>405</v>
      </c>
      <c r="O50" s="51">
        <f>VLOOKUP($A50,'Data Vlaue (Cr)'!$C:$FB,66)*100</f>
        <v>1075.8900000000001</v>
      </c>
    </row>
    <row r="51" spans="1:15" x14ac:dyDescent="0.25">
      <c r="A51" s="101" t="str">
        <f>'Data Vlaue (Cr)'!C46</f>
        <v>COALINDIA</v>
      </c>
      <c r="B51" s="50">
        <f>VLOOKUP($A51,'Data Vlaue (Cr)'!$C:$FB,8)</f>
        <v>431.65</v>
      </c>
      <c r="C51" s="50">
        <f>VLOOKUP($A51,'Data Vlaue (Cr)'!$C:$FB,11)*100</f>
        <v>1.08</v>
      </c>
      <c r="D51" s="50">
        <f>VLOOKUP($A51,'Data Vlaue (Cr)'!$C:$FB,143)</f>
        <v>3647.41</v>
      </c>
      <c r="E51" s="50">
        <f>VLOOKUP($A51,'Data Vlaue (Cr)'!$C:$FB,144)</f>
        <v>3356.99</v>
      </c>
      <c r="F51" s="50">
        <f>VLOOKUP($A51,'Data Vlaue (Cr)'!$C:$FB,146)*100</f>
        <v>8.6499999999999986</v>
      </c>
      <c r="G51" s="49">
        <f>VLOOKUP($A51,'Data Vlaue (Cr)'!$C:$FB,43)</f>
        <v>438</v>
      </c>
      <c r="H51" s="49">
        <f>VLOOKUP($A51,'Data Vlaue (Cr)'!$C:$FB,44)</f>
        <v>441</v>
      </c>
      <c r="I51" s="49">
        <f>VLOOKUP($A51,'Data Vlaue (Cr)'!$C:$FB,46)*100</f>
        <v>-0.77999999999999992</v>
      </c>
      <c r="J51" s="51">
        <f>VLOOKUP($A51,'Data Vlaue (Cr)'!$C:$FB,59)</f>
        <v>2393</v>
      </c>
      <c r="K51" s="51">
        <f>VLOOKUP($A51,'Data Vlaue (Cr)'!$C:$FB,60)</f>
        <v>2016</v>
      </c>
      <c r="L51" s="51">
        <f>VLOOKUP($A51,'Data Vlaue (Cr)'!$C:$FB,62)*100</f>
        <v>18.709999999999997</v>
      </c>
      <c r="M51" s="51">
        <f>VLOOKUP($A51,'Data Vlaue (Cr)'!$C:$FB,63)</f>
        <v>759</v>
      </c>
      <c r="N51" s="51">
        <f>VLOOKUP($A51,'Data Vlaue (Cr)'!$C:$FB,64)</f>
        <v>867</v>
      </c>
      <c r="O51" s="51">
        <f>VLOOKUP($A51,'Data Vlaue (Cr)'!$C:$FB,66)*100</f>
        <v>-12.49</v>
      </c>
    </row>
    <row r="52" spans="1:15" x14ac:dyDescent="0.25">
      <c r="A52" s="101" t="str">
        <f>'Data Vlaue (Cr)'!C47</f>
        <v>COFORGE</v>
      </c>
      <c r="B52" s="50">
        <f>VLOOKUP($A52,'Data Vlaue (Cr)'!$C:$FB,8)</f>
        <v>1701.5</v>
      </c>
      <c r="C52" s="50">
        <f>VLOOKUP($A52,'Data Vlaue (Cr)'!$C:$FB,11)*100</f>
        <v>2.68</v>
      </c>
      <c r="D52" s="50">
        <f>VLOOKUP($A52,'Data Vlaue (Cr)'!$C:$FB,143)</f>
        <v>4628.3500000000004</v>
      </c>
      <c r="E52" s="50">
        <f>VLOOKUP($A52,'Data Vlaue (Cr)'!$C:$FB,144)</f>
        <v>2217.36</v>
      </c>
      <c r="F52" s="50">
        <f>VLOOKUP($A52,'Data Vlaue (Cr)'!$C:$FB,146)*100</f>
        <v>108.72999999999999</v>
      </c>
      <c r="G52" s="49">
        <f>VLOOKUP($A52,'Data Vlaue (Cr)'!$C:$FB,43)</f>
        <v>731</v>
      </c>
      <c r="H52" s="49">
        <f>VLOOKUP($A52,'Data Vlaue (Cr)'!$C:$FB,44)</f>
        <v>458</v>
      </c>
      <c r="I52" s="49">
        <f>VLOOKUP($A52,'Data Vlaue (Cr)'!$C:$FB,46)*100</f>
        <v>59.56</v>
      </c>
      <c r="J52" s="51">
        <f>VLOOKUP($A52,'Data Vlaue (Cr)'!$C:$FB,59)</f>
        <v>2882</v>
      </c>
      <c r="K52" s="51">
        <f>VLOOKUP($A52,'Data Vlaue (Cr)'!$C:$FB,60)</f>
        <v>1358</v>
      </c>
      <c r="L52" s="51">
        <f>VLOOKUP($A52,'Data Vlaue (Cr)'!$C:$FB,62)*100</f>
        <v>112.18999999999998</v>
      </c>
      <c r="M52" s="51">
        <f>VLOOKUP($A52,'Data Vlaue (Cr)'!$C:$FB,63)</f>
        <v>906</v>
      </c>
      <c r="N52" s="51">
        <f>VLOOKUP($A52,'Data Vlaue (Cr)'!$C:$FB,64)</f>
        <v>390</v>
      </c>
      <c r="O52" s="51">
        <f>VLOOKUP($A52,'Data Vlaue (Cr)'!$C:$FB,66)*100</f>
        <v>132.34</v>
      </c>
    </row>
    <row r="53" spans="1:15" x14ac:dyDescent="0.25">
      <c r="A53" s="101" t="str">
        <f>'Data Vlaue (Cr)'!C48</f>
        <v>COLPAL</v>
      </c>
      <c r="B53" s="50">
        <f>VLOOKUP($A53,'Data Vlaue (Cr)'!$C:$FB,8)</f>
        <v>2076.6</v>
      </c>
      <c r="C53" s="50">
        <f>VLOOKUP($A53,'Data Vlaue (Cr)'!$C:$FB,11)*100</f>
        <v>-0.6</v>
      </c>
      <c r="D53" s="50">
        <f>VLOOKUP($A53,'Data Vlaue (Cr)'!$C:$FB,143)</f>
        <v>542.94000000000005</v>
      </c>
      <c r="E53" s="50">
        <f>VLOOKUP($A53,'Data Vlaue (Cr)'!$C:$FB,144)</f>
        <v>923.36</v>
      </c>
      <c r="F53" s="50">
        <f>VLOOKUP($A53,'Data Vlaue (Cr)'!$C:$FB,146)*100</f>
        <v>-41.199999999999996</v>
      </c>
      <c r="G53" s="49">
        <f>VLOOKUP($A53,'Data Vlaue (Cr)'!$C:$FB,43)</f>
        <v>134</v>
      </c>
      <c r="H53" s="49">
        <f>VLOOKUP($A53,'Data Vlaue (Cr)'!$C:$FB,44)</f>
        <v>303</v>
      </c>
      <c r="I53" s="49">
        <f>VLOOKUP($A53,'Data Vlaue (Cr)'!$C:$FB,46)*100</f>
        <v>-55.7</v>
      </c>
      <c r="J53" s="51">
        <f>VLOOKUP($A53,'Data Vlaue (Cr)'!$C:$FB,59)</f>
        <v>301</v>
      </c>
      <c r="K53" s="51">
        <f>VLOOKUP($A53,'Data Vlaue (Cr)'!$C:$FB,60)</f>
        <v>440</v>
      </c>
      <c r="L53" s="51">
        <f>VLOOKUP($A53,'Data Vlaue (Cr)'!$C:$FB,62)*100</f>
        <v>-31.680000000000003</v>
      </c>
      <c r="M53" s="51">
        <f>VLOOKUP($A53,'Data Vlaue (Cr)'!$C:$FB,63)</f>
        <v>98</v>
      </c>
      <c r="N53" s="51">
        <f>VLOOKUP($A53,'Data Vlaue (Cr)'!$C:$FB,64)</f>
        <v>159</v>
      </c>
      <c r="O53" s="51">
        <f>VLOOKUP($A53,'Data Vlaue (Cr)'!$C:$FB,66)*100</f>
        <v>-38.54</v>
      </c>
    </row>
    <row r="54" spans="1:15" x14ac:dyDescent="0.25">
      <c r="A54" s="101" t="str">
        <f>'Data Vlaue (Cr)'!C49</f>
        <v>CONCOR</v>
      </c>
      <c r="B54" s="50">
        <f>VLOOKUP($A54,'Data Vlaue (Cr)'!$C:$FB,8)</f>
        <v>532.79999999999995</v>
      </c>
      <c r="C54" s="50">
        <f>VLOOKUP($A54,'Data Vlaue (Cr)'!$C:$FB,11)*100</f>
        <v>0.54</v>
      </c>
      <c r="D54" s="50">
        <f>VLOOKUP($A54,'Data Vlaue (Cr)'!$C:$FB,143)</f>
        <v>600.41999999999996</v>
      </c>
      <c r="E54" s="50">
        <f>VLOOKUP($A54,'Data Vlaue (Cr)'!$C:$FB,144)</f>
        <v>575.84</v>
      </c>
      <c r="F54" s="50">
        <f>VLOOKUP($A54,'Data Vlaue (Cr)'!$C:$FB,146)*100</f>
        <v>4.2700000000000005</v>
      </c>
      <c r="G54" s="49">
        <f>VLOOKUP($A54,'Data Vlaue (Cr)'!$C:$FB,43)</f>
        <v>152</v>
      </c>
      <c r="H54" s="49">
        <f>VLOOKUP($A54,'Data Vlaue (Cr)'!$C:$FB,44)</f>
        <v>163</v>
      </c>
      <c r="I54" s="49">
        <f>VLOOKUP($A54,'Data Vlaue (Cr)'!$C:$FB,46)*100</f>
        <v>-6.68</v>
      </c>
      <c r="J54" s="51">
        <f>VLOOKUP($A54,'Data Vlaue (Cr)'!$C:$FB,59)</f>
        <v>330</v>
      </c>
      <c r="K54" s="51">
        <f>VLOOKUP($A54,'Data Vlaue (Cr)'!$C:$FB,60)</f>
        <v>312</v>
      </c>
      <c r="L54" s="51">
        <f>VLOOKUP($A54,'Data Vlaue (Cr)'!$C:$FB,62)*100</f>
        <v>5.76</v>
      </c>
      <c r="M54" s="51">
        <f>VLOOKUP($A54,'Data Vlaue (Cr)'!$C:$FB,63)</f>
        <v>110</v>
      </c>
      <c r="N54" s="51">
        <f>VLOOKUP($A54,'Data Vlaue (Cr)'!$C:$FB,64)</f>
        <v>94</v>
      </c>
      <c r="O54" s="51">
        <f>VLOOKUP($A54,'Data Vlaue (Cr)'!$C:$FB,66)*100</f>
        <v>17.7</v>
      </c>
    </row>
    <row r="55" spans="1:15" x14ac:dyDescent="0.25">
      <c r="A55" s="101" t="str">
        <f>'Data Vlaue (Cr)'!C50</f>
        <v>CROMPTON</v>
      </c>
      <c r="B55" s="50">
        <f>VLOOKUP($A55,'Data Vlaue (Cr)'!$C:$FB,8)</f>
        <v>263.45</v>
      </c>
      <c r="C55" s="50">
        <f>VLOOKUP($A55,'Data Vlaue (Cr)'!$C:$FB,11)*100</f>
        <v>1.37</v>
      </c>
      <c r="D55" s="50">
        <f>VLOOKUP($A55,'Data Vlaue (Cr)'!$C:$FB,143)</f>
        <v>1125.3699999999999</v>
      </c>
      <c r="E55" s="50">
        <f>VLOOKUP($A55,'Data Vlaue (Cr)'!$C:$FB,144)</f>
        <v>1036.78</v>
      </c>
      <c r="F55" s="50">
        <f>VLOOKUP($A55,'Data Vlaue (Cr)'!$C:$FB,146)*100</f>
        <v>8.5400000000000009</v>
      </c>
      <c r="G55" s="49">
        <f>VLOOKUP($A55,'Data Vlaue (Cr)'!$C:$FB,43)</f>
        <v>222</v>
      </c>
      <c r="H55" s="49">
        <f>VLOOKUP($A55,'Data Vlaue (Cr)'!$C:$FB,44)</f>
        <v>256</v>
      </c>
      <c r="I55" s="49">
        <f>VLOOKUP($A55,'Data Vlaue (Cr)'!$C:$FB,46)*100</f>
        <v>-13.100000000000001</v>
      </c>
      <c r="J55" s="51">
        <f>VLOOKUP($A55,'Data Vlaue (Cr)'!$C:$FB,59)</f>
        <v>707</v>
      </c>
      <c r="K55" s="51">
        <f>VLOOKUP($A55,'Data Vlaue (Cr)'!$C:$FB,60)</f>
        <v>647</v>
      </c>
      <c r="L55" s="51">
        <f>VLOOKUP($A55,'Data Vlaue (Cr)'!$C:$FB,62)*100</f>
        <v>9.25</v>
      </c>
      <c r="M55" s="51">
        <f>VLOOKUP($A55,'Data Vlaue (Cr)'!$C:$FB,63)</f>
        <v>174</v>
      </c>
      <c r="N55" s="51">
        <f>VLOOKUP($A55,'Data Vlaue (Cr)'!$C:$FB,64)</f>
        <v>124</v>
      </c>
      <c r="O55" s="51">
        <f>VLOOKUP($A55,'Data Vlaue (Cr)'!$C:$FB,66)*100</f>
        <v>40.25</v>
      </c>
    </row>
    <row r="56" spans="1:15" x14ac:dyDescent="0.25">
      <c r="A56" s="101" t="str">
        <f>'Data Vlaue (Cr)'!C51</f>
        <v>CUMMINSIND</v>
      </c>
      <c r="B56" s="50">
        <f>VLOOKUP($A56,'Data Vlaue (Cr)'!$C:$FB,8)</f>
        <v>4147.8999999999996</v>
      </c>
      <c r="C56" s="50">
        <f>VLOOKUP($A56,'Data Vlaue (Cr)'!$C:$FB,11)*100</f>
        <v>0.43</v>
      </c>
      <c r="D56" s="50">
        <f>VLOOKUP($A56,'Data Vlaue (Cr)'!$C:$FB,143)</f>
        <v>1448.25</v>
      </c>
      <c r="E56" s="50">
        <f>VLOOKUP($A56,'Data Vlaue (Cr)'!$C:$FB,144)</f>
        <v>3778.99</v>
      </c>
      <c r="F56" s="50">
        <f>VLOOKUP($A56,'Data Vlaue (Cr)'!$C:$FB,146)*100</f>
        <v>-61.68</v>
      </c>
      <c r="G56" s="49">
        <f>VLOOKUP($A56,'Data Vlaue (Cr)'!$C:$FB,43)</f>
        <v>365</v>
      </c>
      <c r="H56" s="49">
        <f>VLOOKUP($A56,'Data Vlaue (Cr)'!$C:$FB,44)</f>
        <v>636</v>
      </c>
      <c r="I56" s="49">
        <f>VLOOKUP($A56,'Data Vlaue (Cr)'!$C:$FB,46)*100</f>
        <v>-42.67</v>
      </c>
      <c r="J56" s="51">
        <f>VLOOKUP($A56,'Data Vlaue (Cr)'!$C:$FB,59)</f>
        <v>631</v>
      </c>
      <c r="K56" s="51">
        <f>VLOOKUP($A56,'Data Vlaue (Cr)'!$C:$FB,60)</f>
        <v>1517</v>
      </c>
      <c r="L56" s="51">
        <f>VLOOKUP($A56,'Data Vlaue (Cr)'!$C:$FB,62)*100</f>
        <v>-58.39</v>
      </c>
      <c r="M56" s="51">
        <f>VLOOKUP($A56,'Data Vlaue (Cr)'!$C:$FB,63)</f>
        <v>425</v>
      </c>
      <c r="N56" s="51">
        <f>VLOOKUP($A56,'Data Vlaue (Cr)'!$C:$FB,64)</f>
        <v>1487</v>
      </c>
      <c r="O56" s="51">
        <f>VLOOKUP($A56,'Data Vlaue (Cr)'!$C:$FB,66)*100</f>
        <v>-71.44</v>
      </c>
    </row>
    <row r="57" spans="1:15" x14ac:dyDescent="0.25">
      <c r="A57" s="101" t="str">
        <f>'Data Vlaue (Cr)'!C52</f>
        <v>DABUR</v>
      </c>
      <c r="B57" s="50">
        <f>VLOOKUP($A57,'Data Vlaue (Cr)'!$C:$FB,8)</f>
        <v>520.9</v>
      </c>
      <c r="C57" s="50">
        <f>VLOOKUP($A57,'Data Vlaue (Cr)'!$C:$FB,11)*100</f>
        <v>0.11</v>
      </c>
      <c r="D57" s="50">
        <f>VLOOKUP($A57,'Data Vlaue (Cr)'!$C:$FB,143)</f>
        <v>941.27</v>
      </c>
      <c r="E57" s="50">
        <f>VLOOKUP($A57,'Data Vlaue (Cr)'!$C:$FB,144)</f>
        <v>3745.49</v>
      </c>
      <c r="F57" s="50">
        <f>VLOOKUP($A57,'Data Vlaue (Cr)'!$C:$FB,146)*100</f>
        <v>-74.87</v>
      </c>
      <c r="G57" s="49">
        <f>VLOOKUP($A57,'Data Vlaue (Cr)'!$C:$FB,43)</f>
        <v>175</v>
      </c>
      <c r="H57" s="49">
        <f>VLOOKUP($A57,'Data Vlaue (Cr)'!$C:$FB,44)</f>
        <v>513</v>
      </c>
      <c r="I57" s="49">
        <f>VLOOKUP($A57,'Data Vlaue (Cr)'!$C:$FB,46)*100</f>
        <v>-65.88000000000001</v>
      </c>
      <c r="J57" s="51">
        <f>VLOOKUP($A57,'Data Vlaue (Cr)'!$C:$FB,59)</f>
        <v>510</v>
      </c>
      <c r="K57" s="51">
        <f>VLOOKUP($A57,'Data Vlaue (Cr)'!$C:$FB,60)</f>
        <v>2131</v>
      </c>
      <c r="L57" s="51">
        <f>VLOOKUP($A57,'Data Vlaue (Cr)'!$C:$FB,62)*100</f>
        <v>-76.09</v>
      </c>
      <c r="M57" s="51">
        <f>VLOOKUP($A57,'Data Vlaue (Cr)'!$C:$FB,63)</f>
        <v>241</v>
      </c>
      <c r="N57" s="51">
        <f>VLOOKUP($A57,'Data Vlaue (Cr)'!$C:$FB,64)</f>
        <v>1061</v>
      </c>
      <c r="O57" s="51">
        <f>VLOOKUP($A57,'Data Vlaue (Cr)'!$C:$FB,66)*100</f>
        <v>-77.27000000000001</v>
      </c>
    </row>
    <row r="58" spans="1:15" x14ac:dyDescent="0.25">
      <c r="A58" s="101" t="str">
        <f>'Data Vlaue (Cr)'!C53</f>
        <v>DALBHARAT</v>
      </c>
      <c r="B58" s="50">
        <f>VLOOKUP($A58,'Data Vlaue (Cr)'!$C:$FB,8)</f>
        <v>2121.1999999999998</v>
      </c>
      <c r="C58" s="50">
        <f>VLOOKUP($A58,'Data Vlaue (Cr)'!$C:$FB,11)*100</f>
        <v>0.26</v>
      </c>
      <c r="D58" s="50">
        <f>VLOOKUP($A58,'Data Vlaue (Cr)'!$C:$FB,143)</f>
        <v>310.58999999999997</v>
      </c>
      <c r="E58" s="50">
        <f>VLOOKUP($A58,'Data Vlaue (Cr)'!$C:$FB,144)</f>
        <v>216.83</v>
      </c>
      <c r="F58" s="50">
        <f>VLOOKUP($A58,'Data Vlaue (Cr)'!$C:$FB,146)*100</f>
        <v>43.24</v>
      </c>
      <c r="G58" s="49">
        <f>VLOOKUP($A58,'Data Vlaue (Cr)'!$C:$FB,43)</f>
        <v>103</v>
      </c>
      <c r="H58" s="49">
        <f>VLOOKUP($A58,'Data Vlaue (Cr)'!$C:$FB,44)</f>
        <v>71</v>
      </c>
      <c r="I58" s="49">
        <f>VLOOKUP($A58,'Data Vlaue (Cr)'!$C:$FB,46)*100</f>
        <v>44.37</v>
      </c>
      <c r="J58" s="51">
        <f>VLOOKUP($A58,'Data Vlaue (Cr)'!$C:$FB,59)</f>
        <v>154</v>
      </c>
      <c r="K58" s="51">
        <f>VLOOKUP($A58,'Data Vlaue (Cr)'!$C:$FB,60)</f>
        <v>99</v>
      </c>
      <c r="L58" s="51">
        <f>VLOOKUP($A58,'Data Vlaue (Cr)'!$C:$FB,62)*100</f>
        <v>56.75</v>
      </c>
      <c r="M58" s="51">
        <f>VLOOKUP($A58,'Data Vlaue (Cr)'!$C:$FB,63)</f>
        <v>46</v>
      </c>
      <c r="N58" s="51">
        <f>VLOOKUP($A58,'Data Vlaue (Cr)'!$C:$FB,64)</f>
        <v>43</v>
      </c>
      <c r="O58" s="51">
        <f>VLOOKUP($A58,'Data Vlaue (Cr)'!$C:$FB,66)*100</f>
        <v>7.33</v>
      </c>
    </row>
    <row r="59" spans="1:15" x14ac:dyDescent="0.25">
      <c r="A59" s="101" t="str">
        <f>'Data Vlaue (Cr)'!C54</f>
        <v>DELHIVERY</v>
      </c>
      <c r="B59" s="50">
        <f>VLOOKUP($A59,'Data Vlaue (Cr)'!$C:$FB,8)</f>
        <v>422.25</v>
      </c>
      <c r="C59" s="50">
        <f>VLOOKUP($A59,'Data Vlaue (Cr)'!$C:$FB,11)*100</f>
        <v>1.9300000000000002</v>
      </c>
      <c r="D59" s="50">
        <f>VLOOKUP($A59,'Data Vlaue (Cr)'!$C:$FB,143)</f>
        <v>1778.88</v>
      </c>
      <c r="E59" s="50">
        <f>VLOOKUP($A59,'Data Vlaue (Cr)'!$C:$FB,144)</f>
        <v>963</v>
      </c>
      <c r="F59" s="50">
        <f>VLOOKUP($A59,'Data Vlaue (Cr)'!$C:$FB,146)*100</f>
        <v>84.72</v>
      </c>
      <c r="G59" s="49">
        <f>VLOOKUP($A59,'Data Vlaue (Cr)'!$C:$FB,43)</f>
        <v>408</v>
      </c>
      <c r="H59" s="49">
        <f>VLOOKUP($A59,'Data Vlaue (Cr)'!$C:$FB,44)</f>
        <v>225</v>
      </c>
      <c r="I59" s="49">
        <f>VLOOKUP($A59,'Data Vlaue (Cr)'!$C:$FB,46)*100</f>
        <v>80.78</v>
      </c>
      <c r="J59" s="51">
        <f>VLOOKUP($A59,'Data Vlaue (Cr)'!$C:$FB,59)</f>
        <v>964</v>
      </c>
      <c r="K59" s="51">
        <f>VLOOKUP($A59,'Data Vlaue (Cr)'!$C:$FB,60)</f>
        <v>544</v>
      </c>
      <c r="L59" s="51">
        <f>VLOOKUP($A59,'Data Vlaue (Cr)'!$C:$FB,62)*100</f>
        <v>77.13</v>
      </c>
      <c r="M59" s="51">
        <f>VLOOKUP($A59,'Data Vlaue (Cr)'!$C:$FB,63)</f>
        <v>384</v>
      </c>
      <c r="N59" s="51">
        <f>VLOOKUP($A59,'Data Vlaue (Cr)'!$C:$FB,64)</f>
        <v>189</v>
      </c>
      <c r="O59" s="51">
        <f>VLOOKUP($A59,'Data Vlaue (Cr)'!$C:$FB,66)*100</f>
        <v>102.84</v>
      </c>
    </row>
    <row r="60" spans="1:15" x14ac:dyDescent="0.25">
      <c r="A60" s="101" t="str">
        <f>'Data Vlaue (Cr)'!C55</f>
        <v>DIVISLAB</v>
      </c>
      <c r="B60" s="50">
        <f>VLOOKUP($A60,'Data Vlaue (Cr)'!$C:$FB,8)</f>
        <v>6642.5</v>
      </c>
      <c r="C60" s="50">
        <f>VLOOKUP($A60,'Data Vlaue (Cr)'!$C:$FB,11)*100</f>
        <v>0</v>
      </c>
      <c r="D60" s="50">
        <f>VLOOKUP($A60,'Data Vlaue (Cr)'!$C:$FB,143)</f>
        <v>3247.87</v>
      </c>
      <c r="E60" s="50">
        <f>VLOOKUP($A60,'Data Vlaue (Cr)'!$C:$FB,144)</f>
        <v>8775.67</v>
      </c>
      <c r="F60" s="50">
        <f>VLOOKUP($A60,'Data Vlaue (Cr)'!$C:$FB,146)*100</f>
        <v>-62.99</v>
      </c>
      <c r="G60" s="49">
        <f>VLOOKUP($A60,'Data Vlaue (Cr)'!$C:$FB,43)</f>
        <v>318</v>
      </c>
      <c r="H60" s="49">
        <f>VLOOKUP($A60,'Data Vlaue (Cr)'!$C:$FB,44)</f>
        <v>626</v>
      </c>
      <c r="I60" s="49">
        <f>VLOOKUP($A60,'Data Vlaue (Cr)'!$C:$FB,46)*100</f>
        <v>-49.27</v>
      </c>
      <c r="J60" s="51">
        <f>VLOOKUP($A60,'Data Vlaue (Cr)'!$C:$FB,59)</f>
        <v>2214</v>
      </c>
      <c r="K60" s="51">
        <f>VLOOKUP($A60,'Data Vlaue (Cr)'!$C:$FB,60)</f>
        <v>6545</v>
      </c>
      <c r="L60" s="51">
        <f>VLOOKUP($A60,'Data Vlaue (Cr)'!$C:$FB,62)*100</f>
        <v>-66.17</v>
      </c>
      <c r="M60" s="51">
        <f>VLOOKUP($A60,'Data Vlaue (Cr)'!$C:$FB,63)</f>
        <v>639</v>
      </c>
      <c r="N60" s="51">
        <f>VLOOKUP($A60,'Data Vlaue (Cr)'!$C:$FB,64)</f>
        <v>1459</v>
      </c>
      <c r="O60" s="51">
        <f>VLOOKUP($A60,'Data Vlaue (Cr)'!$C:$FB,66)*100</f>
        <v>-56.230000000000004</v>
      </c>
    </row>
    <row r="61" spans="1:15" x14ac:dyDescent="0.25">
      <c r="A61" s="101" t="str">
        <f>'Data Vlaue (Cr)'!C56</f>
        <v>DIXON</v>
      </c>
      <c r="B61" s="50">
        <f>VLOOKUP($A61,'Data Vlaue (Cr)'!$C:$FB,8)</f>
        <v>11770</v>
      </c>
      <c r="C61" s="50">
        <f>VLOOKUP($A61,'Data Vlaue (Cr)'!$C:$FB,11)*100</f>
        <v>0.38</v>
      </c>
      <c r="D61" s="50">
        <f>VLOOKUP($A61,'Data Vlaue (Cr)'!$C:$FB,143)</f>
        <v>11572.32</v>
      </c>
      <c r="E61" s="50">
        <f>VLOOKUP($A61,'Data Vlaue (Cr)'!$C:$FB,144)</f>
        <v>8360.7000000000007</v>
      </c>
      <c r="F61" s="50">
        <f>VLOOKUP($A61,'Data Vlaue (Cr)'!$C:$FB,146)*100</f>
        <v>38.409999999999997</v>
      </c>
      <c r="G61" s="49">
        <f>VLOOKUP($A61,'Data Vlaue (Cr)'!$C:$FB,43)</f>
        <v>1306</v>
      </c>
      <c r="H61" s="49">
        <f>VLOOKUP($A61,'Data Vlaue (Cr)'!$C:$FB,44)</f>
        <v>1138</v>
      </c>
      <c r="I61" s="49">
        <f>VLOOKUP($A61,'Data Vlaue (Cr)'!$C:$FB,46)*100</f>
        <v>14.729999999999999</v>
      </c>
      <c r="J61" s="51">
        <f>VLOOKUP($A61,'Data Vlaue (Cr)'!$C:$FB,59)</f>
        <v>5794</v>
      </c>
      <c r="K61" s="51">
        <f>VLOOKUP($A61,'Data Vlaue (Cr)'!$C:$FB,60)</f>
        <v>3817</v>
      </c>
      <c r="L61" s="51">
        <f>VLOOKUP($A61,'Data Vlaue (Cr)'!$C:$FB,62)*100</f>
        <v>51.790000000000006</v>
      </c>
      <c r="M61" s="51">
        <f>VLOOKUP($A61,'Data Vlaue (Cr)'!$C:$FB,63)</f>
        <v>4076</v>
      </c>
      <c r="N61" s="51">
        <f>VLOOKUP($A61,'Data Vlaue (Cr)'!$C:$FB,64)</f>
        <v>3045</v>
      </c>
      <c r="O61" s="51">
        <f>VLOOKUP($A61,'Data Vlaue (Cr)'!$C:$FB,66)*100</f>
        <v>33.85</v>
      </c>
    </row>
    <row r="62" spans="1:15" x14ac:dyDescent="0.25">
      <c r="A62" s="101" t="str">
        <f>'Data Vlaue (Cr)'!C57</f>
        <v>DLF</v>
      </c>
      <c r="B62" s="50">
        <f>VLOOKUP($A62,'Data Vlaue (Cr)'!$C:$FB,8)</f>
        <v>703.25</v>
      </c>
      <c r="C62" s="50">
        <f>VLOOKUP($A62,'Data Vlaue (Cr)'!$C:$FB,11)*100</f>
        <v>-0.43</v>
      </c>
      <c r="D62" s="50">
        <f>VLOOKUP($A62,'Data Vlaue (Cr)'!$C:$FB,143)</f>
        <v>2052.65</v>
      </c>
      <c r="E62" s="50">
        <f>VLOOKUP($A62,'Data Vlaue (Cr)'!$C:$FB,144)</f>
        <v>2228.36</v>
      </c>
      <c r="F62" s="50">
        <f>VLOOKUP($A62,'Data Vlaue (Cr)'!$C:$FB,146)*100</f>
        <v>-7.89</v>
      </c>
      <c r="G62" s="49">
        <f>VLOOKUP($A62,'Data Vlaue (Cr)'!$C:$FB,43)</f>
        <v>411</v>
      </c>
      <c r="H62" s="49">
        <f>VLOOKUP($A62,'Data Vlaue (Cr)'!$C:$FB,44)</f>
        <v>422</v>
      </c>
      <c r="I62" s="49">
        <f>VLOOKUP($A62,'Data Vlaue (Cr)'!$C:$FB,46)*100</f>
        <v>-2.65</v>
      </c>
      <c r="J62" s="51">
        <f>VLOOKUP($A62,'Data Vlaue (Cr)'!$C:$FB,59)</f>
        <v>1165</v>
      </c>
      <c r="K62" s="51">
        <f>VLOOKUP($A62,'Data Vlaue (Cr)'!$C:$FB,60)</f>
        <v>1355</v>
      </c>
      <c r="L62" s="51">
        <f>VLOOKUP($A62,'Data Vlaue (Cr)'!$C:$FB,62)*100</f>
        <v>-14.000000000000002</v>
      </c>
      <c r="M62" s="51">
        <f>VLOOKUP($A62,'Data Vlaue (Cr)'!$C:$FB,63)</f>
        <v>447</v>
      </c>
      <c r="N62" s="51">
        <f>VLOOKUP($A62,'Data Vlaue (Cr)'!$C:$FB,64)</f>
        <v>387</v>
      </c>
      <c r="O62" s="51">
        <f>VLOOKUP($A62,'Data Vlaue (Cr)'!$C:$FB,66)*100</f>
        <v>15.55</v>
      </c>
    </row>
    <row r="63" spans="1:15" x14ac:dyDescent="0.25">
      <c r="A63" s="101" t="str">
        <f>'Data Vlaue (Cr)'!C58</f>
        <v>DMART</v>
      </c>
      <c r="B63" s="50">
        <f>VLOOKUP($A63,'Data Vlaue (Cr)'!$C:$FB,8)</f>
        <v>3841.6</v>
      </c>
      <c r="C63" s="50">
        <f>VLOOKUP($A63,'Data Vlaue (Cr)'!$C:$FB,11)*100</f>
        <v>4.8599999999999994</v>
      </c>
      <c r="D63" s="50">
        <f>VLOOKUP($A63,'Data Vlaue (Cr)'!$C:$FB,143)</f>
        <v>7062.99</v>
      </c>
      <c r="E63" s="50">
        <f>VLOOKUP($A63,'Data Vlaue (Cr)'!$C:$FB,144)</f>
        <v>2042.34</v>
      </c>
      <c r="F63" s="50">
        <f>VLOOKUP($A63,'Data Vlaue (Cr)'!$C:$FB,146)*100</f>
        <v>245.82999999999998</v>
      </c>
      <c r="G63" s="49">
        <f>VLOOKUP($A63,'Data Vlaue (Cr)'!$C:$FB,43)</f>
        <v>830</v>
      </c>
      <c r="H63" s="49">
        <f>VLOOKUP($A63,'Data Vlaue (Cr)'!$C:$FB,44)</f>
        <v>352</v>
      </c>
      <c r="I63" s="49">
        <f>VLOOKUP($A63,'Data Vlaue (Cr)'!$C:$FB,46)*100</f>
        <v>135.56</v>
      </c>
      <c r="J63" s="51">
        <f>VLOOKUP($A63,'Data Vlaue (Cr)'!$C:$FB,59)</f>
        <v>4759</v>
      </c>
      <c r="K63" s="51">
        <f>VLOOKUP($A63,'Data Vlaue (Cr)'!$C:$FB,60)</f>
        <v>1143</v>
      </c>
      <c r="L63" s="51">
        <f>VLOOKUP($A63,'Data Vlaue (Cr)'!$C:$FB,62)*100</f>
        <v>316.29999999999995</v>
      </c>
      <c r="M63" s="51">
        <f>VLOOKUP($A63,'Data Vlaue (Cr)'!$C:$FB,63)</f>
        <v>1341</v>
      </c>
      <c r="N63" s="51">
        <f>VLOOKUP($A63,'Data Vlaue (Cr)'!$C:$FB,64)</f>
        <v>595</v>
      </c>
      <c r="O63" s="51">
        <f>VLOOKUP($A63,'Data Vlaue (Cr)'!$C:$FB,66)*100</f>
        <v>125.44</v>
      </c>
    </row>
    <row r="64" spans="1:15" x14ac:dyDescent="0.25">
      <c r="A64" s="101" t="str">
        <f>'Data Vlaue (Cr)'!C59</f>
        <v>DRREDDY</v>
      </c>
      <c r="B64" s="50">
        <f>VLOOKUP($A64,'Data Vlaue (Cr)'!$C:$FB,8)</f>
        <v>1242.8</v>
      </c>
      <c r="C64" s="50">
        <f>VLOOKUP($A64,'Data Vlaue (Cr)'!$C:$FB,11)*100</f>
        <v>-1.0699999999999998</v>
      </c>
      <c r="D64" s="50">
        <f>VLOOKUP($A64,'Data Vlaue (Cr)'!$C:$FB,143)</f>
        <v>1602.19</v>
      </c>
      <c r="E64" s="50">
        <f>VLOOKUP($A64,'Data Vlaue (Cr)'!$C:$FB,144)</f>
        <v>756.87</v>
      </c>
      <c r="F64" s="50">
        <f>VLOOKUP($A64,'Data Vlaue (Cr)'!$C:$FB,146)*100</f>
        <v>111.69</v>
      </c>
      <c r="G64" s="49">
        <f>VLOOKUP($A64,'Data Vlaue (Cr)'!$C:$FB,43)</f>
        <v>353</v>
      </c>
      <c r="H64" s="49">
        <f>VLOOKUP($A64,'Data Vlaue (Cr)'!$C:$FB,44)</f>
        <v>168</v>
      </c>
      <c r="I64" s="49">
        <f>VLOOKUP($A64,'Data Vlaue (Cr)'!$C:$FB,46)*100</f>
        <v>110.49</v>
      </c>
      <c r="J64" s="51">
        <f>VLOOKUP($A64,'Data Vlaue (Cr)'!$C:$FB,59)</f>
        <v>866</v>
      </c>
      <c r="K64" s="51">
        <f>VLOOKUP($A64,'Data Vlaue (Cr)'!$C:$FB,60)</f>
        <v>422</v>
      </c>
      <c r="L64" s="51">
        <f>VLOOKUP($A64,'Data Vlaue (Cr)'!$C:$FB,62)*100</f>
        <v>105.2</v>
      </c>
      <c r="M64" s="51">
        <f>VLOOKUP($A64,'Data Vlaue (Cr)'!$C:$FB,63)</f>
        <v>342</v>
      </c>
      <c r="N64" s="51">
        <f>VLOOKUP($A64,'Data Vlaue (Cr)'!$C:$FB,64)</f>
        <v>147</v>
      </c>
      <c r="O64" s="51">
        <f>VLOOKUP($A64,'Data Vlaue (Cr)'!$C:$FB,66)*100</f>
        <v>132.36000000000001</v>
      </c>
    </row>
    <row r="65" spans="1:15" x14ac:dyDescent="0.25">
      <c r="A65" s="101" t="str">
        <f>'Data Vlaue (Cr)'!C60</f>
        <v>EICHERMOT</v>
      </c>
      <c r="B65" s="50">
        <f>VLOOKUP($A65,'Data Vlaue (Cr)'!$C:$FB,8)</f>
        <v>7582.5</v>
      </c>
      <c r="C65" s="50">
        <f>VLOOKUP($A65,'Data Vlaue (Cr)'!$C:$FB,11)*100</f>
        <v>0.8</v>
      </c>
      <c r="D65" s="50">
        <f>VLOOKUP($A65,'Data Vlaue (Cr)'!$C:$FB,143)</f>
        <v>2645.81</v>
      </c>
      <c r="E65" s="50">
        <f>VLOOKUP($A65,'Data Vlaue (Cr)'!$C:$FB,144)</f>
        <v>3706.99</v>
      </c>
      <c r="F65" s="50">
        <f>VLOOKUP($A65,'Data Vlaue (Cr)'!$C:$FB,146)*100</f>
        <v>-28.63</v>
      </c>
      <c r="G65" s="49">
        <f>VLOOKUP($A65,'Data Vlaue (Cr)'!$C:$FB,43)</f>
        <v>292</v>
      </c>
      <c r="H65" s="49">
        <f>VLOOKUP($A65,'Data Vlaue (Cr)'!$C:$FB,44)</f>
        <v>343</v>
      </c>
      <c r="I65" s="49">
        <f>VLOOKUP($A65,'Data Vlaue (Cr)'!$C:$FB,46)*100</f>
        <v>-14.89</v>
      </c>
      <c r="J65" s="51">
        <f>VLOOKUP($A65,'Data Vlaue (Cr)'!$C:$FB,59)</f>
        <v>1285</v>
      </c>
      <c r="K65" s="51">
        <f>VLOOKUP($A65,'Data Vlaue (Cr)'!$C:$FB,60)</f>
        <v>2015</v>
      </c>
      <c r="L65" s="51">
        <f>VLOOKUP($A65,'Data Vlaue (Cr)'!$C:$FB,62)*100</f>
        <v>-36.26</v>
      </c>
      <c r="M65" s="51">
        <f>VLOOKUP($A65,'Data Vlaue (Cr)'!$C:$FB,63)</f>
        <v>1061</v>
      </c>
      <c r="N65" s="51">
        <f>VLOOKUP($A65,'Data Vlaue (Cr)'!$C:$FB,64)</f>
        <v>1345</v>
      </c>
      <c r="O65" s="51">
        <f>VLOOKUP($A65,'Data Vlaue (Cr)'!$C:$FB,66)*100</f>
        <v>-21.060000000000002</v>
      </c>
    </row>
    <row r="66" spans="1:15" x14ac:dyDescent="0.25">
      <c r="A66" s="101" t="str">
        <f>'Data Vlaue (Cr)'!C61</f>
        <v>ETERNAL</v>
      </c>
      <c r="B66" s="50">
        <f>VLOOKUP($A66,'Data Vlaue (Cr)'!$C:$FB,8)</f>
        <v>280.95</v>
      </c>
      <c r="C66" s="50">
        <f>VLOOKUP($A66,'Data Vlaue (Cr)'!$C:$FB,11)*100</f>
        <v>0.67999999999999994</v>
      </c>
      <c r="D66" s="50">
        <f>VLOOKUP($A66,'Data Vlaue (Cr)'!$C:$FB,143)</f>
        <v>4861.22</v>
      </c>
      <c r="E66" s="50">
        <f>VLOOKUP($A66,'Data Vlaue (Cr)'!$C:$FB,144)</f>
        <v>3080.11</v>
      </c>
      <c r="F66" s="50">
        <f>VLOOKUP($A66,'Data Vlaue (Cr)'!$C:$FB,146)*100</f>
        <v>57.830000000000005</v>
      </c>
      <c r="G66" s="49">
        <f>VLOOKUP($A66,'Data Vlaue (Cr)'!$C:$FB,43)</f>
        <v>1007</v>
      </c>
      <c r="H66" s="49">
        <f>VLOOKUP($A66,'Data Vlaue (Cr)'!$C:$FB,44)</f>
        <v>553</v>
      </c>
      <c r="I66" s="49">
        <f>VLOOKUP($A66,'Data Vlaue (Cr)'!$C:$FB,46)*100</f>
        <v>82.33</v>
      </c>
      <c r="J66" s="51">
        <f>VLOOKUP($A66,'Data Vlaue (Cr)'!$C:$FB,59)</f>
        <v>2342</v>
      </c>
      <c r="K66" s="51">
        <f>VLOOKUP($A66,'Data Vlaue (Cr)'!$C:$FB,60)</f>
        <v>1455</v>
      </c>
      <c r="L66" s="51">
        <f>VLOOKUP($A66,'Data Vlaue (Cr)'!$C:$FB,62)*100</f>
        <v>60.980000000000004</v>
      </c>
      <c r="M66" s="51">
        <f>VLOOKUP($A66,'Data Vlaue (Cr)'!$C:$FB,63)</f>
        <v>1382</v>
      </c>
      <c r="N66" s="51">
        <f>VLOOKUP($A66,'Data Vlaue (Cr)'!$C:$FB,64)</f>
        <v>1024</v>
      </c>
      <c r="O66" s="51">
        <f>VLOOKUP($A66,'Data Vlaue (Cr)'!$C:$FB,66)*100</f>
        <v>34.979999999999997</v>
      </c>
    </row>
    <row r="67" spans="1:15" x14ac:dyDescent="0.25">
      <c r="A67" s="101" t="str">
        <f>'Data Vlaue (Cr)'!C62</f>
        <v>EXIDEIND</v>
      </c>
      <c r="B67" s="50">
        <f>VLOOKUP($A67,'Data Vlaue (Cr)'!$C:$FB,8)</f>
        <v>359.4</v>
      </c>
      <c r="C67" s="50">
        <f>VLOOKUP($A67,'Data Vlaue (Cr)'!$C:$FB,11)*100</f>
        <v>-1.21</v>
      </c>
      <c r="D67" s="50">
        <f>VLOOKUP($A67,'Data Vlaue (Cr)'!$C:$FB,143)</f>
        <v>794.11</v>
      </c>
      <c r="E67" s="50">
        <f>VLOOKUP($A67,'Data Vlaue (Cr)'!$C:$FB,144)</f>
        <v>732.49</v>
      </c>
      <c r="F67" s="50">
        <f>VLOOKUP($A67,'Data Vlaue (Cr)'!$C:$FB,146)*100</f>
        <v>8.41</v>
      </c>
      <c r="G67" s="49">
        <f>VLOOKUP($A67,'Data Vlaue (Cr)'!$C:$FB,43)</f>
        <v>194</v>
      </c>
      <c r="H67" s="49">
        <f>VLOOKUP($A67,'Data Vlaue (Cr)'!$C:$FB,44)</f>
        <v>143</v>
      </c>
      <c r="I67" s="49">
        <f>VLOOKUP($A67,'Data Vlaue (Cr)'!$C:$FB,46)*100</f>
        <v>35.5</v>
      </c>
      <c r="J67" s="51">
        <f>VLOOKUP($A67,'Data Vlaue (Cr)'!$C:$FB,59)</f>
        <v>407</v>
      </c>
      <c r="K67" s="51">
        <f>VLOOKUP($A67,'Data Vlaue (Cr)'!$C:$FB,60)</f>
        <v>405</v>
      </c>
      <c r="L67" s="51">
        <f>VLOOKUP($A67,'Data Vlaue (Cr)'!$C:$FB,62)*100</f>
        <v>0.43</v>
      </c>
      <c r="M67" s="51">
        <f>VLOOKUP($A67,'Data Vlaue (Cr)'!$C:$FB,63)</f>
        <v>171</v>
      </c>
      <c r="N67" s="51">
        <f>VLOOKUP($A67,'Data Vlaue (Cr)'!$C:$FB,64)</f>
        <v>156</v>
      </c>
      <c r="O67" s="51">
        <f>VLOOKUP($A67,'Data Vlaue (Cr)'!$C:$FB,66)*100</f>
        <v>9.77</v>
      </c>
    </row>
    <row r="68" spans="1:15" x14ac:dyDescent="0.25">
      <c r="A68" s="101" t="str">
        <f>'Data Vlaue (Cr)'!C63</f>
        <v>FEDERALBNK</v>
      </c>
      <c r="B68" s="50">
        <f>VLOOKUP($A68,'Data Vlaue (Cr)'!$C:$FB,8)</f>
        <v>258.55</v>
      </c>
      <c r="C68" s="50">
        <f>VLOOKUP($A68,'Data Vlaue (Cr)'!$C:$FB,11)*100</f>
        <v>0.72</v>
      </c>
      <c r="D68" s="50">
        <f>VLOOKUP($A68,'Data Vlaue (Cr)'!$C:$FB,143)</f>
        <v>2402.2800000000002</v>
      </c>
      <c r="E68" s="50">
        <f>VLOOKUP($A68,'Data Vlaue (Cr)'!$C:$FB,144)</f>
        <v>4027.8</v>
      </c>
      <c r="F68" s="50">
        <f>VLOOKUP($A68,'Data Vlaue (Cr)'!$C:$FB,146)*100</f>
        <v>-40.36</v>
      </c>
      <c r="G68" s="49">
        <f>VLOOKUP($A68,'Data Vlaue (Cr)'!$C:$FB,43)</f>
        <v>498</v>
      </c>
      <c r="H68" s="49">
        <f>VLOOKUP($A68,'Data Vlaue (Cr)'!$C:$FB,44)</f>
        <v>976</v>
      </c>
      <c r="I68" s="49">
        <f>VLOOKUP($A68,'Data Vlaue (Cr)'!$C:$FB,46)*100</f>
        <v>-48.949999999999996</v>
      </c>
      <c r="J68" s="51">
        <f>VLOOKUP($A68,'Data Vlaue (Cr)'!$C:$FB,59)</f>
        <v>1272</v>
      </c>
      <c r="K68" s="51">
        <f>VLOOKUP($A68,'Data Vlaue (Cr)'!$C:$FB,60)</f>
        <v>1875</v>
      </c>
      <c r="L68" s="51">
        <f>VLOOKUP($A68,'Data Vlaue (Cr)'!$C:$FB,62)*100</f>
        <v>-32.129999999999995</v>
      </c>
      <c r="M68" s="51">
        <f>VLOOKUP($A68,'Data Vlaue (Cr)'!$C:$FB,63)</f>
        <v>574</v>
      </c>
      <c r="N68" s="51">
        <f>VLOOKUP($A68,'Data Vlaue (Cr)'!$C:$FB,64)</f>
        <v>1071</v>
      </c>
      <c r="O68" s="51">
        <f>VLOOKUP($A68,'Data Vlaue (Cr)'!$C:$FB,66)*100</f>
        <v>-46.45</v>
      </c>
    </row>
    <row r="69" spans="1:15" x14ac:dyDescent="0.25">
      <c r="A69" s="101" t="str">
        <f>'Data Vlaue (Cr)'!C64</f>
        <v>FINNIFTY</v>
      </c>
      <c r="B69" s="50">
        <f>VLOOKUP($A69,'Data Vlaue (Cr)'!$C:$FB,8)</f>
        <v>27853.35</v>
      </c>
      <c r="C69" s="50">
        <f>VLOOKUP($A69,'Data Vlaue (Cr)'!$C:$FB,11)*100</f>
        <v>-0.33</v>
      </c>
      <c r="D69" s="50">
        <f>VLOOKUP($A69,'Data Vlaue (Cr)'!$C:$FB,143)</f>
        <v>4632.6099999999997</v>
      </c>
      <c r="E69" s="50">
        <f>VLOOKUP($A69,'Data Vlaue (Cr)'!$C:$FB,144)</f>
        <v>8443.82</v>
      </c>
      <c r="F69" s="50">
        <f>VLOOKUP($A69,'Data Vlaue (Cr)'!$C:$FB,146)*100</f>
        <v>-45.14</v>
      </c>
      <c r="G69" s="49">
        <f>VLOOKUP($A69,'Data Vlaue (Cr)'!$C:$FB,43)</f>
        <v>36</v>
      </c>
      <c r="H69" s="49">
        <f>VLOOKUP($A69,'Data Vlaue (Cr)'!$C:$FB,44)</f>
        <v>41</v>
      </c>
      <c r="I69" s="49">
        <f>VLOOKUP($A69,'Data Vlaue (Cr)'!$C:$FB,46)*100</f>
        <v>-14.17</v>
      </c>
      <c r="J69" s="51">
        <f>VLOOKUP($A69,'Data Vlaue (Cr)'!$C:$FB,59)</f>
        <v>2243</v>
      </c>
      <c r="K69" s="51">
        <f>VLOOKUP($A69,'Data Vlaue (Cr)'!$C:$FB,60)</f>
        <v>4718</v>
      </c>
      <c r="L69" s="51">
        <f>VLOOKUP($A69,'Data Vlaue (Cr)'!$C:$FB,62)*100</f>
        <v>-52.449999999999996</v>
      </c>
      <c r="M69" s="51">
        <f>VLOOKUP($A69,'Data Vlaue (Cr)'!$C:$FB,63)</f>
        <v>2330</v>
      </c>
      <c r="N69" s="51">
        <f>VLOOKUP($A69,'Data Vlaue (Cr)'!$C:$FB,64)</f>
        <v>3591</v>
      </c>
      <c r="O69" s="51">
        <f>VLOOKUP($A69,'Data Vlaue (Cr)'!$C:$FB,66)*100</f>
        <v>-35.120000000000005</v>
      </c>
    </row>
    <row r="70" spans="1:15" x14ac:dyDescent="0.25">
      <c r="A70" s="101" t="str">
        <f>'Data Vlaue (Cr)'!C65</f>
        <v>FORTIS</v>
      </c>
      <c r="B70" s="50">
        <f>VLOOKUP($A70,'Data Vlaue (Cr)'!$C:$FB,8)</f>
        <v>940.85</v>
      </c>
      <c r="C70" s="50">
        <f>VLOOKUP($A70,'Data Vlaue (Cr)'!$C:$FB,11)*100</f>
        <v>-0.44</v>
      </c>
      <c r="D70" s="50">
        <f>VLOOKUP($A70,'Data Vlaue (Cr)'!$C:$FB,143)</f>
        <v>885.35</v>
      </c>
      <c r="E70" s="50">
        <f>VLOOKUP($A70,'Data Vlaue (Cr)'!$C:$FB,144)</f>
        <v>2244.9</v>
      </c>
      <c r="F70" s="50">
        <f>VLOOKUP($A70,'Data Vlaue (Cr)'!$C:$FB,146)*100</f>
        <v>-60.56</v>
      </c>
      <c r="G70" s="49">
        <f>VLOOKUP($A70,'Data Vlaue (Cr)'!$C:$FB,43)</f>
        <v>225</v>
      </c>
      <c r="H70" s="49">
        <f>VLOOKUP($A70,'Data Vlaue (Cr)'!$C:$FB,44)</f>
        <v>473</v>
      </c>
      <c r="I70" s="49">
        <f>VLOOKUP($A70,'Data Vlaue (Cr)'!$C:$FB,46)*100</f>
        <v>-52.55</v>
      </c>
      <c r="J70" s="51">
        <f>VLOOKUP($A70,'Data Vlaue (Cr)'!$C:$FB,59)</f>
        <v>489</v>
      </c>
      <c r="K70" s="51">
        <f>VLOOKUP($A70,'Data Vlaue (Cr)'!$C:$FB,60)</f>
        <v>1458</v>
      </c>
      <c r="L70" s="51">
        <f>VLOOKUP($A70,'Data Vlaue (Cr)'!$C:$FB,62)*100</f>
        <v>-66.42</v>
      </c>
      <c r="M70" s="51">
        <f>VLOOKUP($A70,'Data Vlaue (Cr)'!$C:$FB,63)</f>
        <v>153</v>
      </c>
      <c r="N70" s="51">
        <f>VLOOKUP($A70,'Data Vlaue (Cr)'!$C:$FB,64)</f>
        <v>281</v>
      </c>
      <c r="O70" s="51">
        <f>VLOOKUP($A70,'Data Vlaue (Cr)'!$C:$FB,66)*100</f>
        <v>-45.51</v>
      </c>
    </row>
    <row r="71" spans="1:15" x14ac:dyDescent="0.25">
      <c r="A71" s="101" t="str">
        <f>'Data Vlaue (Cr)'!C66</f>
        <v>GAIL</v>
      </c>
      <c r="B71" s="50">
        <f>VLOOKUP($A71,'Data Vlaue (Cr)'!$C:$FB,8)</f>
        <v>168.48</v>
      </c>
      <c r="C71" s="50">
        <f>VLOOKUP($A71,'Data Vlaue (Cr)'!$C:$FB,11)*100</f>
        <v>-0.54</v>
      </c>
      <c r="D71" s="50">
        <f>VLOOKUP($A71,'Data Vlaue (Cr)'!$C:$FB,143)</f>
        <v>915.72</v>
      </c>
      <c r="E71" s="50">
        <f>VLOOKUP($A71,'Data Vlaue (Cr)'!$C:$FB,144)</f>
        <v>951.87</v>
      </c>
      <c r="F71" s="50">
        <f>VLOOKUP($A71,'Data Vlaue (Cr)'!$C:$FB,146)*100</f>
        <v>-3.8</v>
      </c>
      <c r="G71" s="49">
        <f>VLOOKUP($A71,'Data Vlaue (Cr)'!$C:$FB,43)</f>
        <v>211</v>
      </c>
      <c r="H71" s="49">
        <f>VLOOKUP($A71,'Data Vlaue (Cr)'!$C:$FB,44)</f>
        <v>241</v>
      </c>
      <c r="I71" s="49">
        <f>VLOOKUP($A71,'Data Vlaue (Cr)'!$C:$FB,46)*100</f>
        <v>-12.44</v>
      </c>
      <c r="J71" s="51">
        <f>VLOOKUP($A71,'Data Vlaue (Cr)'!$C:$FB,59)</f>
        <v>441</v>
      </c>
      <c r="K71" s="51">
        <f>VLOOKUP($A71,'Data Vlaue (Cr)'!$C:$FB,60)</f>
        <v>435</v>
      </c>
      <c r="L71" s="51">
        <f>VLOOKUP($A71,'Data Vlaue (Cr)'!$C:$FB,62)*100</f>
        <v>1.53</v>
      </c>
      <c r="M71" s="51">
        <f>VLOOKUP($A71,'Data Vlaue (Cr)'!$C:$FB,63)</f>
        <v>243</v>
      </c>
      <c r="N71" s="51">
        <f>VLOOKUP($A71,'Data Vlaue (Cr)'!$C:$FB,64)</f>
        <v>244</v>
      </c>
      <c r="O71" s="51">
        <f>VLOOKUP($A71,'Data Vlaue (Cr)'!$C:$FB,66)*100</f>
        <v>-0.44</v>
      </c>
    </row>
    <row r="72" spans="1:15" x14ac:dyDescent="0.25">
      <c r="A72" s="101" t="str">
        <f>'Data Vlaue (Cr)'!C67</f>
        <v>GLENMARK</v>
      </c>
      <c r="B72" s="50">
        <f>VLOOKUP($A72,'Data Vlaue (Cr)'!$C:$FB,8)</f>
        <v>2113.1</v>
      </c>
      <c r="C72" s="50">
        <f>VLOOKUP($A72,'Data Vlaue (Cr)'!$C:$FB,11)*100</f>
        <v>1.8599999999999999</v>
      </c>
      <c r="D72" s="50">
        <f>VLOOKUP($A72,'Data Vlaue (Cr)'!$C:$FB,143)</f>
        <v>5695</v>
      </c>
      <c r="E72" s="50">
        <f>VLOOKUP($A72,'Data Vlaue (Cr)'!$C:$FB,144)</f>
        <v>1105.1099999999999</v>
      </c>
      <c r="F72" s="50">
        <f>VLOOKUP($A72,'Data Vlaue (Cr)'!$C:$FB,146)*100</f>
        <v>415.33</v>
      </c>
      <c r="G72" s="49">
        <f>VLOOKUP($A72,'Data Vlaue (Cr)'!$C:$FB,43)</f>
        <v>880</v>
      </c>
      <c r="H72" s="49">
        <f>VLOOKUP($A72,'Data Vlaue (Cr)'!$C:$FB,44)</f>
        <v>278</v>
      </c>
      <c r="I72" s="49">
        <f>VLOOKUP($A72,'Data Vlaue (Cr)'!$C:$FB,46)*100</f>
        <v>215.98000000000002</v>
      </c>
      <c r="J72" s="51">
        <f>VLOOKUP($A72,'Data Vlaue (Cr)'!$C:$FB,59)</f>
        <v>3543</v>
      </c>
      <c r="K72" s="51">
        <f>VLOOKUP($A72,'Data Vlaue (Cr)'!$C:$FB,60)</f>
        <v>579</v>
      </c>
      <c r="L72" s="51">
        <f>VLOOKUP($A72,'Data Vlaue (Cr)'!$C:$FB,62)*100</f>
        <v>511.78</v>
      </c>
      <c r="M72" s="51">
        <f>VLOOKUP($A72,'Data Vlaue (Cr)'!$C:$FB,63)</f>
        <v>1163</v>
      </c>
      <c r="N72" s="51">
        <f>VLOOKUP($A72,'Data Vlaue (Cr)'!$C:$FB,64)</f>
        <v>256</v>
      </c>
      <c r="O72" s="51">
        <f>VLOOKUP($A72,'Data Vlaue (Cr)'!$C:$FB,66)*100</f>
        <v>354.49</v>
      </c>
    </row>
    <row r="73" spans="1:15" x14ac:dyDescent="0.25">
      <c r="A73" s="101" t="str">
        <f>'Data Vlaue (Cr)'!C68</f>
        <v>GMRAIRPORT</v>
      </c>
      <c r="B73" s="50">
        <f>VLOOKUP($A73,'Data Vlaue (Cr)'!$C:$FB,8)</f>
        <v>104.51</v>
      </c>
      <c r="C73" s="50">
        <f>VLOOKUP($A73,'Data Vlaue (Cr)'!$C:$FB,11)*100</f>
        <v>-0.01</v>
      </c>
      <c r="D73" s="50">
        <f>VLOOKUP($A73,'Data Vlaue (Cr)'!$C:$FB,143)</f>
        <v>1033</v>
      </c>
      <c r="E73" s="50">
        <f>VLOOKUP($A73,'Data Vlaue (Cr)'!$C:$FB,144)</f>
        <v>1020.21</v>
      </c>
      <c r="F73" s="50">
        <f>VLOOKUP($A73,'Data Vlaue (Cr)'!$C:$FB,146)*100</f>
        <v>1.25</v>
      </c>
      <c r="G73" s="49">
        <f>VLOOKUP($A73,'Data Vlaue (Cr)'!$C:$FB,43)</f>
        <v>274</v>
      </c>
      <c r="H73" s="49">
        <f>VLOOKUP($A73,'Data Vlaue (Cr)'!$C:$FB,44)</f>
        <v>262</v>
      </c>
      <c r="I73" s="49">
        <f>VLOOKUP($A73,'Data Vlaue (Cr)'!$C:$FB,46)*100</f>
        <v>4.87</v>
      </c>
      <c r="J73" s="51">
        <f>VLOOKUP($A73,'Data Vlaue (Cr)'!$C:$FB,59)</f>
        <v>572</v>
      </c>
      <c r="K73" s="51">
        <f>VLOOKUP($A73,'Data Vlaue (Cr)'!$C:$FB,60)</f>
        <v>545</v>
      </c>
      <c r="L73" s="51">
        <f>VLOOKUP($A73,'Data Vlaue (Cr)'!$C:$FB,62)*100</f>
        <v>5.0299999999999994</v>
      </c>
      <c r="M73" s="51">
        <f>VLOOKUP($A73,'Data Vlaue (Cr)'!$C:$FB,63)</f>
        <v>162</v>
      </c>
      <c r="N73" s="51">
        <f>VLOOKUP($A73,'Data Vlaue (Cr)'!$C:$FB,64)</f>
        <v>189</v>
      </c>
      <c r="O73" s="51">
        <f>VLOOKUP($A73,'Data Vlaue (Cr)'!$C:$FB,66)*100</f>
        <v>-14.35</v>
      </c>
    </row>
    <row r="74" spans="1:15" x14ac:dyDescent="0.25">
      <c r="A74" s="101" t="str">
        <f>'Data Vlaue (Cr)'!C69</f>
        <v>GODREJCP</v>
      </c>
      <c r="B74" s="50">
        <f>VLOOKUP($A74,'Data Vlaue (Cr)'!$C:$FB,8)</f>
        <v>1247.7</v>
      </c>
      <c r="C74" s="50">
        <f>VLOOKUP($A74,'Data Vlaue (Cr)'!$C:$FB,11)*100</f>
        <v>-0.5</v>
      </c>
      <c r="D74" s="50">
        <f>VLOOKUP($A74,'Data Vlaue (Cr)'!$C:$FB,143)</f>
        <v>1450.5</v>
      </c>
      <c r="E74" s="50">
        <f>VLOOKUP($A74,'Data Vlaue (Cr)'!$C:$FB,144)</f>
        <v>437.03</v>
      </c>
      <c r="F74" s="50">
        <f>VLOOKUP($A74,'Data Vlaue (Cr)'!$C:$FB,146)*100</f>
        <v>231.9</v>
      </c>
      <c r="G74" s="49">
        <f>VLOOKUP($A74,'Data Vlaue (Cr)'!$C:$FB,43)</f>
        <v>399</v>
      </c>
      <c r="H74" s="49">
        <f>VLOOKUP($A74,'Data Vlaue (Cr)'!$C:$FB,44)</f>
        <v>144</v>
      </c>
      <c r="I74" s="49">
        <f>VLOOKUP($A74,'Data Vlaue (Cr)'!$C:$FB,46)*100</f>
        <v>176.64</v>
      </c>
      <c r="J74" s="51">
        <f>VLOOKUP($A74,'Data Vlaue (Cr)'!$C:$FB,59)</f>
        <v>782</v>
      </c>
      <c r="K74" s="51">
        <f>VLOOKUP($A74,'Data Vlaue (Cr)'!$C:$FB,60)</f>
        <v>204</v>
      </c>
      <c r="L74" s="51">
        <f>VLOOKUP($A74,'Data Vlaue (Cr)'!$C:$FB,62)*100</f>
        <v>284.02</v>
      </c>
      <c r="M74" s="51">
        <f>VLOOKUP($A74,'Data Vlaue (Cr)'!$C:$FB,63)</f>
        <v>233</v>
      </c>
      <c r="N74" s="51">
        <f>VLOOKUP($A74,'Data Vlaue (Cr)'!$C:$FB,64)</f>
        <v>83</v>
      </c>
      <c r="O74" s="51">
        <f>VLOOKUP($A74,'Data Vlaue (Cr)'!$C:$FB,66)*100</f>
        <v>181.41</v>
      </c>
    </row>
    <row r="75" spans="1:15" x14ac:dyDescent="0.25">
      <c r="A75" s="101" t="str">
        <f>'Data Vlaue (Cr)'!C70</f>
        <v>GODREJPROP</v>
      </c>
      <c r="B75" s="50">
        <f>VLOOKUP($A75,'Data Vlaue (Cr)'!$C:$FB,8)</f>
        <v>2138.1999999999998</v>
      </c>
      <c r="C75" s="50">
        <f>VLOOKUP($A75,'Data Vlaue (Cr)'!$C:$FB,11)*100</f>
        <v>0.48</v>
      </c>
      <c r="D75" s="50">
        <f>VLOOKUP($A75,'Data Vlaue (Cr)'!$C:$FB,143)</f>
        <v>1230.6300000000001</v>
      </c>
      <c r="E75" s="50">
        <f>VLOOKUP($A75,'Data Vlaue (Cr)'!$C:$FB,144)</f>
        <v>826.75</v>
      </c>
      <c r="F75" s="50">
        <f>VLOOKUP($A75,'Data Vlaue (Cr)'!$C:$FB,146)*100</f>
        <v>48.85</v>
      </c>
      <c r="G75" s="49">
        <f>VLOOKUP($A75,'Data Vlaue (Cr)'!$C:$FB,43)</f>
        <v>380</v>
      </c>
      <c r="H75" s="49">
        <f>VLOOKUP($A75,'Data Vlaue (Cr)'!$C:$FB,44)</f>
        <v>181</v>
      </c>
      <c r="I75" s="49">
        <f>VLOOKUP($A75,'Data Vlaue (Cr)'!$C:$FB,46)*100</f>
        <v>109.48</v>
      </c>
      <c r="J75" s="51">
        <f>VLOOKUP($A75,'Data Vlaue (Cr)'!$C:$FB,59)</f>
        <v>595</v>
      </c>
      <c r="K75" s="51">
        <f>VLOOKUP($A75,'Data Vlaue (Cr)'!$C:$FB,60)</f>
        <v>447</v>
      </c>
      <c r="L75" s="51">
        <f>VLOOKUP($A75,'Data Vlaue (Cr)'!$C:$FB,62)*100</f>
        <v>33.019999999999996</v>
      </c>
      <c r="M75" s="51">
        <f>VLOOKUP($A75,'Data Vlaue (Cr)'!$C:$FB,63)</f>
        <v>243</v>
      </c>
      <c r="N75" s="51">
        <f>VLOOKUP($A75,'Data Vlaue (Cr)'!$C:$FB,64)</f>
        <v>193</v>
      </c>
      <c r="O75" s="51">
        <f>VLOOKUP($A75,'Data Vlaue (Cr)'!$C:$FB,66)*100</f>
        <v>25.629999999999995</v>
      </c>
    </row>
    <row r="76" spans="1:15" x14ac:dyDescent="0.25">
      <c r="A76" s="101" t="str">
        <f>'Data Vlaue (Cr)'!C71</f>
        <v>GRASIM</v>
      </c>
      <c r="B76" s="50">
        <f>VLOOKUP($A76,'Data Vlaue (Cr)'!$C:$FB,8)</f>
        <v>2837.1</v>
      </c>
      <c r="C76" s="50">
        <f>VLOOKUP($A76,'Data Vlaue (Cr)'!$C:$FB,11)*100</f>
        <v>-0.98</v>
      </c>
      <c r="D76" s="50">
        <f>VLOOKUP($A76,'Data Vlaue (Cr)'!$C:$FB,143)</f>
        <v>727.93</v>
      </c>
      <c r="E76" s="50">
        <f>VLOOKUP($A76,'Data Vlaue (Cr)'!$C:$FB,144)</f>
        <v>1074.6500000000001</v>
      </c>
      <c r="F76" s="50">
        <f>VLOOKUP($A76,'Data Vlaue (Cr)'!$C:$FB,146)*100</f>
        <v>-32.26</v>
      </c>
      <c r="G76" s="49">
        <f>VLOOKUP($A76,'Data Vlaue (Cr)'!$C:$FB,43)</f>
        <v>202</v>
      </c>
      <c r="H76" s="49">
        <f>VLOOKUP($A76,'Data Vlaue (Cr)'!$C:$FB,44)</f>
        <v>373</v>
      </c>
      <c r="I76" s="49">
        <f>VLOOKUP($A76,'Data Vlaue (Cr)'!$C:$FB,46)*100</f>
        <v>-45.94</v>
      </c>
      <c r="J76" s="51">
        <f>VLOOKUP($A76,'Data Vlaue (Cr)'!$C:$FB,59)</f>
        <v>274</v>
      </c>
      <c r="K76" s="51">
        <f>VLOOKUP($A76,'Data Vlaue (Cr)'!$C:$FB,60)</f>
        <v>448</v>
      </c>
      <c r="L76" s="51">
        <f>VLOOKUP($A76,'Data Vlaue (Cr)'!$C:$FB,62)*100</f>
        <v>-38.85</v>
      </c>
      <c r="M76" s="51">
        <f>VLOOKUP($A76,'Data Vlaue (Cr)'!$C:$FB,63)</f>
        <v>245</v>
      </c>
      <c r="N76" s="51">
        <f>VLOOKUP($A76,'Data Vlaue (Cr)'!$C:$FB,64)</f>
        <v>231</v>
      </c>
      <c r="O76" s="51">
        <f>VLOOKUP($A76,'Data Vlaue (Cr)'!$C:$FB,66)*100</f>
        <v>5.82</v>
      </c>
    </row>
    <row r="77" spans="1:15" x14ac:dyDescent="0.25">
      <c r="A77" s="101" t="str">
        <f>'Data Vlaue (Cr)'!C72</f>
        <v>HAL</v>
      </c>
      <c r="B77" s="50">
        <f>VLOOKUP($A77,'Data Vlaue (Cr)'!$C:$FB,8)</f>
        <v>4525.1000000000004</v>
      </c>
      <c r="C77" s="50">
        <f>VLOOKUP($A77,'Data Vlaue (Cr)'!$C:$FB,11)*100</f>
        <v>0.2</v>
      </c>
      <c r="D77" s="50">
        <f>VLOOKUP($A77,'Data Vlaue (Cr)'!$C:$FB,143)</f>
        <v>2691.17</v>
      </c>
      <c r="E77" s="50">
        <f>VLOOKUP($A77,'Data Vlaue (Cr)'!$C:$FB,144)</f>
        <v>3878.82</v>
      </c>
      <c r="F77" s="50">
        <f>VLOOKUP($A77,'Data Vlaue (Cr)'!$C:$FB,146)*100</f>
        <v>-30.620000000000005</v>
      </c>
      <c r="G77" s="49">
        <f>VLOOKUP($A77,'Data Vlaue (Cr)'!$C:$FB,43)</f>
        <v>306</v>
      </c>
      <c r="H77" s="49">
        <f>VLOOKUP($A77,'Data Vlaue (Cr)'!$C:$FB,44)</f>
        <v>437</v>
      </c>
      <c r="I77" s="49">
        <f>VLOOKUP($A77,'Data Vlaue (Cr)'!$C:$FB,46)*100</f>
        <v>-30</v>
      </c>
      <c r="J77" s="51">
        <f>VLOOKUP($A77,'Data Vlaue (Cr)'!$C:$FB,59)</f>
        <v>1611</v>
      </c>
      <c r="K77" s="51">
        <f>VLOOKUP($A77,'Data Vlaue (Cr)'!$C:$FB,60)</f>
        <v>2192</v>
      </c>
      <c r="L77" s="51">
        <f>VLOOKUP($A77,'Data Vlaue (Cr)'!$C:$FB,62)*100</f>
        <v>-26.490000000000002</v>
      </c>
      <c r="M77" s="51">
        <f>VLOOKUP($A77,'Data Vlaue (Cr)'!$C:$FB,63)</f>
        <v>726</v>
      </c>
      <c r="N77" s="51">
        <f>VLOOKUP($A77,'Data Vlaue (Cr)'!$C:$FB,64)</f>
        <v>1180</v>
      </c>
      <c r="O77" s="51">
        <f>VLOOKUP($A77,'Data Vlaue (Cr)'!$C:$FB,66)*100</f>
        <v>-38.440000000000005</v>
      </c>
    </row>
    <row r="78" spans="1:15" x14ac:dyDescent="0.25">
      <c r="A78" s="101" t="str">
        <f>'Data Vlaue (Cr)'!C73</f>
        <v>HAVELLS</v>
      </c>
      <c r="B78" s="50">
        <f>VLOOKUP($A78,'Data Vlaue (Cr)'!$C:$FB,8)</f>
        <v>1496.2</v>
      </c>
      <c r="C78" s="50">
        <f>VLOOKUP($A78,'Data Vlaue (Cr)'!$C:$FB,11)*100</f>
        <v>-0.37</v>
      </c>
      <c r="D78" s="50">
        <f>VLOOKUP($A78,'Data Vlaue (Cr)'!$C:$FB,143)</f>
        <v>1064.33</v>
      </c>
      <c r="E78" s="50">
        <f>VLOOKUP($A78,'Data Vlaue (Cr)'!$C:$FB,144)</f>
        <v>2690.28</v>
      </c>
      <c r="F78" s="50">
        <f>VLOOKUP($A78,'Data Vlaue (Cr)'!$C:$FB,146)*100</f>
        <v>-60.440000000000005</v>
      </c>
      <c r="G78" s="49">
        <f>VLOOKUP($A78,'Data Vlaue (Cr)'!$C:$FB,43)</f>
        <v>243</v>
      </c>
      <c r="H78" s="49">
        <f>VLOOKUP($A78,'Data Vlaue (Cr)'!$C:$FB,44)</f>
        <v>528</v>
      </c>
      <c r="I78" s="49">
        <f>VLOOKUP($A78,'Data Vlaue (Cr)'!$C:$FB,46)*100</f>
        <v>-54</v>
      </c>
      <c r="J78" s="51">
        <f>VLOOKUP($A78,'Data Vlaue (Cr)'!$C:$FB,59)</f>
        <v>479</v>
      </c>
      <c r="K78" s="51">
        <f>VLOOKUP($A78,'Data Vlaue (Cr)'!$C:$FB,60)</f>
        <v>1645</v>
      </c>
      <c r="L78" s="51">
        <f>VLOOKUP($A78,'Data Vlaue (Cr)'!$C:$FB,62)*100</f>
        <v>-70.87</v>
      </c>
      <c r="M78" s="51">
        <f>VLOOKUP($A78,'Data Vlaue (Cr)'!$C:$FB,63)</f>
        <v>329</v>
      </c>
      <c r="N78" s="51">
        <f>VLOOKUP($A78,'Data Vlaue (Cr)'!$C:$FB,64)</f>
        <v>497</v>
      </c>
      <c r="O78" s="51">
        <f>VLOOKUP($A78,'Data Vlaue (Cr)'!$C:$FB,66)*100</f>
        <v>-33.869999999999997</v>
      </c>
    </row>
    <row r="79" spans="1:15" x14ac:dyDescent="0.25">
      <c r="A79" s="101" t="str">
        <f>'Data Vlaue (Cr)'!C74</f>
        <v>HCLTECH</v>
      </c>
      <c r="B79" s="50">
        <f>VLOOKUP($A79,'Data Vlaue (Cr)'!$C:$FB,8)</f>
        <v>1647.7</v>
      </c>
      <c r="C79" s="50">
        <f>VLOOKUP($A79,'Data Vlaue (Cr)'!$C:$FB,11)*100</f>
        <v>1.94</v>
      </c>
      <c r="D79" s="50">
        <f>VLOOKUP($A79,'Data Vlaue (Cr)'!$C:$FB,143)</f>
        <v>5128.66</v>
      </c>
      <c r="E79" s="50">
        <f>VLOOKUP($A79,'Data Vlaue (Cr)'!$C:$FB,144)</f>
        <v>1785.24</v>
      </c>
      <c r="F79" s="50">
        <f>VLOOKUP($A79,'Data Vlaue (Cr)'!$C:$FB,146)*100</f>
        <v>187.28</v>
      </c>
      <c r="G79" s="49">
        <f>VLOOKUP($A79,'Data Vlaue (Cr)'!$C:$FB,43)</f>
        <v>872</v>
      </c>
      <c r="H79" s="49">
        <f>VLOOKUP($A79,'Data Vlaue (Cr)'!$C:$FB,44)</f>
        <v>344</v>
      </c>
      <c r="I79" s="49">
        <f>VLOOKUP($A79,'Data Vlaue (Cr)'!$C:$FB,46)*100</f>
        <v>153.51999999999998</v>
      </c>
      <c r="J79" s="51">
        <f>VLOOKUP($A79,'Data Vlaue (Cr)'!$C:$FB,59)</f>
        <v>3103</v>
      </c>
      <c r="K79" s="51">
        <f>VLOOKUP($A79,'Data Vlaue (Cr)'!$C:$FB,60)</f>
        <v>1018</v>
      </c>
      <c r="L79" s="51">
        <f>VLOOKUP($A79,'Data Vlaue (Cr)'!$C:$FB,62)*100</f>
        <v>204.80999999999997</v>
      </c>
      <c r="M79" s="51">
        <f>VLOOKUP($A79,'Data Vlaue (Cr)'!$C:$FB,63)</f>
        <v>1062</v>
      </c>
      <c r="N79" s="51">
        <f>VLOOKUP($A79,'Data Vlaue (Cr)'!$C:$FB,64)</f>
        <v>419</v>
      </c>
      <c r="O79" s="51">
        <f>VLOOKUP($A79,'Data Vlaue (Cr)'!$C:$FB,66)*100</f>
        <v>153.69999999999999</v>
      </c>
    </row>
    <row r="80" spans="1:15" x14ac:dyDescent="0.25">
      <c r="A80" s="101" t="str">
        <f>'Data Vlaue (Cr)'!C75</f>
        <v>HDFCAMC</v>
      </c>
      <c r="B80" s="50">
        <f>VLOOKUP($A80,'Data Vlaue (Cr)'!$C:$FB,8)</f>
        <v>2624.6</v>
      </c>
      <c r="C80" s="50">
        <f>VLOOKUP($A80,'Data Vlaue (Cr)'!$C:$FB,11)*100</f>
        <v>0.1</v>
      </c>
      <c r="D80" s="50">
        <f>VLOOKUP($A80,'Data Vlaue (Cr)'!$C:$FB,143)</f>
        <v>784.91</v>
      </c>
      <c r="E80" s="50">
        <f>VLOOKUP($A80,'Data Vlaue (Cr)'!$C:$FB,144)</f>
        <v>790.32</v>
      </c>
      <c r="F80" s="50">
        <f>VLOOKUP($A80,'Data Vlaue (Cr)'!$C:$FB,146)*100</f>
        <v>-0.69</v>
      </c>
      <c r="G80" s="49">
        <f>VLOOKUP($A80,'Data Vlaue (Cr)'!$C:$FB,43)</f>
        <v>152</v>
      </c>
      <c r="H80" s="49">
        <f>VLOOKUP($A80,'Data Vlaue (Cr)'!$C:$FB,44)</f>
        <v>203</v>
      </c>
      <c r="I80" s="49">
        <f>VLOOKUP($A80,'Data Vlaue (Cr)'!$C:$FB,46)*100</f>
        <v>-25.06</v>
      </c>
      <c r="J80" s="51">
        <f>VLOOKUP($A80,'Data Vlaue (Cr)'!$C:$FB,59)</f>
        <v>414</v>
      </c>
      <c r="K80" s="51">
        <f>VLOOKUP($A80,'Data Vlaue (Cr)'!$C:$FB,60)</f>
        <v>384</v>
      </c>
      <c r="L80" s="51">
        <f>VLOOKUP($A80,'Data Vlaue (Cr)'!$C:$FB,62)*100</f>
        <v>7.7</v>
      </c>
      <c r="M80" s="51">
        <f>VLOOKUP($A80,'Data Vlaue (Cr)'!$C:$FB,63)</f>
        <v>199</v>
      </c>
      <c r="N80" s="51">
        <f>VLOOKUP($A80,'Data Vlaue (Cr)'!$C:$FB,64)</f>
        <v>184</v>
      </c>
      <c r="O80" s="51">
        <f>VLOOKUP($A80,'Data Vlaue (Cr)'!$C:$FB,66)*100</f>
        <v>8.3800000000000008</v>
      </c>
    </row>
    <row r="81" spans="1:15" x14ac:dyDescent="0.25">
      <c r="A81" s="101" t="str">
        <f>'Data Vlaue (Cr)'!C76</f>
        <v>HDFCBANK</v>
      </c>
      <c r="B81" s="50">
        <f>VLOOKUP($A81,'Data Vlaue (Cr)'!$C:$FB,8)</f>
        <v>949.05</v>
      </c>
      <c r="C81" s="50">
        <f>VLOOKUP($A81,'Data Vlaue (Cr)'!$C:$FB,11)*100</f>
        <v>-1.37</v>
      </c>
      <c r="D81" s="50">
        <f>VLOOKUP($A81,'Data Vlaue (Cr)'!$C:$FB,143)</f>
        <v>16189.4</v>
      </c>
      <c r="E81" s="50">
        <f>VLOOKUP($A81,'Data Vlaue (Cr)'!$C:$FB,144)</f>
        <v>14302.69</v>
      </c>
      <c r="F81" s="50">
        <f>VLOOKUP($A81,'Data Vlaue (Cr)'!$C:$FB,146)*100</f>
        <v>13.19</v>
      </c>
      <c r="G81" s="49">
        <f>VLOOKUP($A81,'Data Vlaue (Cr)'!$C:$FB,43)</f>
        <v>3334</v>
      </c>
      <c r="H81" s="49">
        <f>VLOOKUP($A81,'Data Vlaue (Cr)'!$C:$FB,44)</f>
        <v>2687</v>
      </c>
      <c r="I81" s="49">
        <f>VLOOKUP($A81,'Data Vlaue (Cr)'!$C:$FB,46)*100</f>
        <v>24.08</v>
      </c>
      <c r="J81" s="51">
        <f>VLOOKUP($A81,'Data Vlaue (Cr)'!$C:$FB,59)</f>
        <v>7807</v>
      </c>
      <c r="K81" s="51">
        <f>VLOOKUP($A81,'Data Vlaue (Cr)'!$C:$FB,60)</f>
        <v>7120</v>
      </c>
      <c r="L81" s="51">
        <f>VLOOKUP($A81,'Data Vlaue (Cr)'!$C:$FB,62)*100</f>
        <v>9.65</v>
      </c>
      <c r="M81" s="51">
        <f>VLOOKUP($A81,'Data Vlaue (Cr)'!$C:$FB,63)</f>
        <v>4714</v>
      </c>
      <c r="N81" s="51">
        <f>VLOOKUP($A81,'Data Vlaue (Cr)'!$C:$FB,64)</f>
        <v>4035</v>
      </c>
      <c r="O81" s="51">
        <f>VLOOKUP($A81,'Data Vlaue (Cr)'!$C:$FB,66)*100</f>
        <v>16.850000000000001</v>
      </c>
    </row>
    <row r="82" spans="1:15" x14ac:dyDescent="0.25">
      <c r="A82" s="101" t="str">
        <f>'Data Vlaue (Cr)'!C77</f>
        <v>HDFCLIFE</v>
      </c>
      <c r="B82" s="50">
        <f>VLOOKUP($A82,'Data Vlaue (Cr)'!$C:$FB,8)</f>
        <v>772.35</v>
      </c>
      <c r="C82" s="50">
        <f>VLOOKUP($A82,'Data Vlaue (Cr)'!$C:$FB,11)*100</f>
        <v>-0.71000000000000008</v>
      </c>
      <c r="D82" s="50">
        <f>VLOOKUP($A82,'Data Vlaue (Cr)'!$C:$FB,143)</f>
        <v>977.57</v>
      </c>
      <c r="E82" s="50">
        <f>VLOOKUP($A82,'Data Vlaue (Cr)'!$C:$FB,144)</f>
        <v>3059.06</v>
      </c>
      <c r="F82" s="50">
        <f>VLOOKUP($A82,'Data Vlaue (Cr)'!$C:$FB,146)*100</f>
        <v>-68.040000000000006</v>
      </c>
      <c r="G82" s="49">
        <f>VLOOKUP($A82,'Data Vlaue (Cr)'!$C:$FB,43)</f>
        <v>198</v>
      </c>
      <c r="H82" s="49">
        <f>VLOOKUP($A82,'Data Vlaue (Cr)'!$C:$FB,44)</f>
        <v>466</v>
      </c>
      <c r="I82" s="49">
        <f>VLOOKUP($A82,'Data Vlaue (Cr)'!$C:$FB,46)*100</f>
        <v>-57.389999999999993</v>
      </c>
      <c r="J82" s="51">
        <f>VLOOKUP($A82,'Data Vlaue (Cr)'!$C:$FB,59)</f>
        <v>520</v>
      </c>
      <c r="K82" s="51">
        <f>VLOOKUP($A82,'Data Vlaue (Cr)'!$C:$FB,60)</f>
        <v>1878</v>
      </c>
      <c r="L82" s="51">
        <f>VLOOKUP($A82,'Data Vlaue (Cr)'!$C:$FB,62)*100</f>
        <v>-72.319999999999993</v>
      </c>
      <c r="M82" s="51">
        <f>VLOOKUP($A82,'Data Vlaue (Cr)'!$C:$FB,63)</f>
        <v>243</v>
      </c>
      <c r="N82" s="51">
        <f>VLOOKUP($A82,'Data Vlaue (Cr)'!$C:$FB,64)</f>
        <v>659</v>
      </c>
      <c r="O82" s="51">
        <f>VLOOKUP($A82,'Data Vlaue (Cr)'!$C:$FB,66)*100</f>
        <v>-63.06</v>
      </c>
    </row>
    <row r="83" spans="1:15" x14ac:dyDescent="0.25">
      <c r="A83" s="101" t="str">
        <f>'Data Vlaue (Cr)'!C78</f>
        <v>HEROMOTOCO</v>
      </c>
      <c r="B83" s="50">
        <f>VLOOKUP($A83,'Data Vlaue (Cr)'!$C:$FB,8)</f>
        <v>5981</v>
      </c>
      <c r="C83" s="50">
        <f>VLOOKUP($A83,'Data Vlaue (Cr)'!$C:$FB,11)*100</f>
        <v>-0.32</v>
      </c>
      <c r="D83" s="50">
        <f>VLOOKUP($A83,'Data Vlaue (Cr)'!$C:$FB,143)</f>
        <v>4489.76</v>
      </c>
      <c r="E83" s="50">
        <f>VLOOKUP($A83,'Data Vlaue (Cr)'!$C:$FB,144)</f>
        <v>3371.94</v>
      </c>
      <c r="F83" s="50">
        <f>VLOOKUP($A83,'Data Vlaue (Cr)'!$C:$FB,146)*100</f>
        <v>33.15</v>
      </c>
      <c r="G83" s="49">
        <f>VLOOKUP($A83,'Data Vlaue (Cr)'!$C:$FB,43)</f>
        <v>425</v>
      </c>
      <c r="H83" s="49">
        <f>VLOOKUP($A83,'Data Vlaue (Cr)'!$C:$FB,44)</f>
        <v>448</v>
      </c>
      <c r="I83" s="49">
        <f>VLOOKUP($A83,'Data Vlaue (Cr)'!$C:$FB,46)*100</f>
        <v>-5.21</v>
      </c>
      <c r="J83" s="51">
        <f>VLOOKUP($A83,'Data Vlaue (Cr)'!$C:$FB,59)</f>
        <v>2374</v>
      </c>
      <c r="K83" s="51">
        <f>VLOOKUP($A83,'Data Vlaue (Cr)'!$C:$FB,60)</f>
        <v>1915</v>
      </c>
      <c r="L83" s="51">
        <f>VLOOKUP($A83,'Data Vlaue (Cr)'!$C:$FB,62)*100</f>
        <v>23.96</v>
      </c>
      <c r="M83" s="51">
        <f>VLOOKUP($A83,'Data Vlaue (Cr)'!$C:$FB,63)</f>
        <v>1610</v>
      </c>
      <c r="N83" s="51">
        <f>VLOOKUP($A83,'Data Vlaue (Cr)'!$C:$FB,64)</f>
        <v>932</v>
      </c>
      <c r="O83" s="51">
        <f>VLOOKUP($A83,'Data Vlaue (Cr)'!$C:$FB,66)*100</f>
        <v>72.78</v>
      </c>
    </row>
    <row r="84" spans="1:15" x14ac:dyDescent="0.25">
      <c r="A84" s="101" t="str">
        <f>'Data Vlaue (Cr)'!C79</f>
        <v>HINDALCO</v>
      </c>
      <c r="B84" s="50">
        <f>VLOOKUP($A84,'Data Vlaue (Cr)'!$C:$FB,8)</f>
        <v>938.45</v>
      </c>
      <c r="C84" s="50">
        <f>VLOOKUP($A84,'Data Vlaue (Cr)'!$C:$FB,11)*100</f>
        <v>-0.4</v>
      </c>
      <c r="D84" s="50">
        <f>VLOOKUP($A84,'Data Vlaue (Cr)'!$C:$FB,143)</f>
        <v>5866.21</v>
      </c>
      <c r="E84" s="50">
        <f>VLOOKUP($A84,'Data Vlaue (Cr)'!$C:$FB,144)</f>
        <v>14998.8</v>
      </c>
      <c r="F84" s="50">
        <f>VLOOKUP($A84,'Data Vlaue (Cr)'!$C:$FB,146)*100</f>
        <v>-60.89</v>
      </c>
      <c r="G84" s="49">
        <f>VLOOKUP($A84,'Data Vlaue (Cr)'!$C:$FB,43)</f>
        <v>989</v>
      </c>
      <c r="H84" s="49">
        <f>VLOOKUP($A84,'Data Vlaue (Cr)'!$C:$FB,44)</f>
        <v>1623</v>
      </c>
      <c r="I84" s="49">
        <f>VLOOKUP($A84,'Data Vlaue (Cr)'!$C:$FB,46)*100</f>
        <v>-39.04</v>
      </c>
      <c r="J84" s="51">
        <f>VLOOKUP($A84,'Data Vlaue (Cr)'!$C:$FB,59)</f>
        <v>3073</v>
      </c>
      <c r="K84" s="51">
        <f>VLOOKUP($A84,'Data Vlaue (Cr)'!$C:$FB,60)</f>
        <v>9106</v>
      </c>
      <c r="L84" s="51">
        <f>VLOOKUP($A84,'Data Vlaue (Cr)'!$C:$FB,62)*100</f>
        <v>-66.25</v>
      </c>
      <c r="M84" s="51">
        <f>VLOOKUP($A84,'Data Vlaue (Cr)'!$C:$FB,63)</f>
        <v>1643</v>
      </c>
      <c r="N84" s="51">
        <f>VLOOKUP($A84,'Data Vlaue (Cr)'!$C:$FB,64)</f>
        <v>3696</v>
      </c>
      <c r="O84" s="51">
        <f>VLOOKUP($A84,'Data Vlaue (Cr)'!$C:$FB,66)*100</f>
        <v>-55.54</v>
      </c>
    </row>
    <row r="85" spans="1:15" x14ac:dyDescent="0.25">
      <c r="A85" s="101" t="str">
        <f>'Data Vlaue (Cr)'!C80</f>
        <v>HINDPETRO</v>
      </c>
      <c r="B85" s="50">
        <f>VLOOKUP($A85,'Data Vlaue (Cr)'!$C:$FB,8)</f>
        <v>476.45</v>
      </c>
      <c r="C85" s="50">
        <f>VLOOKUP($A85,'Data Vlaue (Cr)'!$C:$FB,11)*100</f>
        <v>-1.22</v>
      </c>
      <c r="D85" s="50">
        <f>VLOOKUP($A85,'Data Vlaue (Cr)'!$C:$FB,143)</f>
        <v>1000.36</v>
      </c>
      <c r="E85" s="50">
        <f>VLOOKUP($A85,'Data Vlaue (Cr)'!$C:$FB,144)</f>
        <v>2902.94</v>
      </c>
      <c r="F85" s="50">
        <f>VLOOKUP($A85,'Data Vlaue (Cr)'!$C:$FB,146)*100</f>
        <v>-65.539999999999992</v>
      </c>
      <c r="G85" s="49">
        <f>VLOOKUP($A85,'Data Vlaue (Cr)'!$C:$FB,43)</f>
        <v>242</v>
      </c>
      <c r="H85" s="49">
        <f>VLOOKUP($A85,'Data Vlaue (Cr)'!$C:$FB,44)</f>
        <v>588</v>
      </c>
      <c r="I85" s="49">
        <f>VLOOKUP($A85,'Data Vlaue (Cr)'!$C:$FB,46)*100</f>
        <v>-58.86</v>
      </c>
      <c r="J85" s="51">
        <f>VLOOKUP($A85,'Data Vlaue (Cr)'!$C:$FB,59)</f>
        <v>495</v>
      </c>
      <c r="K85" s="51">
        <f>VLOOKUP($A85,'Data Vlaue (Cr)'!$C:$FB,60)</f>
        <v>1288</v>
      </c>
      <c r="L85" s="51">
        <f>VLOOKUP($A85,'Data Vlaue (Cr)'!$C:$FB,62)*100</f>
        <v>-61.550000000000004</v>
      </c>
      <c r="M85" s="51">
        <f>VLOOKUP($A85,'Data Vlaue (Cr)'!$C:$FB,63)</f>
        <v>231</v>
      </c>
      <c r="N85" s="51">
        <f>VLOOKUP($A85,'Data Vlaue (Cr)'!$C:$FB,64)</f>
        <v>923</v>
      </c>
      <c r="O85" s="51">
        <f>VLOOKUP($A85,'Data Vlaue (Cr)'!$C:$FB,66)*100</f>
        <v>-74.97</v>
      </c>
    </row>
    <row r="86" spans="1:15" x14ac:dyDescent="0.25">
      <c r="A86" s="101" t="str">
        <f>'Data Vlaue (Cr)'!C81</f>
        <v>HINDUNILVR</v>
      </c>
      <c r="B86" s="50">
        <f>VLOOKUP($A86,'Data Vlaue (Cr)'!$C:$FB,8)</f>
        <v>2399.4</v>
      </c>
      <c r="C86" s="50">
        <f>VLOOKUP($A86,'Data Vlaue (Cr)'!$C:$FB,11)*100</f>
        <v>-1.04</v>
      </c>
      <c r="D86" s="50">
        <f>VLOOKUP($A86,'Data Vlaue (Cr)'!$C:$FB,143)</f>
        <v>2952.01</v>
      </c>
      <c r="E86" s="50">
        <f>VLOOKUP($A86,'Data Vlaue (Cr)'!$C:$FB,144)</f>
        <v>5679.87</v>
      </c>
      <c r="F86" s="50">
        <f>VLOOKUP($A86,'Data Vlaue (Cr)'!$C:$FB,146)*100</f>
        <v>-48.03</v>
      </c>
      <c r="G86" s="49">
        <f>VLOOKUP($A86,'Data Vlaue (Cr)'!$C:$FB,43)</f>
        <v>513</v>
      </c>
      <c r="H86" s="49">
        <f>VLOOKUP($A86,'Data Vlaue (Cr)'!$C:$FB,44)</f>
        <v>715</v>
      </c>
      <c r="I86" s="49">
        <f>VLOOKUP($A86,'Data Vlaue (Cr)'!$C:$FB,46)*100</f>
        <v>-28.28</v>
      </c>
      <c r="J86" s="51">
        <f>VLOOKUP($A86,'Data Vlaue (Cr)'!$C:$FB,59)</f>
        <v>1550</v>
      </c>
      <c r="K86" s="51">
        <f>VLOOKUP($A86,'Data Vlaue (Cr)'!$C:$FB,60)</f>
        <v>3419</v>
      </c>
      <c r="L86" s="51">
        <f>VLOOKUP($A86,'Data Vlaue (Cr)'!$C:$FB,62)*100</f>
        <v>-54.669999999999995</v>
      </c>
      <c r="M86" s="51">
        <f>VLOOKUP($A86,'Data Vlaue (Cr)'!$C:$FB,63)</f>
        <v>847</v>
      </c>
      <c r="N86" s="51">
        <f>VLOOKUP($A86,'Data Vlaue (Cr)'!$C:$FB,64)</f>
        <v>1460</v>
      </c>
      <c r="O86" s="51">
        <f>VLOOKUP($A86,'Data Vlaue (Cr)'!$C:$FB,66)*100</f>
        <v>-42.01</v>
      </c>
    </row>
    <row r="87" spans="1:15" x14ac:dyDescent="0.25">
      <c r="A87" s="101" t="str">
        <f>'Data Vlaue (Cr)'!C82</f>
        <v>HINDZINC</v>
      </c>
      <c r="B87" s="50">
        <f>VLOOKUP($A87,'Data Vlaue (Cr)'!$C:$FB,8)</f>
        <v>630</v>
      </c>
      <c r="C87" s="50">
        <f>VLOOKUP($A87,'Data Vlaue (Cr)'!$C:$FB,11)*100</f>
        <v>-2.04</v>
      </c>
      <c r="D87" s="50">
        <f>VLOOKUP($A87,'Data Vlaue (Cr)'!$C:$FB,143)</f>
        <v>5322.87</v>
      </c>
      <c r="E87" s="50">
        <f>VLOOKUP($A87,'Data Vlaue (Cr)'!$C:$FB,144)</f>
        <v>7293.49</v>
      </c>
      <c r="F87" s="50">
        <f>VLOOKUP($A87,'Data Vlaue (Cr)'!$C:$FB,146)*100</f>
        <v>-27.02</v>
      </c>
      <c r="G87" s="49">
        <f>VLOOKUP($A87,'Data Vlaue (Cr)'!$C:$FB,43)</f>
        <v>845</v>
      </c>
      <c r="H87" s="49">
        <f>VLOOKUP($A87,'Data Vlaue (Cr)'!$C:$FB,44)</f>
        <v>983</v>
      </c>
      <c r="I87" s="49">
        <f>VLOOKUP($A87,'Data Vlaue (Cr)'!$C:$FB,46)*100</f>
        <v>-14.04</v>
      </c>
      <c r="J87" s="51">
        <f>VLOOKUP($A87,'Data Vlaue (Cr)'!$C:$FB,59)</f>
        <v>2843</v>
      </c>
      <c r="K87" s="51">
        <f>VLOOKUP($A87,'Data Vlaue (Cr)'!$C:$FB,60)</f>
        <v>4127</v>
      </c>
      <c r="L87" s="51">
        <f>VLOOKUP($A87,'Data Vlaue (Cr)'!$C:$FB,62)*100</f>
        <v>-31.11</v>
      </c>
      <c r="M87" s="51">
        <f>VLOOKUP($A87,'Data Vlaue (Cr)'!$C:$FB,63)</f>
        <v>1413</v>
      </c>
      <c r="N87" s="51">
        <f>VLOOKUP($A87,'Data Vlaue (Cr)'!$C:$FB,64)</f>
        <v>1888</v>
      </c>
      <c r="O87" s="51">
        <f>VLOOKUP($A87,'Data Vlaue (Cr)'!$C:$FB,66)*100</f>
        <v>-25.16</v>
      </c>
    </row>
    <row r="88" spans="1:15" x14ac:dyDescent="0.25">
      <c r="A88" s="101" t="str">
        <f>'Data Vlaue (Cr)'!C83</f>
        <v>HUDCO</v>
      </c>
      <c r="B88" s="50">
        <f>VLOOKUP($A88,'Data Vlaue (Cr)'!$C:$FB,8)</f>
        <v>226.82</v>
      </c>
      <c r="C88" s="50">
        <f>VLOOKUP($A88,'Data Vlaue (Cr)'!$C:$FB,11)*100</f>
        <v>0.89</v>
      </c>
      <c r="D88" s="50">
        <f>VLOOKUP($A88,'Data Vlaue (Cr)'!$C:$FB,143)</f>
        <v>486.96</v>
      </c>
      <c r="E88" s="50">
        <f>VLOOKUP($A88,'Data Vlaue (Cr)'!$C:$FB,144)</f>
        <v>463.75</v>
      </c>
      <c r="F88" s="50">
        <f>VLOOKUP($A88,'Data Vlaue (Cr)'!$C:$FB,146)*100</f>
        <v>5.01</v>
      </c>
      <c r="G88" s="49">
        <f>VLOOKUP($A88,'Data Vlaue (Cr)'!$C:$FB,43)</f>
        <v>120</v>
      </c>
      <c r="H88" s="49">
        <f>VLOOKUP($A88,'Data Vlaue (Cr)'!$C:$FB,44)</f>
        <v>122</v>
      </c>
      <c r="I88" s="49">
        <f>VLOOKUP($A88,'Data Vlaue (Cr)'!$C:$FB,46)*100</f>
        <v>-1.6099999999999999</v>
      </c>
      <c r="J88" s="51">
        <f>VLOOKUP($A88,'Data Vlaue (Cr)'!$C:$FB,59)</f>
        <v>280</v>
      </c>
      <c r="K88" s="51">
        <f>VLOOKUP($A88,'Data Vlaue (Cr)'!$C:$FB,60)</f>
        <v>253</v>
      </c>
      <c r="L88" s="51">
        <f>VLOOKUP($A88,'Data Vlaue (Cr)'!$C:$FB,62)*100</f>
        <v>11.07</v>
      </c>
      <c r="M88" s="51">
        <f>VLOOKUP($A88,'Data Vlaue (Cr)'!$C:$FB,63)</f>
        <v>73</v>
      </c>
      <c r="N88" s="51">
        <f>VLOOKUP($A88,'Data Vlaue (Cr)'!$C:$FB,64)</f>
        <v>79</v>
      </c>
      <c r="O88" s="51">
        <f>VLOOKUP($A88,'Data Vlaue (Cr)'!$C:$FB,66)*100</f>
        <v>-7.07</v>
      </c>
    </row>
    <row r="89" spans="1:15" x14ac:dyDescent="0.25">
      <c r="A89" s="101" t="str">
        <f>'Data Vlaue (Cr)'!C84</f>
        <v>ICICIBANK</v>
      </c>
      <c r="B89" s="50">
        <f>VLOOKUP($A89,'Data Vlaue (Cr)'!$C:$FB,8)</f>
        <v>1427.7</v>
      </c>
      <c r="C89" s="50">
        <f>VLOOKUP($A89,'Data Vlaue (Cr)'!$C:$FB,11)*100</f>
        <v>1.17</v>
      </c>
      <c r="D89" s="50">
        <f>VLOOKUP($A89,'Data Vlaue (Cr)'!$C:$FB,143)</f>
        <v>18800.25</v>
      </c>
      <c r="E89" s="50">
        <f>VLOOKUP($A89,'Data Vlaue (Cr)'!$C:$FB,144)</f>
        <v>25565.32</v>
      </c>
      <c r="F89" s="50">
        <f>VLOOKUP($A89,'Data Vlaue (Cr)'!$C:$FB,146)*100</f>
        <v>-26.46</v>
      </c>
      <c r="G89" s="49">
        <f>VLOOKUP($A89,'Data Vlaue (Cr)'!$C:$FB,43)</f>
        <v>3143</v>
      </c>
      <c r="H89" s="49">
        <f>VLOOKUP($A89,'Data Vlaue (Cr)'!$C:$FB,44)</f>
        <v>3909</v>
      </c>
      <c r="I89" s="49">
        <f>VLOOKUP($A89,'Data Vlaue (Cr)'!$C:$FB,46)*100</f>
        <v>-19.59</v>
      </c>
      <c r="J89" s="51">
        <f>VLOOKUP($A89,'Data Vlaue (Cr)'!$C:$FB,59)</f>
        <v>9252</v>
      </c>
      <c r="K89" s="51">
        <f>VLOOKUP($A89,'Data Vlaue (Cr)'!$C:$FB,60)</f>
        <v>13772</v>
      </c>
      <c r="L89" s="51">
        <f>VLOOKUP($A89,'Data Vlaue (Cr)'!$C:$FB,62)*100</f>
        <v>-32.82</v>
      </c>
      <c r="M89" s="51">
        <f>VLOOKUP($A89,'Data Vlaue (Cr)'!$C:$FB,63)</f>
        <v>6275</v>
      </c>
      <c r="N89" s="51">
        <f>VLOOKUP($A89,'Data Vlaue (Cr)'!$C:$FB,64)</f>
        <v>8028</v>
      </c>
      <c r="O89" s="51">
        <f>VLOOKUP($A89,'Data Vlaue (Cr)'!$C:$FB,66)*100</f>
        <v>-21.83</v>
      </c>
    </row>
    <row r="90" spans="1:15" x14ac:dyDescent="0.25">
      <c r="A90" s="101" t="str">
        <f>'Data Vlaue (Cr)'!C85</f>
        <v>ICICIGI</v>
      </c>
      <c r="B90" s="50">
        <f>VLOOKUP($A90,'Data Vlaue (Cr)'!$C:$FB,8)</f>
        <v>1966.2</v>
      </c>
      <c r="C90" s="50">
        <f>VLOOKUP($A90,'Data Vlaue (Cr)'!$C:$FB,11)*100</f>
        <v>-2.1800000000000002</v>
      </c>
      <c r="D90" s="50">
        <f>VLOOKUP($A90,'Data Vlaue (Cr)'!$C:$FB,143)</f>
        <v>599.48</v>
      </c>
      <c r="E90" s="50">
        <f>VLOOKUP($A90,'Data Vlaue (Cr)'!$C:$FB,144)</f>
        <v>609.32000000000005</v>
      </c>
      <c r="F90" s="50">
        <f>VLOOKUP($A90,'Data Vlaue (Cr)'!$C:$FB,146)*100</f>
        <v>-1.6199999999999999</v>
      </c>
      <c r="G90" s="49">
        <f>VLOOKUP($A90,'Data Vlaue (Cr)'!$C:$FB,43)</f>
        <v>124</v>
      </c>
      <c r="H90" s="49">
        <f>VLOOKUP($A90,'Data Vlaue (Cr)'!$C:$FB,44)</f>
        <v>111</v>
      </c>
      <c r="I90" s="49">
        <f>VLOOKUP($A90,'Data Vlaue (Cr)'!$C:$FB,46)*100</f>
        <v>12.06</v>
      </c>
      <c r="J90" s="51">
        <f>VLOOKUP($A90,'Data Vlaue (Cr)'!$C:$FB,59)</f>
        <v>273</v>
      </c>
      <c r="K90" s="51">
        <f>VLOOKUP($A90,'Data Vlaue (Cr)'!$C:$FB,60)</f>
        <v>353</v>
      </c>
      <c r="L90" s="51">
        <f>VLOOKUP($A90,'Data Vlaue (Cr)'!$C:$FB,62)*100</f>
        <v>-22.720000000000002</v>
      </c>
      <c r="M90" s="51">
        <f>VLOOKUP($A90,'Data Vlaue (Cr)'!$C:$FB,63)</f>
        <v>189</v>
      </c>
      <c r="N90" s="51">
        <f>VLOOKUP($A90,'Data Vlaue (Cr)'!$C:$FB,64)</f>
        <v>125</v>
      </c>
      <c r="O90" s="51">
        <f>VLOOKUP($A90,'Data Vlaue (Cr)'!$C:$FB,66)*100</f>
        <v>50.67</v>
      </c>
    </row>
    <row r="91" spans="1:15" x14ac:dyDescent="0.25">
      <c r="A91" s="101" t="str">
        <f>'Data Vlaue (Cr)'!C86</f>
        <v>ICICIPRULI</v>
      </c>
      <c r="B91" s="50">
        <f>VLOOKUP($A91,'Data Vlaue (Cr)'!$C:$FB,8)</f>
        <v>684.6</v>
      </c>
      <c r="C91" s="50">
        <f>VLOOKUP($A91,'Data Vlaue (Cr)'!$C:$FB,11)*100</f>
        <v>-0.55999999999999994</v>
      </c>
      <c r="D91" s="50">
        <f>VLOOKUP($A91,'Data Vlaue (Cr)'!$C:$FB,143)</f>
        <v>518.21</v>
      </c>
      <c r="E91" s="50">
        <f>VLOOKUP($A91,'Data Vlaue (Cr)'!$C:$FB,144)</f>
        <v>499.58</v>
      </c>
      <c r="F91" s="50">
        <f>VLOOKUP($A91,'Data Vlaue (Cr)'!$C:$FB,146)*100</f>
        <v>3.73</v>
      </c>
      <c r="G91" s="49">
        <f>VLOOKUP($A91,'Data Vlaue (Cr)'!$C:$FB,43)</f>
        <v>280</v>
      </c>
      <c r="H91" s="49">
        <f>VLOOKUP($A91,'Data Vlaue (Cr)'!$C:$FB,44)</f>
        <v>216</v>
      </c>
      <c r="I91" s="49">
        <f>VLOOKUP($A91,'Data Vlaue (Cr)'!$C:$FB,46)*100</f>
        <v>29.79</v>
      </c>
      <c r="J91" s="51">
        <f>VLOOKUP($A91,'Data Vlaue (Cr)'!$C:$FB,59)</f>
        <v>149</v>
      </c>
      <c r="K91" s="51">
        <f>VLOOKUP($A91,'Data Vlaue (Cr)'!$C:$FB,60)</f>
        <v>171</v>
      </c>
      <c r="L91" s="51">
        <f>VLOOKUP($A91,'Data Vlaue (Cr)'!$C:$FB,62)*100</f>
        <v>-13.15</v>
      </c>
      <c r="M91" s="51">
        <f>VLOOKUP($A91,'Data Vlaue (Cr)'!$C:$FB,63)</f>
        <v>81</v>
      </c>
      <c r="N91" s="51">
        <f>VLOOKUP($A91,'Data Vlaue (Cr)'!$C:$FB,64)</f>
        <v>104</v>
      </c>
      <c r="O91" s="51">
        <f>VLOOKUP($A91,'Data Vlaue (Cr)'!$C:$FB,66)*100</f>
        <v>-21.61</v>
      </c>
    </row>
    <row r="92" spans="1:15" x14ac:dyDescent="0.25">
      <c r="A92" s="101" t="str">
        <f>'Data Vlaue (Cr)'!C87</f>
        <v>IDEA</v>
      </c>
      <c r="B92" s="50">
        <f>VLOOKUP($A92,'Data Vlaue (Cr)'!$C:$FB,8)</f>
        <v>11.46</v>
      </c>
      <c r="C92" s="50">
        <f>VLOOKUP($A92,'Data Vlaue (Cr)'!$C:$FB,11)*100</f>
        <v>-1.1199999999999999</v>
      </c>
      <c r="D92" s="50">
        <f>VLOOKUP($A92,'Data Vlaue (Cr)'!$C:$FB,143)</f>
        <v>2182.4299999999998</v>
      </c>
      <c r="E92" s="50">
        <f>VLOOKUP($A92,'Data Vlaue (Cr)'!$C:$FB,144)</f>
        <v>3310.48</v>
      </c>
      <c r="F92" s="50">
        <f>VLOOKUP($A92,'Data Vlaue (Cr)'!$C:$FB,146)*100</f>
        <v>-34.08</v>
      </c>
      <c r="G92" s="49">
        <f>VLOOKUP($A92,'Data Vlaue (Cr)'!$C:$FB,43)</f>
        <v>506</v>
      </c>
      <c r="H92" s="49">
        <f>VLOOKUP($A92,'Data Vlaue (Cr)'!$C:$FB,44)</f>
        <v>737</v>
      </c>
      <c r="I92" s="49">
        <f>VLOOKUP($A92,'Data Vlaue (Cr)'!$C:$FB,46)*100</f>
        <v>-31.28</v>
      </c>
      <c r="J92" s="51">
        <f>VLOOKUP($A92,'Data Vlaue (Cr)'!$C:$FB,59)</f>
        <v>1102</v>
      </c>
      <c r="K92" s="51">
        <f>VLOOKUP($A92,'Data Vlaue (Cr)'!$C:$FB,60)</f>
        <v>1656</v>
      </c>
      <c r="L92" s="51">
        <f>VLOOKUP($A92,'Data Vlaue (Cr)'!$C:$FB,62)*100</f>
        <v>-33.47</v>
      </c>
      <c r="M92" s="51">
        <f>VLOOKUP($A92,'Data Vlaue (Cr)'!$C:$FB,63)</f>
        <v>407</v>
      </c>
      <c r="N92" s="51">
        <f>VLOOKUP($A92,'Data Vlaue (Cr)'!$C:$FB,64)</f>
        <v>662</v>
      </c>
      <c r="O92" s="51">
        <f>VLOOKUP($A92,'Data Vlaue (Cr)'!$C:$FB,66)*100</f>
        <v>-38.550000000000004</v>
      </c>
    </row>
    <row r="93" spans="1:15" x14ac:dyDescent="0.25">
      <c r="A93" s="101" t="str">
        <f>'Data Vlaue (Cr)'!C88</f>
        <v>IDFCFIRSTB</v>
      </c>
      <c r="B93" s="50">
        <f>VLOOKUP($A93,'Data Vlaue (Cr)'!$C:$FB,8)</f>
        <v>84.4</v>
      </c>
      <c r="C93" s="50">
        <f>VLOOKUP($A93,'Data Vlaue (Cr)'!$C:$FB,11)*100</f>
        <v>-0.38999999999999996</v>
      </c>
      <c r="D93" s="50">
        <f>VLOOKUP($A93,'Data Vlaue (Cr)'!$C:$FB,143)</f>
        <v>1978.2</v>
      </c>
      <c r="E93" s="50">
        <f>VLOOKUP($A93,'Data Vlaue (Cr)'!$C:$FB,144)</f>
        <v>1608.68</v>
      </c>
      <c r="F93" s="50">
        <f>VLOOKUP($A93,'Data Vlaue (Cr)'!$C:$FB,146)*100</f>
        <v>22.97</v>
      </c>
      <c r="G93" s="49">
        <f>VLOOKUP($A93,'Data Vlaue (Cr)'!$C:$FB,43)</f>
        <v>577</v>
      </c>
      <c r="H93" s="49">
        <f>VLOOKUP($A93,'Data Vlaue (Cr)'!$C:$FB,44)</f>
        <v>439</v>
      </c>
      <c r="I93" s="49">
        <f>VLOOKUP($A93,'Data Vlaue (Cr)'!$C:$FB,46)*100</f>
        <v>31.430000000000003</v>
      </c>
      <c r="J93" s="51">
        <f>VLOOKUP($A93,'Data Vlaue (Cr)'!$C:$FB,59)</f>
        <v>1011</v>
      </c>
      <c r="K93" s="51">
        <f>VLOOKUP($A93,'Data Vlaue (Cr)'!$C:$FB,60)</f>
        <v>791</v>
      </c>
      <c r="L93" s="51">
        <f>VLOOKUP($A93,'Data Vlaue (Cr)'!$C:$FB,62)*100</f>
        <v>27.88</v>
      </c>
      <c r="M93" s="51">
        <f>VLOOKUP($A93,'Data Vlaue (Cr)'!$C:$FB,63)</f>
        <v>334</v>
      </c>
      <c r="N93" s="51">
        <f>VLOOKUP($A93,'Data Vlaue (Cr)'!$C:$FB,64)</f>
        <v>338</v>
      </c>
      <c r="O93" s="51">
        <f>VLOOKUP($A93,'Data Vlaue (Cr)'!$C:$FB,66)*100</f>
        <v>-1.26</v>
      </c>
    </row>
    <row r="94" spans="1:15" x14ac:dyDescent="0.25">
      <c r="A94" s="101" t="str">
        <f>'Data Vlaue (Cr)'!C89</f>
        <v>IEX</v>
      </c>
      <c r="B94" s="50">
        <f>VLOOKUP($A94,'Data Vlaue (Cr)'!$C:$FB,8)</f>
        <v>154.78</v>
      </c>
      <c r="C94" s="50">
        <f>VLOOKUP($A94,'Data Vlaue (Cr)'!$C:$FB,11)*100</f>
        <v>4.1099999999999994</v>
      </c>
      <c r="D94" s="50">
        <f>VLOOKUP($A94,'Data Vlaue (Cr)'!$C:$FB,143)</f>
        <v>9787.49</v>
      </c>
      <c r="E94" s="50">
        <f>VLOOKUP($A94,'Data Vlaue (Cr)'!$C:$FB,144)</f>
        <v>12043.41</v>
      </c>
      <c r="F94" s="50">
        <f>VLOOKUP($A94,'Data Vlaue (Cr)'!$C:$FB,146)*100</f>
        <v>-18.73</v>
      </c>
      <c r="G94" s="49">
        <f>VLOOKUP($A94,'Data Vlaue (Cr)'!$C:$FB,43)</f>
        <v>1372</v>
      </c>
      <c r="H94" s="49">
        <f>VLOOKUP($A94,'Data Vlaue (Cr)'!$C:$FB,44)</f>
        <v>2256</v>
      </c>
      <c r="I94" s="49">
        <f>VLOOKUP($A94,'Data Vlaue (Cr)'!$C:$FB,46)*100</f>
        <v>-39.21</v>
      </c>
      <c r="J94" s="51">
        <f>VLOOKUP($A94,'Data Vlaue (Cr)'!$C:$FB,59)</f>
        <v>6172</v>
      </c>
      <c r="K94" s="51">
        <f>VLOOKUP($A94,'Data Vlaue (Cr)'!$C:$FB,60)</f>
        <v>7584</v>
      </c>
      <c r="L94" s="51">
        <f>VLOOKUP($A94,'Data Vlaue (Cr)'!$C:$FB,62)*100</f>
        <v>-18.61</v>
      </c>
      <c r="M94" s="51">
        <f>VLOOKUP($A94,'Data Vlaue (Cr)'!$C:$FB,63)</f>
        <v>2018</v>
      </c>
      <c r="N94" s="51">
        <f>VLOOKUP($A94,'Data Vlaue (Cr)'!$C:$FB,64)</f>
        <v>2565</v>
      </c>
      <c r="O94" s="51">
        <f>VLOOKUP($A94,'Data Vlaue (Cr)'!$C:$FB,66)*100</f>
        <v>-21.32</v>
      </c>
    </row>
    <row r="95" spans="1:15" x14ac:dyDescent="0.25">
      <c r="A95" s="101" t="str">
        <f>'Data Vlaue (Cr)'!C90</f>
        <v>IIFL</v>
      </c>
      <c r="B95" s="50">
        <f>VLOOKUP($A95,'Data Vlaue (Cr)'!$C:$FB,8)</f>
        <v>656.95</v>
      </c>
      <c r="C95" s="50">
        <f>VLOOKUP($A95,'Data Vlaue (Cr)'!$C:$FB,11)*100</f>
        <v>-1.23</v>
      </c>
      <c r="D95" s="50">
        <f>VLOOKUP($A95,'Data Vlaue (Cr)'!$C:$FB,143)</f>
        <v>1054.76</v>
      </c>
      <c r="E95" s="50">
        <f>VLOOKUP($A95,'Data Vlaue (Cr)'!$C:$FB,144)</f>
        <v>2910.95</v>
      </c>
      <c r="F95" s="50">
        <f>VLOOKUP($A95,'Data Vlaue (Cr)'!$C:$FB,146)*100</f>
        <v>-63.77</v>
      </c>
      <c r="G95" s="49">
        <f>VLOOKUP($A95,'Data Vlaue (Cr)'!$C:$FB,43)</f>
        <v>211</v>
      </c>
      <c r="H95" s="49">
        <f>VLOOKUP($A95,'Data Vlaue (Cr)'!$C:$FB,44)</f>
        <v>390</v>
      </c>
      <c r="I95" s="49">
        <f>VLOOKUP($A95,'Data Vlaue (Cr)'!$C:$FB,46)*100</f>
        <v>-45.839999999999996</v>
      </c>
      <c r="J95" s="51">
        <f>VLOOKUP($A95,'Data Vlaue (Cr)'!$C:$FB,59)</f>
        <v>475</v>
      </c>
      <c r="K95" s="51">
        <f>VLOOKUP($A95,'Data Vlaue (Cr)'!$C:$FB,60)</f>
        <v>1755</v>
      </c>
      <c r="L95" s="51">
        <f>VLOOKUP($A95,'Data Vlaue (Cr)'!$C:$FB,62)*100</f>
        <v>-72.91</v>
      </c>
      <c r="M95" s="51">
        <f>VLOOKUP($A95,'Data Vlaue (Cr)'!$C:$FB,63)</f>
        <v>350</v>
      </c>
      <c r="N95" s="51">
        <f>VLOOKUP($A95,'Data Vlaue (Cr)'!$C:$FB,64)</f>
        <v>678</v>
      </c>
      <c r="O95" s="51">
        <f>VLOOKUP($A95,'Data Vlaue (Cr)'!$C:$FB,66)*100</f>
        <v>-48.339999999999996</v>
      </c>
    </row>
    <row r="96" spans="1:15" x14ac:dyDescent="0.25">
      <c r="A96" s="101" t="str">
        <f>'Data Vlaue (Cr)'!C91</f>
        <v>INDHOTEL</v>
      </c>
      <c r="B96" s="50">
        <f>VLOOKUP($A96,'Data Vlaue (Cr)'!$C:$FB,8)</f>
        <v>715.35</v>
      </c>
      <c r="C96" s="50">
        <f>VLOOKUP($A96,'Data Vlaue (Cr)'!$C:$FB,11)*100</f>
        <v>-1.52</v>
      </c>
      <c r="D96" s="50">
        <f>VLOOKUP($A96,'Data Vlaue (Cr)'!$C:$FB,143)</f>
        <v>3093.36</v>
      </c>
      <c r="E96" s="50">
        <f>VLOOKUP($A96,'Data Vlaue (Cr)'!$C:$FB,144)</f>
        <v>1653.92</v>
      </c>
      <c r="F96" s="50">
        <f>VLOOKUP($A96,'Data Vlaue (Cr)'!$C:$FB,146)*100</f>
        <v>87.03</v>
      </c>
      <c r="G96" s="49">
        <f>VLOOKUP($A96,'Data Vlaue (Cr)'!$C:$FB,43)</f>
        <v>714</v>
      </c>
      <c r="H96" s="49">
        <f>VLOOKUP($A96,'Data Vlaue (Cr)'!$C:$FB,44)</f>
        <v>443</v>
      </c>
      <c r="I96" s="49">
        <f>VLOOKUP($A96,'Data Vlaue (Cr)'!$C:$FB,46)*100</f>
        <v>61.050000000000004</v>
      </c>
      <c r="J96" s="51">
        <f>VLOOKUP($A96,'Data Vlaue (Cr)'!$C:$FB,59)</f>
        <v>1394</v>
      </c>
      <c r="K96" s="51">
        <f>VLOOKUP($A96,'Data Vlaue (Cr)'!$C:$FB,60)</f>
        <v>763</v>
      </c>
      <c r="L96" s="51">
        <f>VLOOKUP($A96,'Data Vlaue (Cr)'!$C:$FB,62)*100</f>
        <v>82.86</v>
      </c>
      <c r="M96" s="51">
        <f>VLOOKUP($A96,'Data Vlaue (Cr)'!$C:$FB,63)</f>
        <v>937</v>
      </c>
      <c r="N96" s="51">
        <f>VLOOKUP($A96,'Data Vlaue (Cr)'!$C:$FB,64)</f>
        <v>381</v>
      </c>
      <c r="O96" s="51">
        <f>VLOOKUP($A96,'Data Vlaue (Cr)'!$C:$FB,66)*100</f>
        <v>145.88</v>
      </c>
    </row>
    <row r="97" spans="1:15" x14ac:dyDescent="0.25">
      <c r="A97" s="101" t="str">
        <f>'Data Vlaue (Cr)'!C92</f>
        <v>INDIANB</v>
      </c>
      <c r="B97" s="50">
        <f>VLOOKUP($A97,'Data Vlaue (Cr)'!$C:$FB,8)</f>
        <v>864.6</v>
      </c>
      <c r="C97" s="50">
        <f>VLOOKUP($A97,'Data Vlaue (Cr)'!$C:$FB,11)*100</f>
        <v>0.36</v>
      </c>
      <c r="D97" s="50">
        <f>VLOOKUP($A97,'Data Vlaue (Cr)'!$C:$FB,143)</f>
        <v>563.25</v>
      </c>
      <c r="E97" s="50">
        <f>VLOOKUP($A97,'Data Vlaue (Cr)'!$C:$FB,144)</f>
        <v>894.35</v>
      </c>
      <c r="F97" s="50">
        <f>VLOOKUP($A97,'Data Vlaue (Cr)'!$C:$FB,146)*100</f>
        <v>-37.019999999999996</v>
      </c>
      <c r="G97" s="49">
        <f>VLOOKUP($A97,'Data Vlaue (Cr)'!$C:$FB,43)</f>
        <v>184</v>
      </c>
      <c r="H97" s="49">
        <f>VLOOKUP($A97,'Data Vlaue (Cr)'!$C:$FB,44)</f>
        <v>197</v>
      </c>
      <c r="I97" s="49">
        <f>VLOOKUP($A97,'Data Vlaue (Cr)'!$C:$FB,46)*100</f>
        <v>-6.72</v>
      </c>
      <c r="J97" s="51">
        <f>VLOOKUP($A97,'Data Vlaue (Cr)'!$C:$FB,59)</f>
        <v>266</v>
      </c>
      <c r="K97" s="51">
        <f>VLOOKUP($A97,'Data Vlaue (Cr)'!$C:$FB,60)</f>
        <v>499</v>
      </c>
      <c r="L97" s="51">
        <f>VLOOKUP($A97,'Data Vlaue (Cr)'!$C:$FB,62)*100</f>
        <v>-46.77</v>
      </c>
      <c r="M97" s="51">
        <f>VLOOKUP($A97,'Data Vlaue (Cr)'!$C:$FB,63)</f>
        <v>105</v>
      </c>
      <c r="N97" s="51">
        <f>VLOOKUP($A97,'Data Vlaue (Cr)'!$C:$FB,64)</f>
        <v>180</v>
      </c>
      <c r="O97" s="51">
        <f>VLOOKUP($A97,'Data Vlaue (Cr)'!$C:$FB,66)*100</f>
        <v>-41.72</v>
      </c>
    </row>
    <row r="98" spans="1:15" x14ac:dyDescent="0.25">
      <c r="A98" s="101" t="str">
        <f>'Data Vlaue (Cr)'!C93</f>
        <v>INDIAVIX</v>
      </c>
      <c r="B98" s="50">
        <f>VLOOKUP($A98,'Data Vlaue (Cr)'!$C:$FB,8)</f>
        <v>9.9499999999999993</v>
      </c>
      <c r="C98" s="50">
        <f>VLOOKUP($A98,'Data Vlaue (Cr)'!$C:$FB,11)*100</f>
        <v>-0.70000000000000007</v>
      </c>
      <c r="D98" s="50">
        <f>VLOOKUP($A98,'Data Vlaue (Cr)'!$C:$FB,143)</f>
        <v>0</v>
      </c>
      <c r="E98" s="50">
        <f>VLOOKUP($A98,'Data Vlaue (Cr)'!$C:$FB,144)</f>
        <v>0</v>
      </c>
      <c r="F98" s="50">
        <f>VLOOKUP($A98,'Data Vlaue (Cr)'!$C:$FB,146)*100</f>
        <v>0</v>
      </c>
      <c r="G98" s="49">
        <f>VLOOKUP($A98,'Data Vlaue (Cr)'!$C:$FB,43)</f>
        <v>0</v>
      </c>
      <c r="H98" s="49">
        <f>VLOOKUP($A98,'Data Vlaue (Cr)'!$C:$FB,44)</f>
        <v>0</v>
      </c>
      <c r="I98" s="49">
        <f>VLOOKUP($A98,'Data Vlaue (Cr)'!$C:$FB,46)*100</f>
        <v>0</v>
      </c>
      <c r="J98" s="51">
        <f>VLOOKUP($A98,'Data Vlaue (Cr)'!$C:$FB,59)</f>
        <v>0</v>
      </c>
      <c r="K98" s="51">
        <f>VLOOKUP($A98,'Data Vlaue (Cr)'!$C:$FB,60)</f>
        <v>0</v>
      </c>
      <c r="L98" s="51">
        <f>VLOOKUP($A98,'Data Vlaue (Cr)'!$C:$FB,62)*100</f>
        <v>0</v>
      </c>
      <c r="M98" s="51">
        <f>VLOOKUP($A98,'Data Vlaue (Cr)'!$C:$FB,63)</f>
        <v>0</v>
      </c>
      <c r="N98" s="51">
        <f>VLOOKUP($A98,'Data Vlaue (Cr)'!$C:$FB,64)</f>
        <v>0</v>
      </c>
      <c r="O98" s="51">
        <f>VLOOKUP($A98,'Data Vlaue (Cr)'!$C:$FB,66)*100</f>
        <v>0</v>
      </c>
    </row>
    <row r="99" spans="1:15" x14ac:dyDescent="0.25">
      <c r="A99" s="101" t="str">
        <f>'Data Vlaue (Cr)'!C94</f>
        <v>INDIGO</v>
      </c>
      <c r="B99" s="50">
        <f>VLOOKUP($A99,'Data Vlaue (Cr)'!$C:$FB,8)</f>
        <v>4951</v>
      </c>
      <c r="C99" s="50">
        <f>VLOOKUP($A99,'Data Vlaue (Cr)'!$C:$FB,11)*100</f>
        <v>-1.03</v>
      </c>
      <c r="D99" s="50">
        <f>VLOOKUP($A99,'Data Vlaue (Cr)'!$C:$FB,143)</f>
        <v>6439.09</v>
      </c>
      <c r="E99" s="50">
        <f>VLOOKUP($A99,'Data Vlaue (Cr)'!$C:$FB,144)</f>
        <v>4864.2</v>
      </c>
      <c r="F99" s="50">
        <f>VLOOKUP($A99,'Data Vlaue (Cr)'!$C:$FB,146)*100</f>
        <v>32.379999999999995</v>
      </c>
      <c r="G99" s="49">
        <f>VLOOKUP($A99,'Data Vlaue (Cr)'!$C:$FB,43)</f>
        <v>653</v>
      </c>
      <c r="H99" s="49">
        <f>VLOOKUP($A99,'Data Vlaue (Cr)'!$C:$FB,44)</f>
        <v>538</v>
      </c>
      <c r="I99" s="49">
        <f>VLOOKUP($A99,'Data Vlaue (Cr)'!$C:$FB,46)*100</f>
        <v>21.44</v>
      </c>
      <c r="J99" s="51">
        <f>VLOOKUP($A99,'Data Vlaue (Cr)'!$C:$FB,59)</f>
        <v>3040</v>
      </c>
      <c r="K99" s="51">
        <f>VLOOKUP($A99,'Data Vlaue (Cr)'!$C:$FB,60)</f>
        <v>2470</v>
      </c>
      <c r="L99" s="51">
        <f>VLOOKUP($A99,'Data Vlaue (Cr)'!$C:$FB,62)*100</f>
        <v>23.080000000000002</v>
      </c>
      <c r="M99" s="51">
        <f>VLOOKUP($A99,'Data Vlaue (Cr)'!$C:$FB,63)</f>
        <v>2585</v>
      </c>
      <c r="N99" s="51">
        <f>VLOOKUP($A99,'Data Vlaue (Cr)'!$C:$FB,64)</f>
        <v>1649</v>
      </c>
      <c r="O99" s="51">
        <f>VLOOKUP($A99,'Data Vlaue (Cr)'!$C:$FB,66)*100</f>
        <v>56.779999999999994</v>
      </c>
    </row>
    <row r="100" spans="1:15" x14ac:dyDescent="0.25">
      <c r="A100" s="101" t="str">
        <f>'Data Vlaue (Cr)'!C95</f>
        <v>INDUSINDBK</v>
      </c>
      <c r="B100" s="50">
        <f>VLOOKUP($A100,'Data Vlaue (Cr)'!$C:$FB,8)</f>
        <v>897.85</v>
      </c>
      <c r="C100" s="50">
        <f>VLOOKUP($A100,'Data Vlaue (Cr)'!$C:$FB,11)*100</f>
        <v>-1.79</v>
      </c>
      <c r="D100" s="50">
        <f>VLOOKUP($A100,'Data Vlaue (Cr)'!$C:$FB,143)</f>
        <v>3292.65</v>
      </c>
      <c r="E100" s="50">
        <f>VLOOKUP($A100,'Data Vlaue (Cr)'!$C:$FB,144)</f>
        <v>6473.31</v>
      </c>
      <c r="F100" s="50">
        <f>VLOOKUP($A100,'Data Vlaue (Cr)'!$C:$FB,146)*100</f>
        <v>-49.13</v>
      </c>
      <c r="G100" s="49">
        <f>VLOOKUP($A100,'Data Vlaue (Cr)'!$C:$FB,43)</f>
        <v>981</v>
      </c>
      <c r="H100" s="49">
        <f>VLOOKUP($A100,'Data Vlaue (Cr)'!$C:$FB,44)</f>
        <v>1422</v>
      </c>
      <c r="I100" s="49">
        <f>VLOOKUP($A100,'Data Vlaue (Cr)'!$C:$FB,46)*100</f>
        <v>-31.03</v>
      </c>
      <c r="J100" s="51">
        <f>VLOOKUP($A100,'Data Vlaue (Cr)'!$C:$FB,59)</f>
        <v>1332</v>
      </c>
      <c r="K100" s="51">
        <f>VLOOKUP($A100,'Data Vlaue (Cr)'!$C:$FB,60)</f>
        <v>2938</v>
      </c>
      <c r="L100" s="51">
        <f>VLOOKUP($A100,'Data Vlaue (Cr)'!$C:$FB,62)*100</f>
        <v>-54.65</v>
      </c>
      <c r="M100" s="51">
        <f>VLOOKUP($A100,'Data Vlaue (Cr)'!$C:$FB,63)</f>
        <v>902</v>
      </c>
      <c r="N100" s="51">
        <f>VLOOKUP($A100,'Data Vlaue (Cr)'!$C:$FB,64)</f>
        <v>1944</v>
      </c>
      <c r="O100" s="51">
        <f>VLOOKUP($A100,'Data Vlaue (Cr)'!$C:$FB,66)*100</f>
        <v>-53.569999999999993</v>
      </c>
    </row>
    <row r="101" spans="1:15" x14ac:dyDescent="0.25">
      <c r="A101" s="101" t="str">
        <f>'Data Vlaue (Cr)'!C96</f>
        <v>INDUSTOWER</v>
      </c>
      <c r="B101" s="50">
        <f>VLOOKUP($A101,'Data Vlaue (Cr)'!$C:$FB,8)</f>
        <v>429</v>
      </c>
      <c r="C101" s="50">
        <f>VLOOKUP($A101,'Data Vlaue (Cr)'!$C:$FB,11)*100</f>
        <v>-0.75</v>
      </c>
      <c r="D101" s="50">
        <f>VLOOKUP($A101,'Data Vlaue (Cr)'!$C:$FB,143)</f>
        <v>1281.17</v>
      </c>
      <c r="E101" s="50">
        <f>VLOOKUP($A101,'Data Vlaue (Cr)'!$C:$FB,144)</f>
        <v>1211.97</v>
      </c>
      <c r="F101" s="50">
        <f>VLOOKUP($A101,'Data Vlaue (Cr)'!$C:$FB,146)*100</f>
        <v>5.71</v>
      </c>
      <c r="G101" s="49">
        <f>VLOOKUP($A101,'Data Vlaue (Cr)'!$C:$FB,43)</f>
        <v>301</v>
      </c>
      <c r="H101" s="49">
        <f>VLOOKUP($A101,'Data Vlaue (Cr)'!$C:$FB,44)</f>
        <v>356</v>
      </c>
      <c r="I101" s="49">
        <f>VLOOKUP($A101,'Data Vlaue (Cr)'!$C:$FB,46)*100</f>
        <v>-15.32</v>
      </c>
      <c r="J101" s="51">
        <f>VLOOKUP($A101,'Data Vlaue (Cr)'!$C:$FB,59)</f>
        <v>683</v>
      </c>
      <c r="K101" s="51">
        <f>VLOOKUP($A101,'Data Vlaue (Cr)'!$C:$FB,60)</f>
        <v>551</v>
      </c>
      <c r="L101" s="51">
        <f>VLOOKUP($A101,'Data Vlaue (Cr)'!$C:$FB,62)*100</f>
        <v>23.880000000000003</v>
      </c>
      <c r="M101" s="51">
        <f>VLOOKUP($A101,'Data Vlaue (Cr)'!$C:$FB,63)</f>
        <v>255</v>
      </c>
      <c r="N101" s="51">
        <f>VLOOKUP($A101,'Data Vlaue (Cr)'!$C:$FB,64)</f>
        <v>266</v>
      </c>
      <c r="O101" s="51">
        <f>VLOOKUP($A101,'Data Vlaue (Cr)'!$C:$FB,66)*100</f>
        <v>-4.1000000000000005</v>
      </c>
    </row>
    <row r="102" spans="1:15" x14ac:dyDescent="0.25">
      <c r="A102" s="101" t="str">
        <f>'Data Vlaue (Cr)'!C97</f>
        <v>INFY</v>
      </c>
      <c r="B102" s="50">
        <f>VLOOKUP($A102,'Data Vlaue (Cr)'!$C:$FB,8)</f>
        <v>1639</v>
      </c>
      <c r="C102" s="50">
        <f>VLOOKUP($A102,'Data Vlaue (Cr)'!$C:$FB,11)*100</f>
        <v>1.66</v>
      </c>
      <c r="D102" s="50">
        <f>VLOOKUP($A102,'Data Vlaue (Cr)'!$C:$FB,143)</f>
        <v>8721.15</v>
      </c>
      <c r="E102" s="50">
        <f>VLOOKUP($A102,'Data Vlaue (Cr)'!$C:$FB,144)</f>
        <v>4407.12</v>
      </c>
      <c r="F102" s="50">
        <f>VLOOKUP($A102,'Data Vlaue (Cr)'!$C:$FB,146)*100</f>
        <v>97.89</v>
      </c>
      <c r="G102" s="49">
        <f>VLOOKUP($A102,'Data Vlaue (Cr)'!$C:$FB,43)</f>
        <v>1217</v>
      </c>
      <c r="H102" s="49">
        <f>VLOOKUP($A102,'Data Vlaue (Cr)'!$C:$FB,44)</f>
        <v>852</v>
      </c>
      <c r="I102" s="49">
        <f>VLOOKUP($A102,'Data Vlaue (Cr)'!$C:$FB,46)*100</f>
        <v>42.79</v>
      </c>
      <c r="J102" s="51">
        <f>VLOOKUP($A102,'Data Vlaue (Cr)'!$C:$FB,59)</f>
        <v>5492</v>
      </c>
      <c r="K102" s="51">
        <f>VLOOKUP($A102,'Data Vlaue (Cr)'!$C:$FB,60)</f>
        <v>2304</v>
      </c>
      <c r="L102" s="51">
        <f>VLOOKUP($A102,'Data Vlaue (Cr)'!$C:$FB,62)*100</f>
        <v>138.37</v>
      </c>
      <c r="M102" s="51">
        <f>VLOOKUP($A102,'Data Vlaue (Cr)'!$C:$FB,63)</f>
        <v>1871</v>
      </c>
      <c r="N102" s="51">
        <f>VLOOKUP($A102,'Data Vlaue (Cr)'!$C:$FB,64)</f>
        <v>1240</v>
      </c>
      <c r="O102" s="51">
        <f>VLOOKUP($A102,'Data Vlaue (Cr)'!$C:$FB,66)*100</f>
        <v>50.92</v>
      </c>
    </row>
    <row r="103" spans="1:15" x14ac:dyDescent="0.25">
      <c r="A103" s="101" t="str">
        <f>'Data Vlaue (Cr)'!C98</f>
        <v>INOXWIND</v>
      </c>
      <c r="B103" s="50">
        <f>VLOOKUP($A103,'Data Vlaue (Cr)'!$C:$FB,8)</f>
        <v>122.94</v>
      </c>
      <c r="C103" s="50">
        <f>VLOOKUP($A103,'Data Vlaue (Cr)'!$C:$FB,11)*100</f>
        <v>0.3</v>
      </c>
      <c r="D103" s="50">
        <f>VLOOKUP($A103,'Data Vlaue (Cr)'!$C:$FB,143)</f>
        <v>470.64</v>
      </c>
      <c r="E103" s="50">
        <f>VLOOKUP($A103,'Data Vlaue (Cr)'!$C:$FB,144)</f>
        <v>560.30999999999995</v>
      </c>
      <c r="F103" s="50">
        <f>VLOOKUP($A103,'Data Vlaue (Cr)'!$C:$FB,146)*100</f>
        <v>-16</v>
      </c>
      <c r="G103" s="49">
        <f>VLOOKUP($A103,'Data Vlaue (Cr)'!$C:$FB,43)</f>
        <v>145</v>
      </c>
      <c r="H103" s="49">
        <f>VLOOKUP($A103,'Data Vlaue (Cr)'!$C:$FB,44)</f>
        <v>193</v>
      </c>
      <c r="I103" s="49">
        <f>VLOOKUP($A103,'Data Vlaue (Cr)'!$C:$FB,46)*100</f>
        <v>-25.11</v>
      </c>
      <c r="J103" s="51">
        <f>VLOOKUP($A103,'Data Vlaue (Cr)'!$C:$FB,59)</f>
        <v>210</v>
      </c>
      <c r="K103" s="51">
        <f>VLOOKUP($A103,'Data Vlaue (Cr)'!$C:$FB,60)</f>
        <v>241</v>
      </c>
      <c r="L103" s="51">
        <f>VLOOKUP($A103,'Data Vlaue (Cr)'!$C:$FB,62)*100</f>
        <v>-12.76</v>
      </c>
      <c r="M103" s="51">
        <f>VLOOKUP($A103,'Data Vlaue (Cr)'!$C:$FB,63)</f>
        <v>105</v>
      </c>
      <c r="N103" s="51">
        <f>VLOOKUP($A103,'Data Vlaue (Cr)'!$C:$FB,64)</f>
        <v>108</v>
      </c>
      <c r="O103" s="51">
        <f>VLOOKUP($A103,'Data Vlaue (Cr)'!$C:$FB,66)*100</f>
        <v>-2.21</v>
      </c>
    </row>
    <row r="104" spans="1:15" x14ac:dyDescent="0.25">
      <c r="A104" s="101" t="str">
        <f>'Data Vlaue (Cr)'!C99</f>
        <v>IOC</v>
      </c>
      <c r="B104" s="50">
        <f>VLOOKUP($A104,'Data Vlaue (Cr)'!$C:$FB,8)</f>
        <v>162.66999999999999</v>
      </c>
      <c r="C104" s="50">
        <f>VLOOKUP($A104,'Data Vlaue (Cr)'!$C:$FB,11)*100</f>
        <v>-0.80999999999999994</v>
      </c>
      <c r="D104" s="50">
        <f>VLOOKUP($A104,'Data Vlaue (Cr)'!$C:$FB,143)</f>
        <v>896.46</v>
      </c>
      <c r="E104" s="50">
        <f>VLOOKUP($A104,'Data Vlaue (Cr)'!$C:$FB,144)</f>
        <v>1856.94</v>
      </c>
      <c r="F104" s="50">
        <f>VLOOKUP($A104,'Data Vlaue (Cr)'!$C:$FB,146)*100</f>
        <v>-51.72</v>
      </c>
      <c r="G104" s="49">
        <f>VLOOKUP($A104,'Data Vlaue (Cr)'!$C:$FB,43)</f>
        <v>131</v>
      </c>
      <c r="H104" s="49">
        <f>VLOOKUP($A104,'Data Vlaue (Cr)'!$C:$FB,44)</f>
        <v>287</v>
      </c>
      <c r="I104" s="49">
        <f>VLOOKUP($A104,'Data Vlaue (Cr)'!$C:$FB,46)*100</f>
        <v>-54.32</v>
      </c>
      <c r="J104" s="51">
        <f>VLOOKUP($A104,'Data Vlaue (Cr)'!$C:$FB,59)</f>
        <v>494</v>
      </c>
      <c r="K104" s="51">
        <f>VLOOKUP($A104,'Data Vlaue (Cr)'!$C:$FB,60)</f>
        <v>945</v>
      </c>
      <c r="L104" s="51">
        <f>VLOOKUP($A104,'Data Vlaue (Cr)'!$C:$FB,62)*100</f>
        <v>-47.71</v>
      </c>
      <c r="M104" s="51">
        <f>VLOOKUP($A104,'Data Vlaue (Cr)'!$C:$FB,63)</f>
        <v>253</v>
      </c>
      <c r="N104" s="51">
        <f>VLOOKUP($A104,'Data Vlaue (Cr)'!$C:$FB,64)</f>
        <v>588</v>
      </c>
      <c r="O104" s="51">
        <f>VLOOKUP($A104,'Data Vlaue (Cr)'!$C:$FB,66)*100</f>
        <v>-57.010000000000005</v>
      </c>
    </row>
    <row r="105" spans="1:15" x14ac:dyDescent="0.25">
      <c r="A105" s="101" t="str">
        <f>'Data Vlaue (Cr)'!C100</f>
        <v>IRCTC</v>
      </c>
      <c r="B105" s="50">
        <f>VLOOKUP($A105,'Data Vlaue (Cr)'!$C:$FB,8)</f>
        <v>672.8</v>
      </c>
      <c r="C105" s="50">
        <f>VLOOKUP($A105,'Data Vlaue (Cr)'!$C:$FB,11)*100</f>
        <v>0.24</v>
      </c>
      <c r="D105" s="50">
        <f>VLOOKUP($A105,'Data Vlaue (Cr)'!$C:$FB,143)</f>
        <v>1460.02</v>
      </c>
      <c r="E105" s="50">
        <f>VLOOKUP($A105,'Data Vlaue (Cr)'!$C:$FB,144)</f>
        <v>1376.41</v>
      </c>
      <c r="F105" s="50">
        <f>VLOOKUP($A105,'Data Vlaue (Cr)'!$C:$FB,146)*100</f>
        <v>6.0699999999999994</v>
      </c>
      <c r="G105" s="49">
        <f>VLOOKUP($A105,'Data Vlaue (Cr)'!$C:$FB,43)</f>
        <v>210</v>
      </c>
      <c r="H105" s="49">
        <f>VLOOKUP($A105,'Data Vlaue (Cr)'!$C:$FB,44)</f>
        <v>216</v>
      </c>
      <c r="I105" s="49">
        <f>VLOOKUP($A105,'Data Vlaue (Cr)'!$C:$FB,46)*100</f>
        <v>-2.98</v>
      </c>
      <c r="J105" s="51">
        <f>VLOOKUP($A105,'Data Vlaue (Cr)'!$C:$FB,59)</f>
        <v>998</v>
      </c>
      <c r="K105" s="51">
        <f>VLOOKUP($A105,'Data Vlaue (Cr)'!$C:$FB,60)</f>
        <v>845</v>
      </c>
      <c r="L105" s="51">
        <f>VLOOKUP($A105,'Data Vlaue (Cr)'!$C:$FB,62)*100</f>
        <v>18.170000000000002</v>
      </c>
      <c r="M105" s="51">
        <f>VLOOKUP($A105,'Data Vlaue (Cr)'!$C:$FB,63)</f>
        <v>193</v>
      </c>
      <c r="N105" s="51">
        <f>VLOOKUP($A105,'Data Vlaue (Cr)'!$C:$FB,64)</f>
        <v>271</v>
      </c>
      <c r="O105" s="51">
        <f>VLOOKUP($A105,'Data Vlaue (Cr)'!$C:$FB,66)*100</f>
        <v>-28.98</v>
      </c>
    </row>
    <row r="106" spans="1:15" x14ac:dyDescent="0.25">
      <c r="A106" s="101" t="str">
        <f>'Data Vlaue (Cr)'!C101</f>
        <v>IREDA</v>
      </c>
      <c r="B106" s="50">
        <f>VLOOKUP($A106,'Data Vlaue (Cr)'!$C:$FB,8)</f>
        <v>146.03</v>
      </c>
      <c r="C106" s="50">
        <f>VLOOKUP($A106,'Data Vlaue (Cr)'!$C:$FB,11)*100</f>
        <v>1.73</v>
      </c>
      <c r="D106" s="50">
        <f>VLOOKUP($A106,'Data Vlaue (Cr)'!$C:$FB,143)</f>
        <v>806.42</v>
      </c>
      <c r="E106" s="50">
        <f>VLOOKUP($A106,'Data Vlaue (Cr)'!$C:$FB,144)</f>
        <v>642.54</v>
      </c>
      <c r="F106" s="50">
        <f>VLOOKUP($A106,'Data Vlaue (Cr)'!$C:$FB,146)*100</f>
        <v>25.5</v>
      </c>
      <c r="G106" s="49">
        <f>VLOOKUP($A106,'Data Vlaue (Cr)'!$C:$FB,43)</f>
        <v>241</v>
      </c>
      <c r="H106" s="49">
        <f>VLOOKUP($A106,'Data Vlaue (Cr)'!$C:$FB,44)</f>
        <v>173</v>
      </c>
      <c r="I106" s="49">
        <f>VLOOKUP($A106,'Data Vlaue (Cr)'!$C:$FB,46)*100</f>
        <v>39.31</v>
      </c>
      <c r="J106" s="51">
        <f>VLOOKUP($A106,'Data Vlaue (Cr)'!$C:$FB,59)</f>
        <v>440</v>
      </c>
      <c r="K106" s="51">
        <f>VLOOKUP($A106,'Data Vlaue (Cr)'!$C:$FB,60)</f>
        <v>339</v>
      </c>
      <c r="L106" s="51">
        <f>VLOOKUP($A106,'Data Vlaue (Cr)'!$C:$FB,62)*100</f>
        <v>29.849999999999998</v>
      </c>
      <c r="M106" s="51">
        <f>VLOOKUP($A106,'Data Vlaue (Cr)'!$C:$FB,63)</f>
        <v>97</v>
      </c>
      <c r="N106" s="51">
        <f>VLOOKUP($A106,'Data Vlaue (Cr)'!$C:$FB,64)</f>
        <v>116</v>
      </c>
      <c r="O106" s="51">
        <f>VLOOKUP($A106,'Data Vlaue (Cr)'!$C:$FB,66)*100</f>
        <v>-15.68</v>
      </c>
    </row>
    <row r="107" spans="1:15" x14ac:dyDescent="0.25">
      <c r="A107" s="101" t="str">
        <f>'Data Vlaue (Cr)'!C102</f>
        <v>IRFC</v>
      </c>
      <c r="B107" s="50">
        <f>VLOOKUP($A107,'Data Vlaue (Cr)'!$C:$FB,8)</f>
        <v>128.04</v>
      </c>
      <c r="C107" s="50">
        <f>VLOOKUP($A107,'Data Vlaue (Cr)'!$C:$FB,11)*100</f>
        <v>0.64</v>
      </c>
      <c r="D107" s="50">
        <f>VLOOKUP($A107,'Data Vlaue (Cr)'!$C:$FB,143)</f>
        <v>629.71</v>
      </c>
      <c r="E107" s="50">
        <f>VLOOKUP($A107,'Data Vlaue (Cr)'!$C:$FB,144)</f>
        <v>913.36</v>
      </c>
      <c r="F107" s="50">
        <f>VLOOKUP($A107,'Data Vlaue (Cr)'!$C:$FB,146)*100</f>
        <v>-31.06</v>
      </c>
      <c r="G107" s="49">
        <f>VLOOKUP($A107,'Data Vlaue (Cr)'!$C:$FB,43)</f>
        <v>141</v>
      </c>
      <c r="H107" s="49">
        <f>VLOOKUP($A107,'Data Vlaue (Cr)'!$C:$FB,44)</f>
        <v>187</v>
      </c>
      <c r="I107" s="49">
        <f>VLOOKUP($A107,'Data Vlaue (Cr)'!$C:$FB,46)*100</f>
        <v>-24.36</v>
      </c>
      <c r="J107" s="51">
        <f>VLOOKUP($A107,'Data Vlaue (Cr)'!$C:$FB,59)</f>
        <v>352</v>
      </c>
      <c r="K107" s="51">
        <f>VLOOKUP($A107,'Data Vlaue (Cr)'!$C:$FB,60)</f>
        <v>542</v>
      </c>
      <c r="L107" s="51">
        <f>VLOOKUP($A107,'Data Vlaue (Cr)'!$C:$FB,62)*100</f>
        <v>-35.03</v>
      </c>
      <c r="M107" s="51">
        <f>VLOOKUP($A107,'Data Vlaue (Cr)'!$C:$FB,63)</f>
        <v>115</v>
      </c>
      <c r="N107" s="51">
        <f>VLOOKUP($A107,'Data Vlaue (Cr)'!$C:$FB,64)</f>
        <v>153</v>
      </c>
      <c r="O107" s="51">
        <f>VLOOKUP($A107,'Data Vlaue (Cr)'!$C:$FB,66)*100</f>
        <v>-24.94</v>
      </c>
    </row>
    <row r="108" spans="1:15" x14ac:dyDescent="0.25">
      <c r="A108" s="101" t="str">
        <f>'Data Vlaue (Cr)'!C103</f>
        <v>ITC</v>
      </c>
      <c r="B108" s="50">
        <f>VLOOKUP($A108,'Data Vlaue (Cr)'!$C:$FB,8)</f>
        <v>341.25</v>
      </c>
      <c r="C108" s="50">
        <f>VLOOKUP($A108,'Data Vlaue (Cr)'!$C:$FB,11)*100</f>
        <v>-0.35000000000000003</v>
      </c>
      <c r="D108" s="50">
        <f>VLOOKUP($A108,'Data Vlaue (Cr)'!$C:$FB,143)</f>
        <v>13441.38</v>
      </c>
      <c r="E108" s="50">
        <f>VLOOKUP($A108,'Data Vlaue (Cr)'!$C:$FB,144)</f>
        <v>31630.95</v>
      </c>
      <c r="F108" s="50">
        <f>VLOOKUP($A108,'Data Vlaue (Cr)'!$C:$FB,146)*100</f>
        <v>-57.509999999999991</v>
      </c>
      <c r="G108" s="49">
        <f>VLOOKUP($A108,'Data Vlaue (Cr)'!$C:$FB,43)</f>
        <v>855</v>
      </c>
      <c r="H108" s="49">
        <f>VLOOKUP($A108,'Data Vlaue (Cr)'!$C:$FB,44)</f>
        <v>2195</v>
      </c>
      <c r="I108" s="49">
        <f>VLOOKUP($A108,'Data Vlaue (Cr)'!$C:$FB,46)*100</f>
        <v>-61.019999999999996</v>
      </c>
      <c r="J108" s="51">
        <f>VLOOKUP($A108,'Data Vlaue (Cr)'!$C:$FB,59)</f>
        <v>8664</v>
      </c>
      <c r="K108" s="51">
        <f>VLOOKUP($A108,'Data Vlaue (Cr)'!$C:$FB,60)</f>
        <v>19733</v>
      </c>
      <c r="L108" s="51">
        <f>VLOOKUP($A108,'Data Vlaue (Cr)'!$C:$FB,62)*100</f>
        <v>-56.089999999999996</v>
      </c>
      <c r="M108" s="51">
        <f>VLOOKUP($A108,'Data Vlaue (Cr)'!$C:$FB,63)</f>
        <v>3342</v>
      </c>
      <c r="N108" s="51">
        <f>VLOOKUP($A108,'Data Vlaue (Cr)'!$C:$FB,64)</f>
        <v>8107</v>
      </c>
      <c r="O108" s="51">
        <f>VLOOKUP($A108,'Data Vlaue (Cr)'!$C:$FB,66)*100</f>
        <v>-58.78</v>
      </c>
    </row>
    <row r="109" spans="1:15" x14ac:dyDescent="0.25">
      <c r="A109" s="101" t="str">
        <f>'Data Vlaue (Cr)'!C104</f>
        <v>JINDALSTEL</v>
      </c>
      <c r="B109" s="50">
        <f>VLOOKUP($A109,'Data Vlaue (Cr)'!$C:$FB,8)</f>
        <v>1074.7</v>
      </c>
      <c r="C109" s="50">
        <f>VLOOKUP($A109,'Data Vlaue (Cr)'!$C:$FB,11)*100</f>
        <v>-0.47000000000000003</v>
      </c>
      <c r="D109" s="50">
        <f>VLOOKUP($A109,'Data Vlaue (Cr)'!$C:$FB,143)</f>
        <v>1077.8699999999999</v>
      </c>
      <c r="E109" s="50">
        <f>VLOOKUP($A109,'Data Vlaue (Cr)'!$C:$FB,144)</f>
        <v>1060.52</v>
      </c>
      <c r="F109" s="50">
        <f>VLOOKUP($A109,'Data Vlaue (Cr)'!$C:$FB,146)*100</f>
        <v>1.6400000000000001</v>
      </c>
      <c r="G109" s="49">
        <f>VLOOKUP($A109,'Data Vlaue (Cr)'!$C:$FB,43)</f>
        <v>234</v>
      </c>
      <c r="H109" s="49">
        <f>VLOOKUP($A109,'Data Vlaue (Cr)'!$C:$FB,44)</f>
        <v>216</v>
      </c>
      <c r="I109" s="49">
        <f>VLOOKUP($A109,'Data Vlaue (Cr)'!$C:$FB,46)*100</f>
        <v>8.17</v>
      </c>
      <c r="J109" s="51">
        <f>VLOOKUP($A109,'Data Vlaue (Cr)'!$C:$FB,59)</f>
        <v>392</v>
      </c>
      <c r="K109" s="51">
        <f>VLOOKUP($A109,'Data Vlaue (Cr)'!$C:$FB,60)</f>
        <v>543</v>
      </c>
      <c r="L109" s="51">
        <f>VLOOKUP($A109,'Data Vlaue (Cr)'!$C:$FB,62)*100</f>
        <v>-27.839999999999996</v>
      </c>
      <c r="M109" s="51">
        <f>VLOOKUP($A109,'Data Vlaue (Cr)'!$C:$FB,63)</f>
        <v>438</v>
      </c>
      <c r="N109" s="51">
        <f>VLOOKUP($A109,'Data Vlaue (Cr)'!$C:$FB,64)</f>
        <v>282</v>
      </c>
      <c r="O109" s="51">
        <f>VLOOKUP($A109,'Data Vlaue (Cr)'!$C:$FB,66)*100</f>
        <v>55.559999999999995</v>
      </c>
    </row>
    <row r="110" spans="1:15" x14ac:dyDescent="0.25">
      <c r="A110" s="101" t="str">
        <f>'Data Vlaue (Cr)'!C105</f>
        <v>JIOFIN</v>
      </c>
      <c r="B110" s="50">
        <f>VLOOKUP($A110,'Data Vlaue (Cr)'!$C:$FB,8)</f>
        <v>303.5</v>
      </c>
      <c r="C110" s="50">
        <f>VLOOKUP($A110,'Data Vlaue (Cr)'!$C:$FB,11)*100</f>
        <v>1.66</v>
      </c>
      <c r="D110" s="50">
        <f>VLOOKUP($A110,'Data Vlaue (Cr)'!$C:$FB,143)</f>
        <v>6674.78</v>
      </c>
      <c r="E110" s="50">
        <f>VLOOKUP($A110,'Data Vlaue (Cr)'!$C:$FB,144)</f>
        <v>3567.01</v>
      </c>
      <c r="F110" s="50">
        <f>VLOOKUP($A110,'Data Vlaue (Cr)'!$C:$FB,146)*100</f>
        <v>87.13</v>
      </c>
      <c r="G110" s="49">
        <f>VLOOKUP($A110,'Data Vlaue (Cr)'!$C:$FB,43)</f>
        <v>1238</v>
      </c>
      <c r="H110" s="49">
        <f>VLOOKUP($A110,'Data Vlaue (Cr)'!$C:$FB,44)</f>
        <v>719</v>
      </c>
      <c r="I110" s="49">
        <f>VLOOKUP($A110,'Data Vlaue (Cr)'!$C:$FB,46)*100</f>
        <v>72.070000000000007</v>
      </c>
      <c r="J110" s="51">
        <f>VLOOKUP($A110,'Data Vlaue (Cr)'!$C:$FB,59)</f>
        <v>4043</v>
      </c>
      <c r="K110" s="51">
        <f>VLOOKUP($A110,'Data Vlaue (Cr)'!$C:$FB,60)</f>
        <v>1935</v>
      </c>
      <c r="L110" s="51">
        <f>VLOOKUP($A110,'Data Vlaue (Cr)'!$C:$FB,62)*100</f>
        <v>108.96999999999998</v>
      </c>
      <c r="M110" s="51">
        <f>VLOOKUP($A110,'Data Vlaue (Cr)'!$C:$FB,63)</f>
        <v>1242</v>
      </c>
      <c r="N110" s="51">
        <f>VLOOKUP($A110,'Data Vlaue (Cr)'!$C:$FB,64)</f>
        <v>896</v>
      </c>
      <c r="O110" s="51">
        <f>VLOOKUP($A110,'Data Vlaue (Cr)'!$C:$FB,66)*100</f>
        <v>38.65</v>
      </c>
    </row>
    <row r="111" spans="1:15" x14ac:dyDescent="0.25">
      <c r="A111" s="101" t="str">
        <f>'Data Vlaue (Cr)'!C106</f>
        <v>JSWENERGY</v>
      </c>
      <c r="B111" s="50">
        <f>VLOOKUP($A111,'Data Vlaue (Cr)'!$C:$FB,8)</f>
        <v>512.6</v>
      </c>
      <c r="C111" s="50">
        <f>VLOOKUP($A111,'Data Vlaue (Cr)'!$C:$FB,11)*100</f>
        <v>-0.44</v>
      </c>
      <c r="D111" s="50">
        <f>VLOOKUP($A111,'Data Vlaue (Cr)'!$C:$FB,143)</f>
        <v>444.18</v>
      </c>
      <c r="E111" s="50">
        <f>VLOOKUP($A111,'Data Vlaue (Cr)'!$C:$FB,144)</f>
        <v>520.14</v>
      </c>
      <c r="F111" s="50">
        <f>VLOOKUP($A111,'Data Vlaue (Cr)'!$C:$FB,146)*100</f>
        <v>-14.6</v>
      </c>
      <c r="G111" s="49">
        <f>VLOOKUP($A111,'Data Vlaue (Cr)'!$C:$FB,43)</f>
        <v>141</v>
      </c>
      <c r="H111" s="49">
        <f>VLOOKUP($A111,'Data Vlaue (Cr)'!$C:$FB,44)</f>
        <v>144</v>
      </c>
      <c r="I111" s="49">
        <f>VLOOKUP($A111,'Data Vlaue (Cr)'!$C:$FB,46)*100</f>
        <v>-2.4899999999999998</v>
      </c>
      <c r="J111" s="51">
        <f>VLOOKUP($A111,'Data Vlaue (Cr)'!$C:$FB,59)</f>
        <v>171</v>
      </c>
      <c r="K111" s="51">
        <f>VLOOKUP($A111,'Data Vlaue (Cr)'!$C:$FB,60)</f>
        <v>227</v>
      </c>
      <c r="L111" s="51">
        <f>VLOOKUP($A111,'Data Vlaue (Cr)'!$C:$FB,62)*100</f>
        <v>-24.709999999999997</v>
      </c>
      <c r="M111" s="51">
        <f>VLOOKUP($A111,'Data Vlaue (Cr)'!$C:$FB,63)</f>
        <v>127</v>
      </c>
      <c r="N111" s="51">
        <f>VLOOKUP($A111,'Data Vlaue (Cr)'!$C:$FB,64)</f>
        <v>138</v>
      </c>
      <c r="O111" s="51">
        <f>VLOOKUP($A111,'Data Vlaue (Cr)'!$C:$FB,66)*100</f>
        <v>-8.32</v>
      </c>
    </row>
    <row r="112" spans="1:15" x14ac:dyDescent="0.25">
      <c r="A112" s="101" t="str">
        <f>'Data Vlaue (Cr)'!C107</f>
        <v>JSWSTEEL</v>
      </c>
      <c r="B112" s="50">
        <f>VLOOKUP($A112,'Data Vlaue (Cr)'!$C:$FB,8)</f>
        <v>1189.8</v>
      </c>
      <c r="C112" s="50">
        <f>VLOOKUP($A112,'Data Vlaue (Cr)'!$C:$FB,11)*100</f>
        <v>1.1499999999999999</v>
      </c>
      <c r="D112" s="50">
        <f>VLOOKUP($A112,'Data Vlaue (Cr)'!$C:$FB,143)</f>
        <v>1716.05</v>
      </c>
      <c r="E112" s="50">
        <f>VLOOKUP($A112,'Data Vlaue (Cr)'!$C:$FB,144)</f>
        <v>3035.38</v>
      </c>
      <c r="F112" s="50">
        <f>VLOOKUP($A112,'Data Vlaue (Cr)'!$C:$FB,146)*100</f>
        <v>-43.47</v>
      </c>
      <c r="G112" s="49">
        <f>VLOOKUP($A112,'Data Vlaue (Cr)'!$C:$FB,43)</f>
        <v>444</v>
      </c>
      <c r="H112" s="49">
        <f>VLOOKUP($A112,'Data Vlaue (Cr)'!$C:$FB,44)</f>
        <v>674</v>
      </c>
      <c r="I112" s="49">
        <f>VLOOKUP($A112,'Data Vlaue (Cr)'!$C:$FB,46)*100</f>
        <v>-34.160000000000004</v>
      </c>
      <c r="J112" s="51">
        <f>VLOOKUP($A112,'Data Vlaue (Cr)'!$C:$FB,59)</f>
        <v>701</v>
      </c>
      <c r="K112" s="51">
        <f>VLOOKUP($A112,'Data Vlaue (Cr)'!$C:$FB,60)</f>
        <v>1155</v>
      </c>
      <c r="L112" s="51">
        <f>VLOOKUP($A112,'Data Vlaue (Cr)'!$C:$FB,62)*100</f>
        <v>-39.340000000000003</v>
      </c>
      <c r="M112" s="51">
        <f>VLOOKUP($A112,'Data Vlaue (Cr)'!$C:$FB,63)</f>
        <v>565</v>
      </c>
      <c r="N112" s="51">
        <f>VLOOKUP($A112,'Data Vlaue (Cr)'!$C:$FB,64)</f>
        <v>1206</v>
      </c>
      <c r="O112" s="51">
        <f>VLOOKUP($A112,'Data Vlaue (Cr)'!$C:$FB,66)*100</f>
        <v>-53.14</v>
      </c>
    </row>
    <row r="113" spans="1:15" x14ac:dyDescent="0.25">
      <c r="A113" s="101" t="str">
        <f>'Data Vlaue (Cr)'!C108</f>
        <v>JUBLFOOD</v>
      </c>
      <c r="B113" s="50">
        <f>VLOOKUP($A113,'Data Vlaue (Cr)'!$C:$FB,8)</f>
        <v>537.4</v>
      </c>
      <c r="C113" s="50">
        <f>VLOOKUP($A113,'Data Vlaue (Cr)'!$C:$FB,11)*100</f>
        <v>-1.67</v>
      </c>
      <c r="D113" s="50">
        <f>VLOOKUP($A113,'Data Vlaue (Cr)'!$C:$FB,143)</f>
        <v>1937.2</v>
      </c>
      <c r="E113" s="50">
        <f>VLOOKUP($A113,'Data Vlaue (Cr)'!$C:$FB,144)</f>
        <v>1578.13</v>
      </c>
      <c r="F113" s="50">
        <f>VLOOKUP($A113,'Data Vlaue (Cr)'!$C:$FB,146)*100</f>
        <v>22.75</v>
      </c>
      <c r="G113" s="49">
        <f>VLOOKUP($A113,'Data Vlaue (Cr)'!$C:$FB,43)</f>
        <v>520</v>
      </c>
      <c r="H113" s="49">
        <f>VLOOKUP($A113,'Data Vlaue (Cr)'!$C:$FB,44)</f>
        <v>373</v>
      </c>
      <c r="I113" s="49">
        <f>VLOOKUP($A113,'Data Vlaue (Cr)'!$C:$FB,46)*100</f>
        <v>39.25</v>
      </c>
      <c r="J113" s="51">
        <f>VLOOKUP($A113,'Data Vlaue (Cr)'!$C:$FB,59)</f>
        <v>897</v>
      </c>
      <c r="K113" s="51">
        <f>VLOOKUP($A113,'Data Vlaue (Cr)'!$C:$FB,60)</f>
        <v>785</v>
      </c>
      <c r="L113" s="51">
        <f>VLOOKUP($A113,'Data Vlaue (Cr)'!$C:$FB,62)*100</f>
        <v>14.27</v>
      </c>
      <c r="M113" s="51">
        <f>VLOOKUP($A113,'Data Vlaue (Cr)'!$C:$FB,63)</f>
        <v>463</v>
      </c>
      <c r="N113" s="51">
        <f>VLOOKUP($A113,'Data Vlaue (Cr)'!$C:$FB,64)</f>
        <v>374</v>
      </c>
      <c r="O113" s="51">
        <f>VLOOKUP($A113,'Data Vlaue (Cr)'!$C:$FB,66)*100</f>
        <v>23.54</v>
      </c>
    </row>
    <row r="114" spans="1:15" x14ac:dyDescent="0.25">
      <c r="A114" s="101" t="str">
        <f>'Data Vlaue (Cr)'!C109</f>
        <v>KALYANKJIL</v>
      </c>
      <c r="B114" s="50">
        <f>VLOOKUP($A114,'Data Vlaue (Cr)'!$C:$FB,8)</f>
        <v>520.75</v>
      </c>
      <c r="C114" s="50">
        <f>VLOOKUP($A114,'Data Vlaue (Cr)'!$C:$FB,11)*100</f>
        <v>4.12</v>
      </c>
      <c r="D114" s="50">
        <f>VLOOKUP($A114,'Data Vlaue (Cr)'!$C:$FB,143)</f>
        <v>6709.4</v>
      </c>
      <c r="E114" s="50">
        <f>VLOOKUP($A114,'Data Vlaue (Cr)'!$C:$FB,144)</f>
        <v>686.03</v>
      </c>
      <c r="F114" s="50">
        <f>VLOOKUP($A114,'Data Vlaue (Cr)'!$C:$FB,146)*100</f>
        <v>878.00999999999988</v>
      </c>
      <c r="G114" s="49">
        <f>VLOOKUP($A114,'Data Vlaue (Cr)'!$C:$FB,43)</f>
        <v>819</v>
      </c>
      <c r="H114" s="49">
        <f>VLOOKUP($A114,'Data Vlaue (Cr)'!$C:$FB,44)</f>
        <v>229</v>
      </c>
      <c r="I114" s="49">
        <f>VLOOKUP($A114,'Data Vlaue (Cr)'!$C:$FB,46)*100</f>
        <v>257.03999999999996</v>
      </c>
      <c r="J114" s="51">
        <f>VLOOKUP($A114,'Data Vlaue (Cr)'!$C:$FB,59)</f>
        <v>4419</v>
      </c>
      <c r="K114" s="51">
        <f>VLOOKUP($A114,'Data Vlaue (Cr)'!$C:$FB,60)</f>
        <v>335</v>
      </c>
      <c r="L114" s="51">
        <f>VLOOKUP($A114,'Data Vlaue (Cr)'!$C:$FB,62)*100</f>
        <v>1219.8900000000001</v>
      </c>
      <c r="M114" s="51">
        <f>VLOOKUP($A114,'Data Vlaue (Cr)'!$C:$FB,63)</f>
        <v>1284</v>
      </c>
      <c r="N114" s="51">
        <f>VLOOKUP($A114,'Data Vlaue (Cr)'!$C:$FB,64)</f>
        <v>134</v>
      </c>
      <c r="O114" s="51">
        <f>VLOOKUP($A114,'Data Vlaue (Cr)'!$C:$FB,66)*100</f>
        <v>859.49000000000012</v>
      </c>
    </row>
    <row r="115" spans="1:15" x14ac:dyDescent="0.25">
      <c r="A115" s="101" t="str">
        <f>'Data Vlaue (Cr)'!C110</f>
        <v>KAYNES</v>
      </c>
      <c r="B115" s="50">
        <f>VLOOKUP($A115,'Data Vlaue (Cr)'!$C:$FB,8)</f>
        <v>3831.3</v>
      </c>
      <c r="C115" s="50">
        <f>VLOOKUP($A115,'Data Vlaue (Cr)'!$C:$FB,11)*100</f>
        <v>1.05</v>
      </c>
      <c r="D115" s="50">
        <f>VLOOKUP($A115,'Data Vlaue (Cr)'!$C:$FB,143)</f>
        <v>5127.93</v>
      </c>
      <c r="E115" s="50">
        <f>VLOOKUP($A115,'Data Vlaue (Cr)'!$C:$FB,144)</f>
        <v>6806.99</v>
      </c>
      <c r="F115" s="50">
        <f>VLOOKUP($A115,'Data Vlaue (Cr)'!$C:$FB,146)*100</f>
        <v>-24.67</v>
      </c>
      <c r="G115" s="49">
        <f>VLOOKUP($A115,'Data Vlaue (Cr)'!$C:$FB,43)</f>
        <v>615</v>
      </c>
      <c r="H115" s="49">
        <f>VLOOKUP($A115,'Data Vlaue (Cr)'!$C:$FB,44)</f>
        <v>794</v>
      </c>
      <c r="I115" s="49">
        <f>VLOOKUP($A115,'Data Vlaue (Cr)'!$C:$FB,46)*100</f>
        <v>-22.56</v>
      </c>
      <c r="J115" s="51">
        <f>VLOOKUP($A115,'Data Vlaue (Cr)'!$C:$FB,59)</f>
        <v>2635</v>
      </c>
      <c r="K115" s="51">
        <f>VLOOKUP($A115,'Data Vlaue (Cr)'!$C:$FB,60)</f>
        <v>3224</v>
      </c>
      <c r="L115" s="51">
        <f>VLOOKUP($A115,'Data Vlaue (Cr)'!$C:$FB,62)*100</f>
        <v>-18.279999999999998</v>
      </c>
      <c r="M115" s="51">
        <f>VLOOKUP($A115,'Data Vlaue (Cr)'!$C:$FB,63)</f>
        <v>1735</v>
      </c>
      <c r="N115" s="51">
        <f>VLOOKUP($A115,'Data Vlaue (Cr)'!$C:$FB,64)</f>
        <v>2522</v>
      </c>
      <c r="O115" s="51">
        <f>VLOOKUP($A115,'Data Vlaue (Cr)'!$C:$FB,66)*100</f>
        <v>-31.209999999999997</v>
      </c>
    </row>
    <row r="116" spans="1:15" x14ac:dyDescent="0.25">
      <c r="A116" s="101" t="str">
        <f>'Data Vlaue (Cr)'!C111</f>
        <v>KEI</v>
      </c>
      <c r="B116" s="50">
        <f>VLOOKUP($A116,'Data Vlaue (Cr)'!$C:$FB,8)</f>
        <v>4538.2</v>
      </c>
      <c r="C116" s="50">
        <f>VLOOKUP($A116,'Data Vlaue (Cr)'!$C:$FB,11)*100</f>
        <v>0.27</v>
      </c>
      <c r="D116" s="50">
        <f>VLOOKUP($A116,'Data Vlaue (Cr)'!$C:$FB,143)</f>
        <v>565.94000000000005</v>
      </c>
      <c r="E116" s="50">
        <f>VLOOKUP($A116,'Data Vlaue (Cr)'!$C:$FB,144)</f>
        <v>321.27999999999997</v>
      </c>
      <c r="F116" s="50">
        <f>VLOOKUP($A116,'Data Vlaue (Cr)'!$C:$FB,146)*100</f>
        <v>76.149999999999991</v>
      </c>
      <c r="G116" s="49">
        <f>VLOOKUP($A116,'Data Vlaue (Cr)'!$C:$FB,43)</f>
        <v>147</v>
      </c>
      <c r="H116" s="49">
        <f>VLOOKUP($A116,'Data Vlaue (Cr)'!$C:$FB,44)</f>
        <v>77</v>
      </c>
      <c r="I116" s="49">
        <f>VLOOKUP($A116,'Data Vlaue (Cr)'!$C:$FB,46)*100</f>
        <v>92.100000000000009</v>
      </c>
      <c r="J116" s="51">
        <f>VLOOKUP($A116,'Data Vlaue (Cr)'!$C:$FB,59)</f>
        <v>316</v>
      </c>
      <c r="K116" s="51">
        <f>VLOOKUP($A116,'Data Vlaue (Cr)'!$C:$FB,60)</f>
        <v>175</v>
      </c>
      <c r="L116" s="51">
        <f>VLOOKUP($A116,'Data Vlaue (Cr)'!$C:$FB,62)*100</f>
        <v>80.569999999999993</v>
      </c>
      <c r="M116" s="51">
        <f>VLOOKUP($A116,'Data Vlaue (Cr)'!$C:$FB,63)</f>
        <v>86</v>
      </c>
      <c r="N116" s="51">
        <f>VLOOKUP($A116,'Data Vlaue (Cr)'!$C:$FB,64)</f>
        <v>63</v>
      </c>
      <c r="O116" s="51">
        <f>VLOOKUP($A116,'Data Vlaue (Cr)'!$C:$FB,66)*100</f>
        <v>35.85</v>
      </c>
    </row>
    <row r="117" spans="1:15" x14ac:dyDescent="0.25">
      <c r="A117" s="101" t="str">
        <f>'Data Vlaue (Cr)'!C112</f>
        <v>KFINTECH</v>
      </c>
      <c r="B117" s="50">
        <f>VLOOKUP($A117,'Data Vlaue (Cr)'!$C:$FB,8)</f>
        <v>1074.4000000000001</v>
      </c>
      <c r="C117" s="50">
        <f>VLOOKUP($A117,'Data Vlaue (Cr)'!$C:$FB,11)*100</f>
        <v>-0.03</v>
      </c>
      <c r="D117" s="50">
        <f>VLOOKUP($A117,'Data Vlaue (Cr)'!$C:$FB,143)</f>
        <v>342.75</v>
      </c>
      <c r="E117" s="50">
        <f>VLOOKUP($A117,'Data Vlaue (Cr)'!$C:$FB,144)</f>
        <v>305.75</v>
      </c>
      <c r="F117" s="50">
        <f>VLOOKUP($A117,'Data Vlaue (Cr)'!$C:$FB,146)*100</f>
        <v>12.1</v>
      </c>
      <c r="G117" s="49">
        <f>VLOOKUP($A117,'Data Vlaue (Cr)'!$C:$FB,43)</f>
        <v>153</v>
      </c>
      <c r="H117" s="49">
        <f>VLOOKUP($A117,'Data Vlaue (Cr)'!$C:$FB,44)</f>
        <v>140</v>
      </c>
      <c r="I117" s="49">
        <f>VLOOKUP($A117,'Data Vlaue (Cr)'!$C:$FB,46)*100</f>
        <v>9.34</v>
      </c>
      <c r="J117" s="51">
        <f>VLOOKUP($A117,'Data Vlaue (Cr)'!$C:$FB,59)</f>
        <v>147</v>
      </c>
      <c r="K117" s="51">
        <f>VLOOKUP($A117,'Data Vlaue (Cr)'!$C:$FB,60)</f>
        <v>111</v>
      </c>
      <c r="L117" s="51">
        <f>VLOOKUP($A117,'Data Vlaue (Cr)'!$C:$FB,62)*100</f>
        <v>32.58</v>
      </c>
      <c r="M117" s="51">
        <f>VLOOKUP($A117,'Data Vlaue (Cr)'!$C:$FB,63)</f>
        <v>36</v>
      </c>
      <c r="N117" s="51">
        <f>VLOOKUP($A117,'Data Vlaue (Cr)'!$C:$FB,64)</f>
        <v>53</v>
      </c>
      <c r="O117" s="51">
        <f>VLOOKUP($A117,'Data Vlaue (Cr)'!$C:$FB,66)*100</f>
        <v>-30.659999999999997</v>
      </c>
    </row>
    <row r="118" spans="1:15" x14ac:dyDescent="0.25">
      <c r="A118" s="101" t="str">
        <f>'Data Vlaue (Cr)'!C113</f>
        <v>KOTAKBANK</v>
      </c>
      <c r="B118" s="50">
        <f>VLOOKUP($A118,'Data Vlaue (Cr)'!$C:$FB,8)</f>
        <v>2144</v>
      </c>
      <c r="C118" s="50">
        <f>VLOOKUP($A118,'Data Vlaue (Cr)'!$C:$FB,11)*100</f>
        <v>-0.11</v>
      </c>
      <c r="D118" s="50">
        <f>VLOOKUP($A118,'Data Vlaue (Cr)'!$C:$FB,143)</f>
        <v>5030.17</v>
      </c>
      <c r="E118" s="50">
        <f>VLOOKUP($A118,'Data Vlaue (Cr)'!$C:$FB,144)</f>
        <v>9133.5499999999993</v>
      </c>
      <c r="F118" s="50">
        <f>VLOOKUP($A118,'Data Vlaue (Cr)'!$C:$FB,146)*100</f>
        <v>-44.93</v>
      </c>
      <c r="G118" s="49">
        <f>VLOOKUP($A118,'Data Vlaue (Cr)'!$C:$FB,43)</f>
        <v>947</v>
      </c>
      <c r="H118" s="49">
        <f>VLOOKUP($A118,'Data Vlaue (Cr)'!$C:$FB,44)</f>
        <v>1499</v>
      </c>
      <c r="I118" s="49">
        <f>VLOOKUP($A118,'Data Vlaue (Cr)'!$C:$FB,46)*100</f>
        <v>-36.82</v>
      </c>
      <c r="J118" s="51">
        <f>VLOOKUP($A118,'Data Vlaue (Cr)'!$C:$FB,59)</f>
        <v>2478</v>
      </c>
      <c r="K118" s="51">
        <f>VLOOKUP($A118,'Data Vlaue (Cr)'!$C:$FB,60)</f>
        <v>4504</v>
      </c>
      <c r="L118" s="51">
        <f>VLOOKUP($A118,'Data Vlaue (Cr)'!$C:$FB,62)*100</f>
        <v>-44.98</v>
      </c>
      <c r="M118" s="51">
        <f>VLOOKUP($A118,'Data Vlaue (Cr)'!$C:$FB,63)</f>
        <v>1537</v>
      </c>
      <c r="N118" s="51">
        <f>VLOOKUP($A118,'Data Vlaue (Cr)'!$C:$FB,64)</f>
        <v>2866</v>
      </c>
      <c r="O118" s="51">
        <f>VLOOKUP($A118,'Data Vlaue (Cr)'!$C:$FB,66)*100</f>
        <v>-46.379999999999995</v>
      </c>
    </row>
    <row r="119" spans="1:15" x14ac:dyDescent="0.25">
      <c r="A119" s="101" t="str">
        <f>'Data Vlaue (Cr)'!C114</f>
        <v>KPITTECH</v>
      </c>
      <c r="B119" s="50">
        <f>VLOOKUP($A119,'Data Vlaue (Cr)'!$C:$FB,8)</f>
        <v>1208.5</v>
      </c>
      <c r="C119" s="50">
        <f>VLOOKUP($A119,'Data Vlaue (Cr)'!$C:$FB,11)*100</f>
        <v>6.02</v>
      </c>
      <c r="D119" s="50">
        <f>VLOOKUP($A119,'Data Vlaue (Cr)'!$C:$FB,143)</f>
        <v>2579.8200000000002</v>
      </c>
      <c r="E119" s="50">
        <f>VLOOKUP($A119,'Data Vlaue (Cr)'!$C:$FB,144)</f>
        <v>350.96</v>
      </c>
      <c r="F119" s="50">
        <f>VLOOKUP($A119,'Data Vlaue (Cr)'!$C:$FB,146)*100</f>
        <v>635.07999999999993</v>
      </c>
      <c r="G119" s="49">
        <f>VLOOKUP($A119,'Data Vlaue (Cr)'!$C:$FB,43)</f>
        <v>326</v>
      </c>
      <c r="H119" s="49">
        <f>VLOOKUP($A119,'Data Vlaue (Cr)'!$C:$FB,44)</f>
        <v>110</v>
      </c>
      <c r="I119" s="49">
        <f>VLOOKUP($A119,'Data Vlaue (Cr)'!$C:$FB,46)*100</f>
        <v>195.28</v>
      </c>
      <c r="J119" s="51">
        <f>VLOOKUP($A119,'Data Vlaue (Cr)'!$C:$FB,59)</f>
        <v>1791</v>
      </c>
      <c r="K119" s="51">
        <f>VLOOKUP($A119,'Data Vlaue (Cr)'!$C:$FB,60)</f>
        <v>194</v>
      </c>
      <c r="L119" s="51">
        <f>VLOOKUP($A119,'Data Vlaue (Cr)'!$C:$FB,62)*100</f>
        <v>824.74000000000012</v>
      </c>
      <c r="M119" s="51">
        <f>VLOOKUP($A119,'Data Vlaue (Cr)'!$C:$FB,63)</f>
        <v>428</v>
      </c>
      <c r="N119" s="51">
        <f>VLOOKUP($A119,'Data Vlaue (Cr)'!$C:$FB,64)</f>
        <v>57</v>
      </c>
      <c r="O119" s="51">
        <f>VLOOKUP($A119,'Data Vlaue (Cr)'!$C:$FB,66)*100</f>
        <v>646.45000000000005</v>
      </c>
    </row>
    <row r="120" spans="1:15" x14ac:dyDescent="0.25">
      <c r="A120" s="101" t="str">
        <f>'Data Vlaue (Cr)'!C115</f>
        <v>LAURUSLABS</v>
      </c>
      <c r="B120" s="50">
        <f>VLOOKUP($A120,'Data Vlaue (Cr)'!$C:$FB,8)</f>
        <v>1128.5</v>
      </c>
      <c r="C120" s="50">
        <f>VLOOKUP($A120,'Data Vlaue (Cr)'!$C:$FB,11)*100</f>
        <v>1.1299999999999999</v>
      </c>
      <c r="D120" s="50">
        <f>VLOOKUP($A120,'Data Vlaue (Cr)'!$C:$FB,143)</f>
        <v>2596.46</v>
      </c>
      <c r="E120" s="50">
        <f>VLOOKUP($A120,'Data Vlaue (Cr)'!$C:$FB,144)</f>
        <v>1802.25</v>
      </c>
      <c r="F120" s="50">
        <f>VLOOKUP($A120,'Data Vlaue (Cr)'!$C:$FB,146)*100</f>
        <v>44.07</v>
      </c>
      <c r="G120" s="49">
        <f>VLOOKUP($A120,'Data Vlaue (Cr)'!$C:$FB,43)</f>
        <v>553</v>
      </c>
      <c r="H120" s="49">
        <f>VLOOKUP($A120,'Data Vlaue (Cr)'!$C:$FB,44)</f>
        <v>363</v>
      </c>
      <c r="I120" s="49">
        <f>VLOOKUP($A120,'Data Vlaue (Cr)'!$C:$FB,46)*100</f>
        <v>52.66</v>
      </c>
      <c r="J120" s="51">
        <f>VLOOKUP($A120,'Data Vlaue (Cr)'!$C:$FB,59)</f>
        <v>1301</v>
      </c>
      <c r="K120" s="51">
        <f>VLOOKUP($A120,'Data Vlaue (Cr)'!$C:$FB,60)</f>
        <v>958</v>
      </c>
      <c r="L120" s="51">
        <f>VLOOKUP($A120,'Data Vlaue (Cr)'!$C:$FB,62)*100</f>
        <v>35.839999999999996</v>
      </c>
      <c r="M120" s="51">
        <f>VLOOKUP($A120,'Data Vlaue (Cr)'!$C:$FB,63)</f>
        <v>701</v>
      </c>
      <c r="N120" s="51">
        <f>VLOOKUP($A120,'Data Vlaue (Cr)'!$C:$FB,64)</f>
        <v>476</v>
      </c>
      <c r="O120" s="51">
        <f>VLOOKUP($A120,'Data Vlaue (Cr)'!$C:$FB,66)*100</f>
        <v>47.24</v>
      </c>
    </row>
    <row r="121" spans="1:15" x14ac:dyDescent="0.25">
      <c r="A121" s="101" t="str">
        <f>'Data Vlaue (Cr)'!C116</f>
        <v>LICHSGFIN</v>
      </c>
      <c r="B121" s="50">
        <f>VLOOKUP($A121,'Data Vlaue (Cr)'!$C:$FB,8)</f>
        <v>538.20000000000005</v>
      </c>
      <c r="C121" s="50">
        <f>VLOOKUP($A121,'Data Vlaue (Cr)'!$C:$FB,11)*100</f>
        <v>-0.31</v>
      </c>
      <c r="D121" s="50">
        <f>VLOOKUP($A121,'Data Vlaue (Cr)'!$C:$FB,143)</f>
        <v>547.61</v>
      </c>
      <c r="E121" s="50">
        <f>VLOOKUP($A121,'Data Vlaue (Cr)'!$C:$FB,144)</f>
        <v>349.23</v>
      </c>
      <c r="F121" s="50">
        <f>VLOOKUP($A121,'Data Vlaue (Cr)'!$C:$FB,146)*100</f>
        <v>56.81</v>
      </c>
      <c r="G121" s="49">
        <f>VLOOKUP($A121,'Data Vlaue (Cr)'!$C:$FB,43)</f>
        <v>104</v>
      </c>
      <c r="H121" s="49">
        <f>VLOOKUP($A121,'Data Vlaue (Cr)'!$C:$FB,44)</f>
        <v>89</v>
      </c>
      <c r="I121" s="49">
        <f>VLOOKUP($A121,'Data Vlaue (Cr)'!$C:$FB,46)*100</f>
        <v>16.559999999999999</v>
      </c>
      <c r="J121" s="51">
        <f>VLOOKUP($A121,'Data Vlaue (Cr)'!$C:$FB,59)</f>
        <v>228</v>
      </c>
      <c r="K121" s="51">
        <f>VLOOKUP($A121,'Data Vlaue (Cr)'!$C:$FB,60)</f>
        <v>166</v>
      </c>
      <c r="L121" s="51">
        <f>VLOOKUP($A121,'Data Vlaue (Cr)'!$C:$FB,62)*100</f>
        <v>37.26</v>
      </c>
      <c r="M121" s="51">
        <f>VLOOKUP($A121,'Data Vlaue (Cr)'!$C:$FB,63)</f>
        <v>205</v>
      </c>
      <c r="N121" s="51">
        <f>VLOOKUP($A121,'Data Vlaue (Cr)'!$C:$FB,64)</f>
        <v>89</v>
      </c>
      <c r="O121" s="51">
        <f>VLOOKUP($A121,'Data Vlaue (Cr)'!$C:$FB,66)*100</f>
        <v>131.29999999999998</v>
      </c>
    </row>
    <row r="122" spans="1:15" x14ac:dyDescent="0.25">
      <c r="A122" s="101" t="str">
        <f>'Data Vlaue (Cr)'!C117</f>
        <v>LICI</v>
      </c>
      <c r="B122" s="50">
        <f>VLOOKUP($A122,'Data Vlaue (Cr)'!$C:$FB,8)</f>
        <v>851.95</v>
      </c>
      <c r="C122" s="50">
        <f>VLOOKUP($A122,'Data Vlaue (Cr)'!$C:$FB,11)*100</f>
        <v>0.22</v>
      </c>
      <c r="D122" s="50">
        <f>VLOOKUP($A122,'Data Vlaue (Cr)'!$C:$FB,143)</f>
        <v>427.08</v>
      </c>
      <c r="E122" s="50">
        <f>VLOOKUP($A122,'Data Vlaue (Cr)'!$C:$FB,144)</f>
        <v>521.55999999999995</v>
      </c>
      <c r="F122" s="50">
        <f>VLOOKUP($A122,'Data Vlaue (Cr)'!$C:$FB,146)*100</f>
        <v>-18.11</v>
      </c>
      <c r="G122" s="49">
        <f>VLOOKUP($A122,'Data Vlaue (Cr)'!$C:$FB,43)</f>
        <v>100</v>
      </c>
      <c r="H122" s="49">
        <f>VLOOKUP($A122,'Data Vlaue (Cr)'!$C:$FB,44)</f>
        <v>114</v>
      </c>
      <c r="I122" s="49">
        <f>VLOOKUP($A122,'Data Vlaue (Cr)'!$C:$FB,46)*100</f>
        <v>-11.99</v>
      </c>
      <c r="J122" s="51">
        <f>VLOOKUP($A122,'Data Vlaue (Cr)'!$C:$FB,59)</f>
        <v>221</v>
      </c>
      <c r="K122" s="51">
        <f>VLOOKUP($A122,'Data Vlaue (Cr)'!$C:$FB,60)</f>
        <v>296</v>
      </c>
      <c r="L122" s="51">
        <f>VLOOKUP($A122,'Data Vlaue (Cr)'!$C:$FB,62)*100</f>
        <v>-25.290000000000003</v>
      </c>
      <c r="M122" s="51">
        <f>VLOOKUP($A122,'Data Vlaue (Cr)'!$C:$FB,63)</f>
        <v>100</v>
      </c>
      <c r="N122" s="51">
        <f>VLOOKUP($A122,'Data Vlaue (Cr)'!$C:$FB,64)</f>
        <v>101</v>
      </c>
      <c r="O122" s="51">
        <f>VLOOKUP($A122,'Data Vlaue (Cr)'!$C:$FB,66)*100</f>
        <v>-1.18</v>
      </c>
    </row>
    <row r="123" spans="1:15" x14ac:dyDescent="0.25">
      <c r="A123" s="101" t="str">
        <f>'Data Vlaue (Cr)'!C118</f>
        <v>LODHA</v>
      </c>
      <c r="B123" s="50">
        <f>VLOOKUP($A123,'Data Vlaue (Cr)'!$C:$FB,8)</f>
        <v>1110.9000000000001</v>
      </c>
      <c r="C123" s="50">
        <f>VLOOKUP($A123,'Data Vlaue (Cr)'!$C:$FB,11)*100</f>
        <v>-0.11</v>
      </c>
      <c r="D123" s="50">
        <f>VLOOKUP($A123,'Data Vlaue (Cr)'!$C:$FB,143)</f>
        <v>1189.32</v>
      </c>
      <c r="E123" s="50">
        <f>VLOOKUP($A123,'Data Vlaue (Cr)'!$C:$FB,144)</f>
        <v>561.66</v>
      </c>
      <c r="F123" s="50">
        <f>VLOOKUP($A123,'Data Vlaue (Cr)'!$C:$FB,146)*100</f>
        <v>111.75</v>
      </c>
      <c r="G123" s="49">
        <f>VLOOKUP($A123,'Data Vlaue (Cr)'!$C:$FB,43)</f>
        <v>233</v>
      </c>
      <c r="H123" s="49">
        <f>VLOOKUP($A123,'Data Vlaue (Cr)'!$C:$FB,44)</f>
        <v>134</v>
      </c>
      <c r="I123" s="49">
        <f>VLOOKUP($A123,'Data Vlaue (Cr)'!$C:$FB,46)*100</f>
        <v>74.19</v>
      </c>
      <c r="J123" s="51">
        <f>VLOOKUP($A123,'Data Vlaue (Cr)'!$C:$FB,59)</f>
        <v>663</v>
      </c>
      <c r="K123" s="51">
        <f>VLOOKUP($A123,'Data Vlaue (Cr)'!$C:$FB,60)</f>
        <v>286</v>
      </c>
      <c r="L123" s="51">
        <f>VLOOKUP($A123,'Data Vlaue (Cr)'!$C:$FB,62)*100</f>
        <v>131.94</v>
      </c>
      <c r="M123" s="51">
        <f>VLOOKUP($A123,'Data Vlaue (Cr)'!$C:$FB,63)</f>
        <v>258</v>
      </c>
      <c r="N123" s="51">
        <f>VLOOKUP($A123,'Data Vlaue (Cr)'!$C:$FB,64)</f>
        <v>130</v>
      </c>
      <c r="O123" s="51">
        <f>VLOOKUP($A123,'Data Vlaue (Cr)'!$C:$FB,66)*100</f>
        <v>97.77</v>
      </c>
    </row>
    <row r="124" spans="1:15" x14ac:dyDescent="0.25">
      <c r="A124" s="101" t="str">
        <f>'Data Vlaue (Cr)'!C119</f>
        <v>LT</v>
      </c>
      <c r="B124" s="50">
        <f>VLOOKUP($A124,'Data Vlaue (Cr)'!$C:$FB,8)</f>
        <v>4157</v>
      </c>
      <c r="C124" s="50">
        <f>VLOOKUP($A124,'Data Vlaue (Cr)'!$C:$FB,11)*100</f>
        <v>0.4</v>
      </c>
      <c r="D124" s="50">
        <f>VLOOKUP($A124,'Data Vlaue (Cr)'!$C:$FB,143)</f>
        <v>3545</v>
      </c>
      <c r="E124" s="50">
        <f>VLOOKUP($A124,'Data Vlaue (Cr)'!$C:$FB,144)</f>
        <v>2891.12</v>
      </c>
      <c r="F124" s="50">
        <f>VLOOKUP($A124,'Data Vlaue (Cr)'!$C:$FB,146)*100</f>
        <v>22.62</v>
      </c>
      <c r="G124" s="49">
        <f>VLOOKUP($A124,'Data Vlaue (Cr)'!$C:$FB,43)</f>
        <v>594</v>
      </c>
      <c r="H124" s="49">
        <f>VLOOKUP($A124,'Data Vlaue (Cr)'!$C:$FB,44)</f>
        <v>498</v>
      </c>
      <c r="I124" s="49">
        <f>VLOOKUP($A124,'Data Vlaue (Cr)'!$C:$FB,46)*100</f>
        <v>19.18</v>
      </c>
      <c r="J124" s="51">
        <f>VLOOKUP($A124,'Data Vlaue (Cr)'!$C:$FB,59)</f>
        <v>1790</v>
      </c>
      <c r="K124" s="51">
        <f>VLOOKUP($A124,'Data Vlaue (Cr)'!$C:$FB,60)</f>
        <v>1584</v>
      </c>
      <c r="L124" s="51">
        <f>VLOOKUP($A124,'Data Vlaue (Cr)'!$C:$FB,62)*100</f>
        <v>12.950000000000001</v>
      </c>
      <c r="M124" s="51">
        <f>VLOOKUP($A124,'Data Vlaue (Cr)'!$C:$FB,63)</f>
        <v>1138</v>
      </c>
      <c r="N124" s="51">
        <f>VLOOKUP($A124,'Data Vlaue (Cr)'!$C:$FB,64)</f>
        <v>774</v>
      </c>
      <c r="O124" s="51">
        <f>VLOOKUP($A124,'Data Vlaue (Cr)'!$C:$FB,66)*100</f>
        <v>46.96</v>
      </c>
    </row>
    <row r="125" spans="1:15" x14ac:dyDescent="0.25">
      <c r="A125" s="101" t="str">
        <f>'Data Vlaue (Cr)'!C120</f>
        <v>LTF</v>
      </c>
      <c r="B125" s="50">
        <f>VLOOKUP($A125,'Data Vlaue (Cr)'!$C:$FB,8)</f>
        <v>313.95</v>
      </c>
      <c r="C125" s="50">
        <f>VLOOKUP($A125,'Data Vlaue (Cr)'!$C:$FB,11)*100</f>
        <v>-1.69</v>
      </c>
      <c r="D125" s="50">
        <f>VLOOKUP($A125,'Data Vlaue (Cr)'!$C:$FB,143)</f>
        <v>1773.23</v>
      </c>
      <c r="E125" s="50">
        <f>VLOOKUP($A125,'Data Vlaue (Cr)'!$C:$FB,144)</f>
        <v>2862.04</v>
      </c>
      <c r="F125" s="50">
        <f>VLOOKUP($A125,'Data Vlaue (Cr)'!$C:$FB,146)*100</f>
        <v>-38.04</v>
      </c>
      <c r="G125" s="49">
        <f>VLOOKUP($A125,'Data Vlaue (Cr)'!$C:$FB,43)</f>
        <v>454</v>
      </c>
      <c r="H125" s="49">
        <f>VLOOKUP($A125,'Data Vlaue (Cr)'!$C:$FB,44)</f>
        <v>474</v>
      </c>
      <c r="I125" s="49">
        <f>VLOOKUP($A125,'Data Vlaue (Cr)'!$C:$FB,46)*100</f>
        <v>-4.09</v>
      </c>
      <c r="J125" s="51">
        <f>VLOOKUP($A125,'Data Vlaue (Cr)'!$C:$FB,59)</f>
        <v>793</v>
      </c>
      <c r="K125" s="51">
        <f>VLOOKUP($A125,'Data Vlaue (Cr)'!$C:$FB,60)</f>
        <v>1565</v>
      </c>
      <c r="L125" s="51">
        <f>VLOOKUP($A125,'Data Vlaue (Cr)'!$C:$FB,62)*100</f>
        <v>-49.35</v>
      </c>
      <c r="M125" s="51">
        <f>VLOOKUP($A125,'Data Vlaue (Cr)'!$C:$FB,63)</f>
        <v>479</v>
      </c>
      <c r="N125" s="51">
        <f>VLOOKUP($A125,'Data Vlaue (Cr)'!$C:$FB,64)</f>
        <v>671</v>
      </c>
      <c r="O125" s="51">
        <f>VLOOKUP($A125,'Data Vlaue (Cr)'!$C:$FB,66)*100</f>
        <v>-28.610000000000003</v>
      </c>
    </row>
    <row r="126" spans="1:15" x14ac:dyDescent="0.25">
      <c r="A126" s="101" t="str">
        <f>'Data Vlaue (Cr)'!C121</f>
        <v>LTIM</v>
      </c>
      <c r="B126" s="50">
        <f>VLOOKUP($A126,'Data Vlaue (Cr)'!$C:$FB,8)</f>
        <v>6102</v>
      </c>
      <c r="C126" s="50">
        <f>VLOOKUP($A126,'Data Vlaue (Cr)'!$C:$FB,11)*100</f>
        <v>2</v>
      </c>
      <c r="D126" s="50">
        <f>VLOOKUP($A126,'Data Vlaue (Cr)'!$C:$FB,143)</f>
        <v>1777.25</v>
      </c>
      <c r="E126" s="50">
        <f>VLOOKUP($A126,'Data Vlaue (Cr)'!$C:$FB,144)</f>
        <v>1637.63</v>
      </c>
      <c r="F126" s="50">
        <f>VLOOKUP($A126,'Data Vlaue (Cr)'!$C:$FB,146)*100</f>
        <v>8.5299999999999994</v>
      </c>
      <c r="G126" s="49">
        <f>VLOOKUP($A126,'Data Vlaue (Cr)'!$C:$FB,43)</f>
        <v>333</v>
      </c>
      <c r="H126" s="49">
        <f>VLOOKUP($A126,'Data Vlaue (Cr)'!$C:$FB,44)</f>
        <v>407</v>
      </c>
      <c r="I126" s="49">
        <f>VLOOKUP($A126,'Data Vlaue (Cr)'!$C:$FB,46)*100</f>
        <v>-18.310000000000002</v>
      </c>
      <c r="J126" s="51">
        <f>VLOOKUP($A126,'Data Vlaue (Cr)'!$C:$FB,59)</f>
        <v>974</v>
      </c>
      <c r="K126" s="51">
        <f>VLOOKUP($A126,'Data Vlaue (Cr)'!$C:$FB,60)</f>
        <v>640</v>
      </c>
      <c r="L126" s="51">
        <f>VLOOKUP($A126,'Data Vlaue (Cr)'!$C:$FB,62)*100</f>
        <v>52.27</v>
      </c>
      <c r="M126" s="51">
        <f>VLOOKUP($A126,'Data Vlaue (Cr)'!$C:$FB,63)</f>
        <v>439</v>
      </c>
      <c r="N126" s="51">
        <f>VLOOKUP($A126,'Data Vlaue (Cr)'!$C:$FB,64)</f>
        <v>593</v>
      </c>
      <c r="O126" s="51">
        <f>VLOOKUP($A126,'Data Vlaue (Cr)'!$C:$FB,66)*100</f>
        <v>-25.929999999999996</v>
      </c>
    </row>
    <row r="127" spans="1:15" x14ac:dyDescent="0.25">
      <c r="A127" s="101" t="str">
        <f>'Data Vlaue (Cr)'!C122</f>
        <v>LUPIN</v>
      </c>
      <c r="B127" s="50">
        <f>VLOOKUP($A127,'Data Vlaue (Cr)'!$C:$FB,8)</f>
        <v>2214.3000000000002</v>
      </c>
      <c r="C127" s="50">
        <f>VLOOKUP($A127,'Data Vlaue (Cr)'!$C:$FB,11)*100</f>
        <v>3.01</v>
      </c>
      <c r="D127" s="50">
        <f>VLOOKUP($A127,'Data Vlaue (Cr)'!$C:$FB,143)</f>
        <v>5385.39</v>
      </c>
      <c r="E127" s="50">
        <f>VLOOKUP($A127,'Data Vlaue (Cr)'!$C:$FB,144)</f>
        <v>3107.86</v>
      </c>
      <c r="F127" s="50">
        <f>VLOOKUP($A127,'Data Vlaue (Cr)'!$C:$FB,146)*100</f>
        <v>73.28</v>
      </c>
      <c r="G127" s="49">
        <f>VLOOKUP($A127,'Data Vlaue (Cr)'!$C:$FB,43)</f>
        <v>669</v>
      </c>
      <c r="H127" s="49">
        <f>VLOOKUP($A127,'Data Vlaue (Cr)'!$C:$FB,44)</f>
        <v>610</v>
      </c>
      <c r="I127" s="49">
        <f>VLOOKUP($A127,'Data Vlaue (Cr)'!$C:$FB,46)*100</f>
        <v>9.75</v>
      </c>
      <c r="J127" s="51">
        <f>VLOOKUP($A127,'Data Vlaue (Cr)'!$C:$FB,59)</f>
        <v>3442</v>
      </c>
      <c r="K127" s="51">
        <f>VLOOKUP($A127,'Data Vlaue (Cr)'!$C:$FB,60)</f>
        <v>2023</v>
      </c>
      <c r="L127" s="51">
        <f>VLOOKUP($A127,'Data Vlaue (Cr)'!$C:$FB,62)*100</f>
        <v>70.099999999999994</v>
      </c>
      <c r="M127" s="51">
        <f>VLOOKUP($A127,'Data Vlaue (Cr)'!$C:$FB,63)</f>
        <v>1219</v>
      </c>
      <c r="N127" s="51">
        <f>VLOOKUP($A127,'Data Vlaue (Cr)'!$C:$FB,64)</f>
        <v>546</v>
      </c>
      <c r="O127" s="51">
        <f>VLOOKUP($A127,'Data Vlaue (Cr)'!$C:$FB,66)*100</f>
        <v>123.37</v>
      </c>
    </row>
    <row r="128" spans="1:15" x14ac:dyDescent="0.25">
      <c r="A128" s="101" t="str">
        <f>'Data Vlaue (Cr)'!C123</f>
        <v>M&amp;M</v>
      </c>
      <c r="B128" s="50">
        <f>VLOOKUP($A128,'Data Vlaue (Cr)'!$C:$FB,8)</f>
        <v>3748.8</v>
      </c>
      <c r="C128" s="50">
        <f>VLOOKUP($A128,'Data Vlaue (Cr)'!$C:$FB,11)*100</f>
        <v>-0.97</v>
      </c>
      <c r="D128" s="50">
        <f>VLOOKUP($A128,'Data Vlaue (Cr)'!$C:$FB,143)</f>
        <v>3583.42</v>
      </c>
      <c r="E128" s="50">
        <f>VLOOKUP($A128,'Data Vlaue (Cr)'!$C:$FB,144)</f>
        <v>3026.26</v>
      </c>
      <c r="F128" s="50">
        <f>VLOOKUP($A128,'Data Vlaue (Cr)'!$C:$FB,146)*100</f>
        <v>18.41</v>
      </c>
      <c r="G128" s="49">
        <f>VLOOKUP($A128,'Data Vlaue (Cr)'!$C:$FB,43)</f>
        <v>472</v>
      </c>
      <c r="H128" s="49">
        <f>VLOOKUP($A128,'Data Vlaue (Cr)'!$C:$FB,44)</f>
        <v>441</v>
      </c>
      <c r="I128" s="49">
        <f>VLOOKUP($A128,'Data Vlaue (Cr)'!$C:$FB,46)*100</f>
        <v>7.01</v>
      </c>
      <c r="J128" s="51">
        <f>VLOOKUP($A128,'Data Vlaue (Cr)'!$C:$FB,59)</f>
        <v>1869</v>
      </c>
      <c r="K128" s="51">
        <f>VLOOKUP($A128,'Data Vlaue (Cr)'!$C:$FB,60)</f>
        <v>1415</v>
      </c>
      <c r="L128" s="51">
        <f>VLOOKUP($A128,'Data Vlaue (Cr)'!$C:$FB,62)*100</f>
        <v>32.15</v>
      </c>
      <c r="M128" s="51">
        <f>VLOOKUP($A128,'Data Vlaue (Cr)'!$C:$FB,63)</f>
        <v>1174</v>
      </c>
      <c r="N128" s="51">
        <f>VLOOKUP($A128,'Data Vlaue (Cr)'!$C:$FB,64)</f>
        <v>1102</v>
      </c>
      <c r="O128" s="51">
        <f>VLOOKUP($A128,'Data Vlaue (Cr)'!$C:$FB,66)*100</f>
        <v>6.5600000000000005</v>
      </c>
    </row>
    <row r="129" spans="1:15" x14ac:dyDescent="0.25">
      <c r="A129" s="101" t="str">
        <f>'Data Vlaue (Cr)'!C124</f>
        <v>MANAPPURAM</v>
      </c>
      <c r="B129" s="50">
        <f>VLOOKUP($A129,'Data Vlaue (Cr)'!$C:$FB,8)</f>
        <v>319.89999999999998</v>
      </c>
      <c r="C129" s="50">
        <f>VLOOKUP($A129,'Data Vlaue (Cr)'!$C:$FB,11)*100</f>
        <v>3.7800000000000002</v>
      </c>
      <c r="D129" s="50">
        <f>VLOOKUP($A129,'Data Vlaue (Cr)'!$C:$FB,143)</f>
        <v>3318.49</v>
      </c>
      <c r="E129" s="50">
        <f>VLOOKUP($A129,'Data Vlaue (Cr)'!$C:$FB,144)</f>
        <v>709.48</v>
      </c>
      <c r="F129" s="50">
        <f>VLOOKUP($A129,'Data Vlaue (Cr)'!$C:$FB,146)*100</f>
        <v>367.72999999999996</v>
      </c>
      <c r="G129" s="49">
        <f>VLOOKUP($A129,'Data Vlaue (Cr)'!$C:$FB,43)</f>
        <v>659</v>
      </c>
      <c r="H129" s="49">
        <f>VLOOKUP($A129,'Data Vlaue (Cr)'!$C:$FB,44)</f>
        <v>183</v>
      </c>
      <c r="I129" s="49">
        <f>VLOOKUP($A129,'Data Vlaue (Cr)'!$C:$FB,46)*100</f>
        <v>261.08</v>
      </c>
      <c r="J129" s="51">
        <f>VLOOKUP($A129,'Data Vlaue (Cr)'!$C:$FB,59)</f>
        <v>2162</v>
      </c>
      <c r="K129" s="51">
        <f>VLOOKUP($A129,'Data Vlaue (Cr)'!$C:$FB,60)</f>
        <v>397</v>
      </c>
      <c r="L129" s="51">
        <f>VLOOKUP($A129,'Data Vlaue (Cr)'!$C:$FB,62)*100</f>
        <v>444.21999999999997</v>
      </c>
      <c r="M129" s="51">
        <f>VLOOKUP($A129,'Data Vlaue (Cr)'!$C:$FB,63)</f>
        <v>452</v>
      </c>
      <c r="N129" s="51">
        <f>VLOOKUP($A129,'Data Vlaue (Cr)'!$C:$FB,64)</f>
        <v>135</v>
      </c>
      <c r="O129" s="51">
        <f>VLOOKUP($A129,'Data Vlaue (Cr)'!$C:$FB,66)*100</f>
        <v>233.29</v>
      </c>
    </row>
    <row r="130" spans="1:15" x14ac:dyDescent="0.25">
      <c r="A130" s="101" t="str">
        <f>'Data Vlaue (Cr)'!C125</f>
        <v>MANKIND</v>
      </c>
      <c r="B130" s="50">
        <f>VLOOKUP($A130,'Data Vlaue (Cr)'!$C:$FB,8)</f>
        <v>2311.8000000000002</v>
      </c>
      <c r="C130" s="50">
        <f>VLOOKUP($A130,'Data Vlaue (Cr)'!$C:$FB,11)*100</f>
        <v>3.17</v>
      </c>
      <c r="D130" s="50">
        <f>VLOOKUP($A130,'Data Vlaue (Cr)'!$C:$FB,143)</f>
        <v>1457.87</v>
      </c>
      <c r="E130" s="50">
        <f>VLOOKUP($A130,'Data Vlaue (Cr)'!$C:$FB,144)</f>
        <v>349.61</v>
      </c>
      <c r="F130" s="50">
        <f>VLOOKUP($A130,'Data Vlaue (Cr)'!$C:$FB,146)*100</f>
        <v>317</v>
      </c>
      <c r="G130" s="49">
        <f>VLOOKUP($A130,'Data Vlaue (Cr)'!$C:$FB,43)</f>
        <v>301</v>
      </c>
      <c r="H130" s="49">
        <f>VLOOKUP($A130,'Data Vlaue (Cr)'!$C:$FB,44)</f>
        <v>110</v>
      </c>
      <c r="I130" s="49">
        <f>VLOOKUP($A130,'Data Vlaue (Cr)'!$C:$FB,46)*100</f>
        <v>173.76</v>
      </c>
      <c r="J130" s="51">
        <f>VLOOKUP($A130,'Data Vlaue (Cr)'!$C:$FB,59)</f>
        <v>947</v>
      </c>
      <c r="K130" s="51">
        <f>VLOOKUP($A130,'Data Vlaue (Cr)'!$C:$FB,60)</f>
        <v>225</v>
      </c>
      <c r="L130" s="51">
        <f>VLOOKUP($A130,'Data Vlaue (Cr)'!$C:$FB,62)*100</f>
        <v>321.8</v>
      </c>
      <c r="M130" s="51">
        <f>VLOOKUP($A130,'Data Vlaue (Cr)'!$C:$FB,63)</f>
        <v>198</v>
      </c>
      <c r="N130" s="51">
        <f>VLOOKUP($A130,'Data Vlaue (Cr)'!$C:$FB,64)</f>
        <v>20</v>
      </c>
      <c r="O130" s="51">
        <f>VLOOKUP($A130,'Data Vlaue (Cr)'!$C:$FB,66)*100</f>
        <v>879.37999999999988</v>
      </c>
    </row>
    <row r="131" spans="1:15" x14ac:dyDescent="0.25">
      <c r="A131" s="101" t="str">
        <f>'Data Vlaue (Cr)'!C126</f>
        <v>MARICO</v>
      </c>
      <c r="B131" s="50">
        <f>VLOOKUP($A131,'Data Vlaue (Cr)'!$C:$FB,8)</f>
        <v>773.8</v>
      </c>
      <c r="C131" s="50">
        <f>VLOOKUP($A131,'Data Vlaue (Cr)'!$C:$FB,11)*100</f>
        <v>-0.67</v>
      </c>
      <c r="D131" s="50">
        <f>VLOOKUP($A131,'Data Vlaue (Cr)'!$C:$FB,143)</f>
        <v>955.38</v>
      </c>
      <c r="E131" s="50">
        <f>VLOOKUP($A131,'Data Vlaue (Cr)'!$C:$FB,144)</f>
        <v>1540.42</v>
      </c>
      <c r="F131" s="50">
        <f>VLOOKUP($A131,'Data Vlaue (Cr)'!$C:$FB,146)*100</f>
        <v>-37.980000000000004</v>
      </c>
      <c r="G131" s="49">
        <f>VLOOKUP($A131,'Data Vlaue (Cr)'!$C:$FB,43)</f>
        <v>171</v>
      </c>
      <c r="H131" s="49">
        <f>VLOOKUP($A131,'Data Vlaue (Cr)'!$C:$FB,44)</f>
        <v>254</v>
      </c>
      <c r="I131" s="49">
        <f>VLOOKUP($A131,'Data Vlaue (Cr)'!$C:$FB,46)*100</f>
        <v>-32.5</v>
      </c>
      <c r="J131" s="51">
        <f>VLOOKUP($A131,'Data Vlaue (Cr)'!$C:$FB,59)</f>
        <v>568</v>
      </c>
      <c r="K131" s="51">
        <f>VLOOKUP($A131,'Data Vlaue (Cr)'!$C:$FB,60)</f>
        <v>967</v>
      </c>
      <c r="L131" s="51">
        <f>VLOOKUP($A131,'Data Vlaue (Cr)'!$C:$FB,62)*100</f>
        <v>-41.22</v>
      </c>
      <c r="M131" s="51">
        <f>VLOOKUP($A131,'Data Vlaue (Cr)'!$C:$FB,63)</f>
        <v>200</v>
      </c>
      <c r="N131" s="51">
        <f>VLOOKUP($A131,'Data Vlaue (Cr)'!$C:$FB,64)</f>
        <v>294</v>
      </c>
      <c r="O131" s="51">
        <f>VLOOKUP($A131,'Data Vlaue (Cr)'!$C:$FB,66)*100</f>
        <v>-31.990000000000002</v>
      </c>
    </row>
    <row r="132" spans="1:15" x14ac:dyDescent="0.25">
      <c r="A132" s="101" t="str">
        <f>'Data Vlaue (Cr)'!C127</f>
        <v>MARUTI</v>
      </c>
      <c r="B132" s="50">
        <f>VLOOKUP($A132,'Data Vlaue (Cr)'!$C:$FB,8)</f>
        <v>16809</v>
      </c>
      <c r="C132" s="50">
        <f>VLOOKUP($A132,'Data Vlaue (Cr)'!$C:$FB,11)*100</f>
        <v>-2.79</v>
      </c>
      <c r="D132" s="50">
        <f>VLOOKUP($A132,'Data Vlaue (Cr)'!$C:$FB,143)</f>
        <v>31831.26</v>
      </c>
      <c r="E132" s="50">
        <f>VLOOKUP($A132,'Data Vlaue (Cr)'!$C:$FB,144)</f>
        <v>6477.79</v>
      </c>
      <c r="F132" s="50">
        <f>VLOOKUP($A132,'Data Vlaue (Cr)'!$C:$FB,146)*100</f>
        <v>391.39</v>
      </c>
      <c r="G132" s="49">
        <f>VLOOKUP($A132,'Data Vlaue (Cr)'!$C:$FB,43)</f>
        <v>1712</v>
      </c>
      <c r="H132" s="49">
        <f>VLOOKUP($A132,'Data Vlaue (Cr)'!$C:$FB,44)</f>
        <v>448</v>
      </c>
      <c r="I132" s="49">
        <f>VLOOKUP($A132,'Data Vlaue (Cr)'!$C:$FB,46)*100</f>
        <v>282.14</v>
      </c>
      <c r="J132" s="51">
        <f>VLOOKUP($A132,'Data Vlaue (Cr)'!$C:$FB,59)</f>
        <v>14114</v>
      </c>
      <c r="K132" s="51">
        <f>VLOOKUP($A132,'Data Vlaue (Cr)'!$C:$FB,60)</f>
        <v>3448</v>
      </c>
      <c r="L132" s="51">
        <f>VLOOKUP($A132,'Data Vlaue (Cr)'!$C:$FB,62)*100</f>
        <v>309.36</v>
      </c>
      <c r="M132" s="51">
        <f>VLOOKUP($A132,'Data Vlaue (Cr)'!$C:$FB,63)</f>
        <v>15695</v>
      </c>
      <c r="N132" s="51">
        <f>VLOOKUP($A132,'Data Vlaue (Cr)'!$C:$FB,64)</f>
        <v>2374</v>
      </c>
      <c r="O132" s="51">
        <f>VLOOKUP($A132,'Data Vlaue (Cr)'!$C:$FB,66)*100</f>
        <v>561.21999999999991</v>
      </c>
    </row>
    <row r="133" spans="1:15" x14ac:dyDescent="0.25">
      <c r="A133" s="101" t="str">
        <f>'Data Vlaue (Cr)'!C128</f>
        <v>MAXHEALTH</v>
      </c>
      <c r="B133" s="50">
        <f>VLOOKUP($A133,'Data Vlaue (Cr)'!$C:$FB,8)</f>
        <v>1034.7</v>
      </c>
      <c r="C133" s="50">
        <f>VLOOKUP($A133,'Data Vlaue (Cr)'!$C:$FB,11)*100</f>
        <v>-1.6099999999999999</v>
      </c>
      <c r="D133" s="50">
        <f>VLOOKUP($A133,'Data Vlaue (Cr)'!$C:$FB,143)</f>
        <v>1347.71</v>
      </c>
      <c r="E133" s="50">
        <f>VLOOKUP($A133,'Data Vlaue (Cr)'!$C:$FB,144)</f>
        <v>744.15</v>
      </c>
      <c r="F133" s="50">
        <f>VLOOKUP($A133,'Data Vlaue (Cr)'!$C:$FB,146)*100</f>
        <v>81.11</v>
      </c>
      <c r="G133" s="49">
        <f>VLOOKUP($A133,'Data Vlaue (Cr)'!$C:$FB,43)</f>
        <v>389</v>
      </c>
      <c r="H133" s="49">
        <f>VLOOKUP($A133,'Data Vlaue (Cr)'!$C:$FB,44)</f>
        <v>277</v>
      </c>
      <c r="I133" s="49">
        <f>VLOOKUP($A133,'Data Vlaue (Cr)'!$C:$FB,46)*100</f>
        <v>40.14</v>
      </c>
      <c r="J133" s="51">
        <f>VLOOKUP($A133,'Data Vlaue (Cr)'!$C:$FB,59)</f>
        <v>618</v>
      </c>
      <c r="K133" s="51">
        <f>VLOOKUP($A133,'Data Vlaue (Cr)'!$C:$FB,60)</f>
        <v>340</v>
      </c>
      <c r="L133" s="51">
        <f>VLOOKUP($A133,'Data Vlaue (Cr)'!$C:$FB,62)*100</f>
        <v>81.910000000000011</v>
      </c>
      <c r="M133" s="51">
        <f>VLOOKUP($A133,'Data Vlaue (Cr)'!$C:$FB,63)</f>
        <v>313</v>
      </c>
      <c r="N133" s="51">
        <f>VLOOKUP($A133,'Data Vlaue (Cr)'!$C:$FB,64)</f>
        <v>101</v>
      </c>
      <c r="O133" s="51">
        <f>VLOOKUP($A133,'Data Vlaue (Cr)'!$C:$FB,66)*100</f>
        <v>209.94000000000003</v>
      </c>
    </row>
    <row r="134" spans="1:15" x14ac:dyDescent="0.25">
      <c r="A134" s="101" t="str">
        <f>'Data Vlaue (Cr)'!C129</f>
        <v>MAZDOCK</v>
      </c>
      <c r="B134" s="50">
        <f>VLOOKUP($A134,'Data Vlaue (Cr)'!$C:$FB,8)</f>
        <v>2511.4</v>
      </c>
      <c r="C134" s="50">
        <f>VLOOKUP($A134,'Data Vlaue (Cr)'!$C:$FB,11)*100</f>
        <v>0.6</v>
      </c>
      <c r="D134" s="50">
        <f>VLOOKUP($A134,'Data Vlaue (Cr)'!$C:$FB,143)</f>
        <v>1415.63</v>
      </c>
      <c r="E134" s="50">
        <f>VLOOKUP($A134,'Data Vlaue (Cr)'!$C:$FB,144)</f>
        <v>1040.42</v>
      </c>
      <c r="F134" s="50">
        <f>VLOOKUP($A134,'Data Vlaue (Cr)'!$C:$FB,146)*100</f>
        <v>36.059999999999995</v>
      </c>
      <c r="G134" s="49">
        <f>VLOOKUP($A134,'Data Vlaue (Cr)'!$C:$FB,43)</f>
        <v>216</v>
      </c>
      <c r="H134" s="49">
        <f>VLOOKUP($A134,'Data Vlaue (Cr)'!$C:$FB,44)</f>
        <v>143</v>
      </c>
      <c r="I134" s="49">
        <f>VLOOKUP($A134,'Data Vlaue (Cr)'!$C:$FB,46)*100</f>
        <v>51.019999999999996</v>
      </c>
      <c r="J134" s="51">
        <f>VLOOKUP($A134,'Data Vlaue (Cr)'!$C:$FB,59)</f>
        <v>874</v>
      </c>
      <c r="K134" s="51">
        <f>VLOOKUP($A134,'Data Vlaue (Cr)'!$C:$FB,60)</f>
        <v>618</v>
      </c>
      <c r="L134" s="51">
        <f>VLOOKUP($A134,'Data Vlaue (Cr)'!$C:$FB,62)*100</f>
        <v>41.47</v>
      </c>
      <c r="M134" s="51">
        <f>VLOOKUP($A134,'Data Vlaue (Cr)'!$C:$FB,63)</f>
        <v>290</v>
      </c>
      <c r="N134" s="51">
        <f>VLOOKUP($A134,'Data Vlaue (Cr)'!$C:$FB,64)</f>
        <v>251</v>
      </c>
      <c r="O134" s="51">
        <f>VLOOKUP($A134,'Data Vlaue (Cr)'!$C:$FB,66)*100</f>
        <v>15.629999999999999</v>
      </c>
    </row>
    <row r="135" spans="1:15" x14ac:dyDescent="0.25">
      <c r="A135" s="101" t="str">
        <f>'Data Vlaue (Cr)'!C130</f>
        <v>MCX</v>
      </c>
      <c r="B135" s="50">
        <f>VLOOKUP($A135,'Data Vlaue (Cr)'!$C:$FB,8)</f>
        <v>2305</v>
      </c>
      <c r="C135" s="50">
        <f>VLOOKUP($A135,'Data Vlaue (Cr)'!$C:$FB,11)*100</f>
        <v>2.63</v>
      </c>
      <c r="D135" s="50">
        <f>VLOOKUP($A135,'Data Vlaue (Cr)'!$C:$FB,143)</f>
        <v>10892.61</v>
      </c>
      <c r="E135" s="50">
        <f>VLOOKUP($A135,'Data Vlaue (Cr)'!$C:$FB,144)</f>
        <v>7684.77</v>
      </c>
      <c r="F135" s="50">
        <f>VLOOKUP($A135,'Data Vlaue (Cr)'!$C:$FB,146)*100</f>
        <v>41.74</v>
      </c>
      <c r="G135" s="49">
        <f>VLOOKUP($A135,'Data Vlaue (Cr)'!$C:$FB,43)</f>
        <v>1155</v>
      </c>
      <c r="H135" s="49">
        <f>VLOOKUP($A135,'Data Vlaue (Cr)'!$C:$FB,44)</f>
        <v>1054</v>
      </c>
      <c r="I135" s="49">
        <f>VLOOKUP($A135,'Data Vlaue (Cr)'!$C:$FB,46)*100</f>
        <v>9.629999999999999</v>
      </c>
      <c r="J135" s="51">
        <f>VLOOKUP($A135,'Data Vlaue (Cr)'!$C:$FB,59)</f>
        <v>6582</v>
      </c>
      <c r="K135" s="51">
        <f>VLOOKUP($A135,'Data Vlaue (Cr)'!$C:$FB,60)</f>
        <v>4718</v>
      </c>
      <c r="L135" s="51">
        <f>VLOOKUP($A135,'Data Vlaue (Cr)'!$C:$FB,62)*100</f>
        <v>39.51</v>
      </c>
      <c r="M135" s="51">
        <f>VLOOKUP($A135,'Data Vlaue (Cr)'!$C:$FB,63)</f>
        <v>3022</v>
      </c>
      <c r="N135" s="51">
        <f>VLOOKUP($A135,'Data Vlaue (Cr)'!$C:$FB,64)</f>
        <v>1932</v>
      </c>
      <c r="O135" s="51">
        <f>VLOOKUP($A135,'Data Vlaue (Cr)'!$C:$FB,66)*100</f>
        <v>56.44</v>
      </c>
    </row>
    <row r="136" spans="1:15" x14ac:dyDescent="0.25">
      <c r="A136" s="101" t="str">
        <f>'Data Vlaue (Cr)'!C131</f>
        <v>MFSL</v>
      </c>
      <c r="B136" s="50">
        <f>VLOOKUP($A136,'Data Vlaue (Cr)'!$C:$FB,8)</f>
        <v>1727.1</v>
      </c>
      <c r="C136" s="50">
        <f>VLOOKUP($A136,'Data Vlaue (Cr)'!$C:$FB,11)*100</f>
        <v>-0.24</v>
      </c>
      <c r="D136" s="50">
        <f>VLOOKUP($A136,'Data Vlaue (Cr)'!$C:$FB,143)</f>
        <v>821.59</v>
      </c>
      <c r="E136" s="50">
        <f>VLOOKUP($A136,'Data Vlaue (Cr)'!$C:$FB,144)</f>
        <v>1562.03</v>
      </c>
      <c r="F136" s="50">
        <f>VLOOKUP($A136,'Data Vlaue (Cr)'!$C:$FB,146)*100</f>
        <v>-47.4</v>
      </c>
      <c r="G136" s="49">
        <f>VLOOKUP($A136,'Data Vlaue (Cr)'!$C:$FB,43)</f>
        <v>190</v>
      </c>
      <c r="H136" s="49">
        <f>VLOOKUP($A136,'Data Vlaue (Cr)'!$C:$FB,44)</f>
        <v>338</v>
      </c>
      <c r="I136" s="49">
        <f>VLOOKUP($A136,'Data Vlaue (Cr)'!$C:$FB,46)*100</f>
        <v>-43.7</v>
      </c>
      <c r="J136" s="51">
        <f>VLOOKUP($A136,'Data Vlaue (Cr)'!$C:$FB,59)</f>
        <v>493</v>
      </c>
      <c r="K136" s="51">
        <f>VLOOKUP($A136,'Data Vlaue (Cr)'!$C:$FB,60)</f>
        <v>970</v>
      </c>
      <c r="L136" s="51">
        <f>VLOOKUP($A136,'Data Vlaue (Cr)'!$C:$FB,62)*100</f>
        <v>-49.16</v>
      </c>
      <c r="M136" s="51">
        <f>VLOOKUP($A136,'Data Vlaue (Cr)'!$C:$FB,63)</f>
        <v>117</v>
      </c>
      <c r="N136" s="51">
        <f>VLOOKUP($A136,'Data Vlaue (Cr)'!$C:$FB,64)</f>
        <v>222</v>
      </c>
      <c r="O136" s="51">
        <f>VLOOKUP($A136,'Data Vlaue (Cr)'!$C:$FB,66)*100</f>
        <v>-47.599999999999994</v>
      </c>
    </row>
    <row r="137" spans="1:15" x14ac:dyDescent="0.25">
      <c r="A137" s="101" t="str">
        <f>'Data Vlaue (Cr)'!C132</f>
        <v>MIDCPNIFTY</v>
      </c>
      <c r="B137" s="50">
        <f>VLOOKUP($A137,'Data Vlaue (Cr)'!$C:$FB,8)</f>
        <v>14053.4</v>
      </c>
      <c r="C137" s="50">
        <f>VLOOKUP($A137,'Data Vlaue (Cr)'!$C:$FB,11)*100</f>
        <v>0.69</v>
      </c>
      <c r="D137" s="50">
        <f>VLOOKUP($A137,'Data Vlaue (Cr)'!$C:$FB,143)</f>
        <v>53666.28</v>
      </c>
      <c r="E137" s="50">
        <f>VLOOKUP($A137,'Data Vlaue (Cr)'!$C:$FB,144)</f>
        <v>33167.160000000003</v>
      </c>
      <c r="F137" s="50">
        <f>VLOOKUP($A137,'Data Vlaue (Cr)'!$C:$FB,146)*100</f>
        <v>61.809999999999995</v>
      </c>
      <c r="G137" s="49">
        <f>VLOOKUP($A137,'Data Vlaue (Cr)'!$C:$FB,43)</f>
        <v>968</v>
      </c>
      <c r="H137" s="49">
        <f>VLOOKUP($A137,'Data Vlaue (Cr)'!$C:$FB,44)</f>
        <v>890</v>
      </c>
      <c r="I137" s="49">
        <f>VLOOKUP($A137,'Data Vlaue (Cr)'!$C:$FB,46)*100</f>
        <v>8.85</v>
      </c>
      <c r="J137" s="51">
        <f>VLOOKUP($A137,'Data Vlaue (Cr)'!$C:$FB,59)</f>
        <v>25358</v>
      </c>
      <c r="K137" s="51">
        <f>VLOOKUP($A137,'Data Vlaue (Cr)'!$C:$FB,60)</f>
        <v>15417</v>
      </c>
      <c r="L137" s="51">
        <f>VLOOKUP($A137,'Data Vlaue (Cr)'!$C:$FB,62)*100</f>
        <v>64.48</v>
      </c>
      <c r="M137" s="51">
        <f>VLOOKUP($A137,'Data Vlaue (Cr)'!$C:$FB,63)</f>
        <v>27430</v>
      </c>
      <c r="N137" s="51">
        <f>VLOOKUP($A137,'Data Vlaue (Cr)'!$C:$FB,64)</f>
        <v>16940</v>
      </c>
      <c r="O137" s="51">
        <f>VLOOKUP($A137,'Data Vlaue (Cr)'!$C:$FB,66)*100</f>
        <v>61.919999999999995</v>
      </c>
    </row>
    <row r="138" spans="1:15" x14ac:dyDescent="0.25">
      <c r="A138" s="101" t="str">
        <f>'Data Vlaue (Cr)'!C133</f>
        <v>MOTHERSON</v>
      </c>
      <c r="B138" s="50">
        <f>VLOOKUP($A138,'Data Vlaue (Cr)'!$C:$FB,8)</f>
        <v>119.35</v>
      </c>
      <c r="C138" s="50">
        <f>VLOOKUP($A138,'Data Vlaue (Cr)'!$C:$FB,11)*100</f>
        <v>-1.22</v>
      </c>
      <c r="D138" s="50">
        <f>VLOOKUP($A138,'Data Vlaue (Cr)'!$C:$FB,143)</f>
        <v>710.71</v>
      </c>
      <c r="E138" s="50">
        <f>VLOOKUP($A138,'Data Vlaue (Cr)'!$C:$FB,144)</f>
        <v>817.19</v>
      </c>
      <c r="F138" s="50">
        <f>VLOOKUP($A138,'Data Vlaue (Cr)'!$C:$FB,146)*100</f>
        <v>-13.03</v>
      </c>
      <c r="G138" s="49">
        <f>VLOOKUP($A138,'Data Vlaue (Cr)'!$C:$FB,43)</f>
        <v>197</v>
      </c>
      <c r="H138" s="49">
        <f>VLOOKUP($A138,'Data Vlaue (Cr)'!$C:$FB,44)</f>
        <v>240</v>
      </c>
      <c r="I138" s="49">
        <f>VLOOKUP($A138,'Data Vlaue (Cr)'!$C:$FB,46)*100</f>
        <v>-18.05</v>
      </c>
      <c r="J138" s="51">
        <f>VLOOKUP($A138,'Data Vlaue (Cr)'!$C:$FB,59)</f>
        <v>361</v>
      </c>
      <c r="K138" s="51">
        <f>VLOOKUP($A138,'Data Vlaue (Cr)'!$C:$FB,60)</f>
        <v>370</v>
      </c>
      <c r="L138" s="51">
        <f>VLOOKUP($A138,'Data Vlaue (Cr)'!$C:$FB,62)*100</f>
        <v>-2.23</v>
      </c>
      <c r="M138" s="51">
        <f>VLOOKUP($A138,'Data Vlaue (Cr)'!$C:$FB,63)</f>
        <v>131</v>
      </c>
      <c r="N138" s="51">
        <f>VLOOKUP($A138,'Data Vlaue (Cr)'!$C:$FB,64)</f>
        <v>180</v>
      </c>
      <c r="O138" s="51">
        <f>VLOOKUP($A138,'Data Vlaue (Cr)'!$C:$FB,66)*100</f>
        <v>-27.189999999999998</v>
      </c>
    </row>
    <row r="139" spans="1:15" x14ac:dyDescent="0.25">
      <c r="A139" s="101" t="str">
        <f>'Data Vlaue (Cr)'!C134</f>
        <v>MPHASIS</v>
      </c>
      <c r="B139" s="50">
        <f>VLOOKUP($A139,'Data Vlaue (Cr)'!$C:$FB,8)</f>
        <v>2874.8</v>
      </c>
      <c r="C139" s="50">
        <f>VLOOKUP($A139,'Data Vlaue (Cr)'!$C:$FB,11)*100</f>
        <v>2.09</v>
      </c>
      <c r="D139" s="50">
        <f>VLOOKUP($A139,'Data Vlaue (Cr)'!$C:$FB,143)</f>
        <v>1434</v>
      </c>
      <c r="E139" s="50">
        <f>VLOOKUP($A139,'Data Vlaue (Cr)'!$C:$FB,144)</f>
        <v>517.23</v>
      </c>
      <c r="F139" s="50">
        <f>VLOOKUP($A139,'Data Vlaue (Cr)'!$C:$FB,146)*100</f>
        <v>177.25</v>
      </c>
      <c r="G139" s="49">
        <f>VLOOKUP($A139,'Data Vlaue (Cr)'!$C:$FB,43)</f>
        <v>311</v>
      </c>
      <c r="H139" s="49">
        <f>VLOOKUP($A139,'Data Vlaue (Cr)'!$C:$FB,44)</f>
        <v>194</v>
      </c>
      <c r="I139" s="49">
        <f>VLOOKUP($A139,'Data Vlaue (Cr)'!$C:$FB,46)*100</f>
        <v>60.319999999999993</v>
      </c>
      <c r="J139" s="51">
        <f>VLOOKUP($A139,'Data Vlaue (Cr)'!$C:$FB,59)</f>
        <v>938</v>
      </c>
      <c r="K139" s="51">
        <f>VLOOKUP($A139,'Data Vlaue (Cr)'!$C:$FB,60)</f>
        <v>233</v>
      </c>
      <c r="L139" s="51">
        <f>VLOOKUP($A139,'Data Vlaue (Cr)'!$C:$FB,62)*100</f>
        <v>301.7</v>
      </c>
      <c r="M139" s="51">
        <f>VLOOKUP($A139,'Data Vlaue (Cr)'!$C:$FB,63)</f>
        <v>148</v>
      </c>
      <c r="N139" s="51">
        <f>VLOOKUP($A139,'Data Vlaue (Cr)'!$C:$FB,64)</f>
        <v>91</v>
      </c>
      <c r="O139" s="51">
        <f>VLOOKUP($A139,'Data Vlaue (Cr)'!$C:$FB,66)*100</f>
        <v>62.8</v>
      </c>
    </row>
    <row r="140" spans="1:15" x14ac:dyDescent="0.25">
      <c r="A140" s="101" t="str">
        <f>'Data Vlaue (Cr)'!C135</f>
        <v>MUTHOOTFIN</v>
      </c>
      <c r="B140" s="50">
        <f>VLOOKUP($A140,'Data Vlaue (Cr)'!$C:$FB,8)</f>
        <v>3960.1</v>
      </c>
      <c r="C140" s="50">
        <f>VLOOKUP($A140,'Data Vlaue (Cr)'!$C:$FB,11)*100</f>
        <v>0.49</v>
      </c>
      <c r="D140" s="50">
        <f>VLOOKUP($A140,'Data Vlaue (Cr)'!$C:$FB,143)</f>
        <v>2991.48</v>
      </c>
      <c r="E140" s="50">
        <f>VLOOKUP($A140,'Data Vlaue (Cr)'!$C:$FB,144)</f>
        <v>4635.28</v>
      </c>
      <c r="F140" s="50">
        <f>VLOOKUP($A140,'Data Vlaue (Cr)'!$C:$FB,146)*100</f>
        <v>-35.46</v>
      </c>
      <c r="G140" s="49">
        <f>VLOOKUP($A140,'Data Vlaue (Cr)'!$C:$FB,43)</f>
        <v>369</v>
      </c>
      <c r="H140" s="49">
        <f>VLOOKUP($A140,'Data Vlaue (Cr)'!$C:$FB,44)</f>
        <v>521</v>
      </c>
      <c r="I140" s="49">
        <f>VLOOKUP($A140,'Data Vlaue (Cr)'!$C:$FB,46)*100</f>
        <v>-29.099999999999998</v>
      </c>
      <c r="J140" s="51">
        <f>VLOOKUP($A140,'Data Vlaue (Cr)'!$C:$FB,59)</f>
        <v>1740</v>
      </c>
      <c r="K140" s="51">
        <f>VLOOKUP($A140,'Data Vlaue (Cr)'!$C:$FB,60)</f>
        <v>2856</v>
      </c>
      <c r="L140" s="51">
        <f>VLOOKUP($A140,'Data Vlaue (Cr)'!$C:$FB,62)*100</f>
        <v>-39.07</v>
      </c>
      <c r="M140" s="51">
        <f>VLOOKUP($A140,'Data Vlaue (Cr)'!$C:$FB,63)</f>
        <v>829</v>
      </c>
      <c r="N140" s="51">
        <f>VLOOKUP($A140,'Data Vlaue (Cr)'!$C:$FB,64)</f>
        <v>1167</v>
      </c>
      <c r="O140" s="51">
        <f>VLOOKUP($A140,'Data Vlaue (Cr)'!$C:$FB,66)*100</f>
        <v>-28.970000000000002</v>
      </c>
    </row>
    <row r="141" spans="1:15" x14ac:dyDescent="0.25">
      <c r="A141" s="101" t="str">
        <f>'Data Vlaue (Cr)'!C136</f>
        <v>NATIONALUM</v>
      </c>
      <c r="B141" s="50">
        <f>VLOOKUP($A141,'Data Vlaue (Cr)'!$C:$FB,8)</f>
        <v>352.6</v>
      </c>
      <c r="C141" s="50">
        <f>VLOOKUP($A141,'Data Vlaue (Cr)'!$C:$FB,11)*100</f>
        <v>1.7000000000000002</v>
      </c>
      <c r="D141" s="50">
        <f>VLOOKUP($A141,'Data Vlaue (Cr)'!$C:$FB,143)</f>
        <v>9753.4500000000007</v>
      </c>
      <c r="E141" s="50">
        <f>VLOOKUP($A141,'Data Vlaue (Cr)'!$C:$FB,144)</f>
        <v>15482.98</v>
      </c>
      <c r="F141" s="50">
        <f>VLOOKUP($A141,'Data Vlaue (Cr)'!$C:$FB,146)*100</f>
        <v>-37.01</v>
      </c>
      <c r="G141" s="49">
        <f>VLOOKUP($A141,'Data Vlaue (Cr)'!$C:$FB,43)</f>
        <v>1360</v>
      </c>
      <c r="H141" s="49">
        <f>VLOOKUP($A141,'Data Vlaue (Cr)'!$C:$FB,44)</f>
        <v>1431</v>
      </c>
      <c r="I141" s="49">
        <f>VLOOKUP($A141,'Data Vlaue (Cr)'!$C:$FB,46)*100</f>
        <v>-4.97</v>
      </c>
      <c r="J141" s="51">
        <f>VLOOKUP($A141,'Data Vlaue (Cr)'!$C:$FB,59)</f>
        <v>5677</v>
      </c>
      <c r="K141" s="51">
        <f>VLOOKUP($A141,'Data Vlaue (Cr)'!$C:$FB,60)</f>
        <v>10316</v>
      </c>
      <c r="L141" s="51">
        <f>VLOOKUP($A141,'Data Vlaue (Cr)'!$C:$FB,62)*100</f>
        <v>-44.97</v>
      </c>
      <c r="M141" s="51">
        <f>VLOOKUP($A141,'Data Vlaue (Cr)'!$C:$FB,63)</f>
        <v>2452</v>
      </c>
      <c r="N141" s="51">
        <f>VLOOKUP($A141,'Data Vlaue (Cr)'!$C:$FB,64)</f>
        <v>3456</v>
      </c>
      <c r="O141" s="51">
        <f>VLOOKUP($A141,'Data Vlaue (Cr)'!$C:$FB,66)*100</f>
        <v>-29.060000000000002</v>
      </c>
    </row>
    <row r="142" spans="1:15" x14ac:dyDescent="0.25">
      <c r="A142" s="101" t="str">
        <f>'Data Vlaue (Cr)'!C137</f>
        <v>NAUKRI</v>
      </c>
      <c r="B142" s="50">
        <f>VLOOKUP($A142,'Data Vlaue (Cr)'!$C:$FB,8)</f>
        <v>1359.4</v>
      </c>
      <c r="C142" s="50">
        <f>VLOOKUP($A142,'Data Vlaue (Cr)'!$C:$FB,11)*100</f>
        <v>1.77</v>
      </c>
      <c r="D142" s="50">
        <f>VLOOKUP($A142,'Data Vlaue (Cr)'!$C:$FB,143)</f>
        <v>2548.89</v>
      </c>
      <c r="E142" s="50">
        <f>VLOOKUP($A142,'Data Vlaue (Cr)'!$C:$FB,144)</f>
        <v>378.55</v>
      </c>
      <c r="F142" s="50">
        <f>VLOOKUP($A142,'Data Vlaue (Cr)'!$C:$FB,146)*100</f>
        <v>573.32000000000005</v>
      </c>
      <c r="G142" s="49">
        <f>VLOOKUP($A142,'Data Vlaue (Cr)'!$C:$FB,43)</f>
        <v>345</v>
      </c>
      <c r="H142" s="49">
        <f>VLOOKUP($A142,'Data Vlaue (Cr)'!$C:$FB,44)</f>
        <v>85</v>
      </c>
      <c r="I142" s="49">
        <f>VLOOKUP($A142,'Data Vlaue (Cr)'!$C:$FB,46)*100</f>
        <v>305.27000000000004</v>
      </c>
      <c r="J142" s="51">
        <f>VLOOKUP($A142,'Data Vlaue (Cr)'!$C:$FB,59)</f>
        <v>1704</v>
      </c>
      <c r="K142" s="51">
        <f>VLOOKUP($A142,'Data Vlaue (Cr)'!$C:$FB,60)</f>
        <v>173</v>
      </c>
      <c r="L142" s="51">
        <f>VLOOKUP($A142,'Data Vlaue (Cr)'!$C:$FB,62)*100</f>
        <v>882.55</v>
      </c>
      <c r="M142" s="51">
        <f>VLOOKUP($A142,'Data Vlaue (Cr)'!$C:$FB,63)</f>
        <v>391</v>
      </c>
      <c r="N142" s="51">
        <f>VLOOKUP($A142,'Data Vlaue (Cr)'!$C:$FB,64)</f>
        <v>118</v>
      </c>
      <c r="O142" s="51">
        <f>VLOOKUP($A142,'Data Vlaue (Cr)'!$C:$FB,66)*100</f>
        <v>232.83</v>
      </c>
    </row>
    <row r="143" spans="1:15" x14ac:dyDescent="0.25">
      <c r="A143" s="101" t="str">
        <f>'Data Vlaue (Cr)'!C138</f>
        <v>NBCC</v>
      </c>
      <c r="B143" s="50">
        <f>VLOOKUP($A143,'Data Vlaue (Cr)'!$C:$FB,8)</f>
        <v>116.05</v>
      </c>
      <c r="C143" s="50">
        <f>VLOOKUP($A143,'Data Vlaue (Cr)'!$C:$FB,11)*100</f>
        <v>-2.1</v>
      </c>
      <c r="D143" s="50">
        <f>VLOOKUP($A143,'Data Vlaue (Cr)'!$C:$FB,143)</f>
        <v>1148.48</v>
      </c>
      <c r="E143" s="50">
        <f>VLOOKUP($A143,'Data Vlaue (Cr)'!$C:$FB,144)</f>
        <v>604.91999999999996</v>
      </c>
      <c r="F143" s="50">
        <f>VLOOKUP($A143,'Data Vlaue (Cr)'!$C:$FB,146)*100</f>
        <v>89.86</v>
      </c>
      <c r="G143" s="49">
        <f>VLOOKUP($A143,'Data Vlaue (Cr)'!$C:$FB,43)</f>
        <v>343</v>
      </c>
      <c r="H143" s="49">
        <f>VLOOKUP($A143,'Data Vlaue (Cr)'!$C:$FB,44)</f>
        <v>150</v>
      </c>
      <c r="I143" s="49">
        <f>VLOOKUP($A143,'Data Vlaue (Cr)'!$C:$FB,46)*100</f>
        <v>129.21</v>
      </c>
      <c r="J143" s="51">
        <f>VLOOKUP($A143,'Data Vlaue (Cr)'!$C:$FB,59)</f>
        <v>528</v>
      </c>
      <c r="K143" s="51">
        <f>VLOOKUP($A143,'Data Vlaue (Cr)'!$C:$FB,60)</f>
        <v>321</v>
      </c>
      <c r="L143" s="51">
        <f>VLOOKUP($A143,'Data Vlaue (Cr)'!$C:$FB,62)*100</f>
        <v>64.459999999999994</v>
      </c>
      <c r="M143" s="51">
        <f>VLOOKUP($A143,'Data Vlaue (Cr)'!$C:$FB,63)</f>
        <v>229</v>
      </c>
      <c r="N143" s="51">
        <f>VLOOKUP($A143,'Data Vlaue (Cr)'!$C:$FB,64)</f>
        <v>96</v>
      </c>
      <c r="O143" s="51">
        <f>VLOOKUP($A143,'Data Vlaue (Cr)'!$C:$FB,66)*100</f>
        <v>137.98999999999998</v>
      </c>
    </row>
    <row r="144" spans="1:15" x14ac:dyDescent="0.25">
      <c r="A144" s="101" t="str">
        <f>'Data Vlaue (Cr)'!C139</f>
        <v>NESTLEIND</v>
      </c>
      <c r="B144" s="50">
        <f>VLOOKUP($A144,'Data Vlaue (Cr)'!$C:$FB,8)</f>
        <v>1314.8</v>
      </c>
      <c r="C144" s="50">
        <f>VLOOKUP($A144,'Data Vlaue (Cr)'!$C:$FB,11)*100</f>
        <v>-0.38999999999999996</v>
      </c>
      <c r="D144" s="50">
        <f>VLOOKUP($A144,'Data Vlaue (Cr)'!$C:$FB,143)</f>
        <v>958.65</v>
      </c>
      <c r="E144" s="50">
        <f>VLOOKUP($A144,'Data Vlaue (Cr)'!$C:$FB,144)</f>
        <v>1217.94</v>
      </c>
      <c r="F144" s="50">
        <f>VLOOKUP($A144,'Data Vlaue (Cr)'!$C:$FB,146)*100</f>
        <v>-21.29</v>
      </c>
      <c r="G144" s="49">
        <f>VLOOKUP($A144,'Data Vlaue (Cr)'!$C:$FB,43)</f>
        <v>211</v>
      </c>
      <c r="H144" s="49">
        <f>VLOOKUP($A144,'Data Vlaue (Cr)'!$C:$FB,44)</f>
        <v>280</v>
      </c>
      <c r="I144" s="49">
        <f>VLOOKUP($A144,'Data Vlaue (Cr)'!$C:$FB,46)*100</f>
        <v>-24.55</v>
      </c>
      <c r="J144" s="51">
        <f>VLOOKUP($A144,'Data Vlaue (Cr)'!$C:$FB,59)</f>
        <v>484</v>
      </c>
      <c r="K144" s="51">
        <f>VLOOKUP($A144,'Data Vlaue (Cr)'!$C:$FB,60)</f>
        <v>636</v>
      </c>
      <c r="L144" s="51">
        <f>VLOOKUP($A144,'Data Vlaue (Cr)'!$C:$FB,62)*100</f>
        <v>-23.9</v>
      </c>
      <c r="M144" s="51">
        <f>VLOOKUP($A144,'Data Vlaue (Cr)'!$C:$FB,63)</f>
        <v>251</v>
      </c>
      <c r="N144" s="51">
        <f>VLOOKUP($A144,'Data Vlaue (Cr)'!$C:$FB,64)</f>
        <v>289</v>
      </c>
      <c r="O144" s="51">
        <f>VLOOKUP($A144,'Data Vlaue (Cr)'!$C:$FB,66)*100</f>
        <v>-13.320000000000002</v>
      </c>
    </row>
    <row r="145" spans="1:15" x14ac:dyDescent="0.25">
      <c r="A145" s="101" t="str">
        <f>'Data Vlaue (Cr)'!C140</f>
        <v>NHPC</v>
      </c>
      <c r="B145" s="50">
        <f>VLOOKUP($A145,'Data Vlaue (Cr)'!$C:$FB,8)</f>
        <v>83.66</v>
      </c>
      <c r="C145" s="50">
        <f>VLOOKUP($A145,'Data Vlaue (Cr)'!$C:$FB,11)*100</f>
        <v>0.16</v>
      </c>
      <c r="D145" s="50">
        <f>VLOOKUP($A145,'Data Vlaue (Cr)'!$C:$FB,143)</f>
        <v>418.3</v>
      </c>
      <c r="E145" s="50">
        <f>VLOOKUP($A145,'Data Vlaue (Cr)'!$C:$FB,144)</f>
        <v>324.24</v>
      </c>
      <c r="F145" s="50">
        <f>VLOOKUP($A145,'Data Vlaue (Cr)'!$C:$FB,146)*100</f>
        <v>29.01</v>
      </c>
      <c r="G145" s="49">
        <f>VLOOKUP($A145,'Data Vlaue (Cr)'!$C:$FB,43)</f>
        <v>118</v>
      </c>
      <c r="H145" s="49">
        <f>VLOOKUP($A145,'Data Vlaue (Cr)'!$C:$FB,44)</f>
        <v>75</v>
      </c>
      <c r="I145" s="49">
        <f>VLOOKUP($A145,'Data Vlaue (Cr)'!$C:$FB,46)*100</f>
        <v>55.889999999999993</v>
      </c>
      <c r="J145" s="51">
        <f>VLOOKUP($A145,'Data Vlaue (Cr)'!$C:$FB,59)</f>
        <v>210</v>
      </c>
      <c r="K145" s="51">
        <f>VLOOKUP($A145,'Data Vlaue (Cr)'!$C:$FB,60)</f>
        <v>170</v>
      </c>
      <c r="L145" s="51">
        <f>VLOOKUP($A145,'Data Vlaue (Cr)'!$C:$FB,62)*100</f>
        <v>23.14</v>
      </c>
      <c r="M145" s="51">
        <f>VLOOKUP($A145,'Data Vlaue (Cr)'!$C:$FB,63)</f>
        <v>83</v>
      </c>
      <c r="N145" s="51">
        <f>VLOOKUP($A145,'Data Vlaue (Cr)'!$C:$FB,64)</f>
        <v>70</v>
      </c>
      <c r="O145" s="51">
        <f>VLOOKUP($A145,'Data Vlaue (Cr)'!$C:$FB,66)*100</f>
        <v>18.670000000000002</v>
      </c>
    </row>
    <row r="146" spans="1:15" x14ac:dyDescent="0.25">
      <c r="A146" s="101" t="str">
        <f>'Data Vlaue (Cr)'!C141</f>
        <v>NIFTY</v>
      </c>
      <c r="B146" s="50">
        <f>VLOOKUP($A146,'Data Vlaue (Cr)'!$C:$FB,8)</f>
        <v>26140.75</v>
      </c>
      <c r="C146" s="50">
        <f>VLOOKUP($A146,'Data Vlaue (Cr)'!$C:$FB,11)*100</f>
        <v>-0.13999999999999999</v>
      </c>
      <c r="D146" s="50">
        <f>VLOOKUP($A146,'Data Vlaue (Cr)'!$C:$FB,143)</f>
        <v>11472243.18</v>
      </c>
      <c r="E146" s="50">
        <f>VLOOKUP($A146,'Data Vlaue (Cr)'!$C:$FB,144)</f>
        <v>57286749.770000003</v>
      </c>
      <c r="F146" s="50">
        <f>VLOOKUP($A146,'Data Vlaue (Cr)'!$C:$FB,146)*100</f>
        <v>-79.97</v>
      </c>
      <c r="G146" s="49">
        <f>VLOOKUP($A146,'Data Vlaue (Cr)'!$C:$FB,43)</f>
        <v>10428</v>
      </c>
      <c r="H146" s="49">
        <f>VLOOKUP($A146,'Data Vlaue (Cr)'!$C:$FB,44)</f>
        <v>12240</v>
      </c>
      <c r="I146" s="49">
        <f>VLOOKUP($A146,'Data Vlaue (Cr)'!$C:$FB,46)*100</f>
        <v>-14.81</v>
      </c>
      <c r="J146" s="51">
        <f>VLOOKUP($A146,'Data Vlaue (Cr)'!$C:$FB,59)</f>
        <v>5793675</v>
      </c>
      <c r="K146" s="51">
        <f>VLOOKUP($A146,'Data Vlaue (Cr)'!$C:$FB,60)</f>
        <v>27784195</v>
      </c>
      <c r="L146" s="51">
        <f>VLOOKUP($A146,'Data Vlaue (Cr)'!$C:$FB,62)*100</f>
        <v>-79.149999999999991</v>
      </c>
      <c r="M146" s="51">
        <f>VLOOKUP($A146,'Data Vlaue (Cr)'!$C:$FB,63)</f>
        <v>5666426</v>
      </c>
      <c r="N146" s="51">
        <f>VLOOKUP($A146,'Data Vlaue (Cr)'!$C:$FB,64)</f>
        <v>29532799</v>
      </c>
      <c r="O146" s="51">
        <f>VLOOKUP($A146,'Data Vlaue (Cr)'!$C:$FB,66)*100</f>
        <v>-80.81</v>
      </c>
    </row>
    <row r="147" spans="1:15" x14ac:dyDescent="0.25">
      <c r="A147" s="101" t="str">
        <f>'Data Vlaue (Cr)'!C142</f>
        <v>NIFTYNXT50</v>
      </c>
      <c r="B147" s="50">
        <f>VLOOKUP($A147,'Data Vlaue (Cr)'!$C:$FB,8)</f>
        <v>70690.600000000006</v>
      </c>
      <c r="C147" s="50">
        <f>VLOOKUP($A147,'Data Vlaue (Cr)'!$C:$FB,11)*100</f>
        <v>0.13</v>
      </c>
      <c r="D147" s="50">
        <f>VLOOKUP($A147,'Data Vlaue (Cr)'!$C:$FB,143)</f>
        <v>112.39</v>
      </c>
      <c r="E147" s="50">
        <f>VLOOKUP($A147,'Data Vlaue (Cr)'!$C:$FB,144)</f>
        <v>120.84</v>
      </c>
      <c r="F147" s="50">
        <f>VLOOKUP($A147,'Data Vlaue (Cr)'!$C:$FB,146)*100</f>
        <v>-6.99</v>
      </c>
      <c r="G147" s="49">
        <f>VLOOKUP($A147,'Data Vlaue (Cr)'!$C:$FB,43)</f>
        <v>37</v>
      </c>
      <c r="H147" s="49">
        <f>VLOOKUP($A147,'Data Vlaue (Cr)'!$C:$FB,44)</f>
        <v>43</v>
      </c>
      <c r="I147" s="49">
        <f>VLOOKUP($A147,'Data Vlaue (Cr)'!$C:$FB,46)*100</f>
        <v>-14.46</v>
      </c>
      <c r="J147" s="51">
        <f>VLOOKUP($A147,'Data Vlaue (Cr)'!$C:$FB,59)</f>
        <v>35</v>
      </c>
      <c r="K147" s="51">
        <f>VLOOKUP($A147,'Data Vlaue (Cr)'!$C:$FB,60)</f>
        <v>54</v>
      </c>
      <c r="L147" s="51">
        <f>VLOOKUP($A147,'Data Vlaue (Cr)'!$C:$FB,62)*100</f>
        <v>-34.979999999999997</v>
      </c>
      <c r="M147" s="51">
        <f>VLOOKUP($A147,'Data Vlaue (Cr)'!$C:$FB,63)</f>
        <v>41</v>
      </c>
      <c r="N147" s="51">
        <f>VLOOKUP($A147,'Data Vlaue (Cr)'!$C:$FB,64)</f>
        <v>24</v>
      </c>
      <c r="O147" s="51">
        <f>VLOOKUP($A147,'Data Vlaue (Cr)'!$C:$FB,66)*100</f>
        <v>68.38</v>
      </c>
    </row>
    <row r="148" spans="1:15" x14ac:dyDescent="0.25">
      <c r="A148" s="101" t="str">
        <f>'Data Vlaue (Cr)'!C143</f>
        <v>NMDC</v>
      </c>
      <c r="B148" s="50">
        <f>VLOOKUP($A148,'Data Vlaue (Cr)'!$C:$FB,8)</f>
        <v>86.16</v>
      </c>
      <c r="C148" s="50">
        <f>VLOOKUP($A148,'Data Vlaue (Cr)'!$C:$FB,11)*100</f>
        <v>2.73</v>
      </c>
      <c r="D148" s="50">
        <f>VLOOKUP($A148,'Data Vlaue (Cr)'!$C:$FB,143)</f>
        <v>3556.9</v>
      </c>
      <c r="E148" s="50">
        <f>VLOOKUP($A148,'Data Vlaue (Cr)'!$C:$FB,144)</f>
        <v>1173.45</v>
      </c>
      <c r="F148" s="50">
        <f>VLOOKUP($A148,'Data Vlaue (Cr)'!$C:$FB,146)*100</f>
        <v>203.12</v>
      </c>
      <c r="G148" s="49">
        <f>VLOOKUP($A148,'Data Vlaue (Cr)'!$C:$FB,43)</f>
        <v>675</v>
      </c>
      <c r="H148" s="49">
        <f>VLOOKUP($A148,'Data Vlaue (Cr)'!$C:$FB,44)</f>
        <v>264</v>
      </c>
      <c r="I148" s="49">
        <f>VLOOKUP($A148,'Data Vlaue (Cr)'!$C:$FB,46)*100</f>
        <v>155.69999999999999</v>
      </c>
      <c r="J148" s="51">
        <f>VLOOKUP($A148,'Data Vlaue (Cr)'!$C:$FB,59)</f>
        <v>2190</v>
      </c>
      <c r="K148" s="51">
        <f>VLOOKUP($A148,'Data Vlaue (Cr)'!$C:$FB,60)</f>
        <v>683</v>
      </c>
      <c r="L148" s="51">
        <f>VLOOKUP($A148,'Data Vlaue (Cr)'!$C:$FB,62)*100</f>
        <v>220.82999999999998</v>
      </c>
      <c r="M148" s="51">
        <f>VLOOKUP($A148,'Data Vlaue (Cr)'!$C:$FB,63)</f>
        <v>639</v>
      </c>
      <c r="N148" s="51">
        <f>VLOOKUP($A148,'Data Vlaue (Cr)'!$C:$FB,64)</f>
        <v>235</v>
      </c>
      <c r="O148" s="51">
        <f>VLOOKUP($A148,'Data Vlaue (Cr)'!$C:$FB,66)*100</f>
        <v>171.66</v>
      </c>
    </row>
    <row r="149" spans="1:15" x14ac:dyDescent="0.25">
      <c r="A149" s="101" t="str">
        <f>'Data Vlaue (Cr)'!C144</f>
        <v>NTPC</v>
      </c>
      <c r="B149" s="50">
        <f>VLOOKUP($A149,'Data Vlaue (Cr)'!$C:$FB,8)</f>
        <v>348.85</v>
      </c>
      <c r="C149" s="50">
        <f>VLOOKUP($A149,'Data Vlaue (Cr)'!$C:$FB,11)*100</f>
        <v>-0.55999999999999994</v>
      </c>
      <c r="D149" s="50">
        <f>VLOOKUP($A149,'Data Vlaue (Cr)'!$C:$FB,143)</f>
        <v>1564.13</v>
      </c>
      <c r="E149" s="50">
        <f>VLOOKUP($A149,'Data Vlaue (Cr)'!$C:$FB,144)</f>
        <v>2387.84</v>
      </c>
      <c r="F149" s="50">
        <f>VLOOKUP($A149,'Data Vlaue (Cr)'!$C:$FB,146)*100</f>
        <v>-34.5</v>
      </c>
      <c r="G149" s="49">
        <f>VLOOKUP($A149,'Data Vlaue (Cr)'!$C:$FB,43)</f>
        <v>211</v>
      </c>
      <c r="H149" s="49">
        <f>VLOOKUP($A149,'Data Vlaue (Cr)'!$C:$FB,44)</f>
        <v>330</v>
      </c>
      <c r="I149" s="49">
        <f>VLOOKUP($A149,'Data Vlaue (Cr)'!$C:$FB,46)*100</f>
        <v>-36.11</v>
      </c>
      <c r="J149" s="51">
        <f>VLOOKUP($A149,'Data Vlaue (Cr)'!$C:$FB,59)</f>
        <v>909</v>
      </c>
      <c r="K149" s="51">
        <f>VLOOKUP($A149,'Data Vlaue (Cr)'!$C:$FB,60)</f>
        <v>1348</v>
      </c>
      <c r="L149" s="51">
        <f>VLOOKUP($A149,'Data Vlaue (Cr)'!$C:$FB,62)*100</f>
        <v>-32.550000000000004</v>
      </c>
      <c r="M149" s="51">
        <f>VLOOKUP($A149,'Data Vlaue (Cr)'!$C:$FB,63)</f>
        <v>421</v>
      </c>
      <c r="N149" s="51">
        <f>VLOOKUP($A149,'Data Vlaue (Cr)'!$C:$FB,64)</f>
        <v>666</v>
      </c>
      <c r="O149" s="51">
        <f>VLOOKUP($A149,'Data Vlaue (Cr)'!$C:$FB,66)*100</f>
        <v>-36.75</v>
      </c>
    </row>
    <row r="150" spans="1:15" x14ac:dyDescent="0.25">
      <c r="A150" s="101" t="str">
        <f>'Data Vlaue (Cr)'!C145</f>
        <v>NUVAMA</v>
      </c>
      <c r="B150" s="50">
        <f>VLOOKUP($A150,'Data Vlaue (Cr)'!$C:$FB,8)</f>
        <v>1478.9</v>
      </c>
      <c r="C150" s="50">
        <f>VLOOKUP($A150,'Data Vlaue (Cr)'!$C:$FB,11)*100</f>
        <v>0.03</v>
      </c>
      <c r="D150" s="50">
        <f>VLOOKUP($A150,'Data Vlaue (Cr)'!$C:$FB,143)</f>
        <v>159.18</v>
      </c>
      <c r="E150" s="50">
        <f>VLOOKUP($A150,'Data Vlaue (Cr)'!$C:$FB,144)</f>
        <v>168.4</v>
      </c>
      <c r="F150" s="50">
        <f>VLOOKUP($A150,'Data Vlaue (Cr)'!$C:$FB,146)*100</f>
        <v>-5.48</v>
      </c>
      <c r="G150" s="49">
        <f>VLOOKUP($A150,'Data Vlaue (Cr)'!$C:$FB,43)</f>
        <v>46</v>
      </c>
      <c r="H150" s="49">
        <f>VLOOKUP($A150,'Data Vlaue (Cr)'!$C:$FB,44)</f>
        <v>50</v>
      </c>
      <c r="I150" s="49">
        <f>VLOOKUP($A150,'Data Vlaue (Cr)'!$C:$FB,46)*100</f>
        <v>-7.84</v>
      </c>
      <c r="J150" s="51">
        <f>VLOOKUP($A150,'Data Vlaue (Cr)'!$C:$FB,59)</f>
        <v>91</v>
      </c>
      <c r="K150" s="51">
        <f>VLOOKUP($A150,'Data Vlaue (Cr)'!$C:$FB,60)</f>
        <v>87</v>
      </c>
      <c r="L150" s="51">
        <f>VLOOKUP($A150,'Data Vlaue (Cr)'!$C:$FB,62)*100</f>
        <v>5.58</v>
      </c>
      <c r="M150" s="51">
        <f>VLOOKUP($A150,'Data Vlaue (Cr)'!$C:$FB,63)</f>
        <v>17</v>
      </c>
      <c r="N150" s="51">
        <f>VLOOKUP($A150,'Data Vlaue (Cr)'!$C:$FB,64)</f>
        <v>28</v>
      </c>
      <c r="O150" s="51">
        <f>VLOOKUP($A150,'Data Vlaue (Cr)'!$C:$FB,66)*100</f>
        <v>-39.729999999999997</v>
      </c>
    </row>
    <row r="151" spans="1:15" x14ac:dyDescent="0.25">
      <c r="A151" s="101" t="str">
        <f>'Data Vlaue (Cr)'!C146</f>
        <v>NYKAA</v>
      </c>
      <c r="B151" s="50">
        <f>VLOOKUP($A151,'Data Vlaue (Cr)'!$C:$FB,8)</f>
        <v>266.35000000000002</v>
      </c>
      <c r="C151" s="50">
        <f>VLOOKUP($A151,'Data Vlaue (Cr)'!$C:$FB,11)*100</f>
        <v>-1</v>
      </c>
      <c r="D151" s="50">
        <f>VLOOKUP($A151,'Data Vlaue (Cr)'!$C:$FB,143)</f>
        <v>665.09</v>
      </c>
      <c r="E151" s="50">
        <f>VLOOKUP($A151,'Data Vlaue (Cr)'!$C:$FB,144)</f>
        <v>389.76</v>
      </c>
      <c r="F151" s="50">
        <f>VLOOKUP($A151,'Data Vlaue (Cr)'!$C:$FB,146)*100</f>
        <v>70.64</v>
      </c>
      <c r="G151" s="49">
        <f>VLOOKUP($A151,'Data Vlaue (Cr)'!$C:$FB,43)</f>
        <v>190</v>
      </c>
      <c r="H151" s="49">
        <f>VLOOKUP($A151,'Data Vlaue (Cr)'!$C:$FB,44)</f>
        <v>108</v>
      </c>
      <c r="I151" s="49">
        <f>VLOOKUP($A151,'Data Vlaue (Cr)'!$C:$FB,46)*100</f>
        <v>75.7</v>
      </c>
      <c r="J151" s="51">
        <f>VLOOKUP($A151,'Data Vlaue (Cr)'!$C:$FB,59)</f>
        <v>323</v>
      </c>
      <c r="K151" s="51">
        <f>VLOOKUP($A151,'Data Vlaue (Cr)'!$C:$FB,60)</f>
        <v>166</v>
      </c>
      <c r="L151" s="51">
        <f>VLOOKUP($A151,'Data Vlaue (Cr)'!$C:$FB,62)*100</f>
        <v>94.07</v>
      </c>
      <c r="M151" s="51">
        <f>VLOOKUP($A151,'Data Vlaue (Cr)'!$C:$FB,63)</f>
        <v>139</v>
      </c>
      <c r="N151" s="51">
        <f>VLOOKUP($A151,'Data Vlaue (Cr)'!$C:$FB,64)</f>
        <v>108</v>
      </c>
      <c r="O151" s="51">
        <f>VLOOKUP($A151,'Data Vlaue (Cr)'!$C:$FB,66)*100</f>
        <v>28.16</v>
      </c>
    </row>
    <row r="152" spans="1:15" x14ac:dyDescent="0.25">
      <c r="A152" s="101" t="str">
        <f>'Data Vlaue (Cr)'!C147</f>
        <v>OBEROIRLTY</v>
      </c>
      <c r="B152" s="50">
        <f>VLOOKUP($A152,'Data Vlaue (Cr)'!$C:$FB,8)</f>
        <v>1708.7</v>
      </c>
      <c r="C152" s="50">
        <f>VLOOKUP($A152,'Data Vlaue (Cr)'!$C:$FB,11)*100</f>
        <v>-1.02</v>
      </c>
      <c r="D152" s="50">
        <f>VLOOKUP($A152,'Data Vlaue (Cr)'!$C:$FB,143)</f>
        <v>293.77</v>
      </c>
      <c r="E152" s="50">
        <f>VLOOKUP($A152,'Data Vlaue (Cr)'!$C:$FB,144)</f>
        <v>268.85000000000002</v>
      </c>
      <c r="F152" s="50">
        <f>VLOOKUP($A152,'Data Vlaue (Cr)'!$C:$FB,146)*100</f>
        <v>9.27</v>
      </c>
      <c r="G152" s="49">
        <f>VLOOKUP($A152,'Data Vlaue (Cr)'!$C:$FB,43)</f>
        <v>109</v>
      </c>
      <c r="H152" s="49">
        <f>VLOOKUP($A152,'Data Vlaue (Cr)'!$C:$FB,44)</f>
        <v>91</v>
      </c>
      <c r="I152" s="49">
        <f>VLOOKUP($A152,'Data Vlaue (Cr)'!$C:$FB,46)*100</f>
        <v>19.850000000000001</v>
      </c>
      <c r="J152" s="51">
        <f>VLOOKUP($A152,'Data Vlaue (Cr)'!$C:$FB,59)</f>
        <v>129</v>
      </c>
      <c r="K152" s="51">
        <f>VLOOKUP($A152,'Data Vlaue (Cr)'!$C:$FB,60)</f>
        <v>129</v>
      </c>
      <c r="L152" s="51">
        <f>VLOOKUP($A152,'Data Vlaue (Cr)'!$C:$FB,62)*100</f>
        <v>0.37</v>
      </c>
      <c r="M152" s="51">
        <f>VLOOKUP($A152,'Data Vlaue (Cr)'!$C:$FB,63)</f>
        <v>50</v>
      </c>
      <c r="N152" s="51">
        <f>VLOOKUP($A152,'Data Vlaue (Cr)'!$C:$FB,64)</f>
        <v>42</v>
      </c>
      <c r="O152" s="51">
        <f>VLOOKUP($A152,'Data Vlaue (Cr)'!$C:$FB,66)*100</f>
        <v>18.509999999999998</v>
      </c>
    </row>
    <row r="153" spans="1:15" x14ac:dyDescent="0.25">
      <c r="A153" s="101" t="str">
        <f>'Data Vlaue (Cr)'!C148</f>
        <v>OFSS</v>
      </c>
      <c r="B153" s="50">
        <f>VLOOKUP($A153,'Data Vlaue (Cr)'!$C:$FB,8)</f>
        <v>7832.5</v>
      </c>
      <c r="C153" s="50">
        <f>VLOOKUP($A153,'Data Vlaue (Cr)'!$C:$FB,11)*100</f>
        <v>3.15</v>
      </c>
      <c r="D153" s="50">
        <f>VLOOKUP($A153,'Data Vlaue (Cr)'!$C:$FB,143)</f>
        <v>2143.27</v>
      </c>
      <c r="E153" s="50">
        <f>VLOOKUP($A153,'Data Vlaue (Cr)'!$C:$FB,144)</f>
        <v>685.25</v>
      </c>
      <c r="F153" s="50">
        <f>VLOOKUP($A153,'Data Vlaue (Cr)'!$C:$FB,146)*100</f>
        <v>212.76999999999998</v>
      </c>
      <c r="G153" s="49">
        <f>VLOOKUP($A153,'Data Vlaue (Cr)'!$C:$FB,43)</f>
        <v>247</v>
      </c>
      <c r="H153" s="49">
        <f>VLOOKUP($A153,'Data Vlaue (Cr)'!$C:$FB,44)</f>
        <v>152</v>
      </c>
      <c r="I153" s="49">
        <f>VLOOKUP($A153,'Data Vlaue (Cr)'!$C:$FB,46)*100</f>
        <v>62.4</v>
      </c>
      <c r="J153" s="51">
        <f>VLOOKUP($A153,'Data Vlaue (Cr)'!$C:$FB,59)</f>
        <v>1486</v>
      </c>
      <c r="K153" s="51">
        <f>VLOOKUP($A153,'Data Vlaue (Cr)'!$C:$FB,60)</f>
        <v>359</v>
      </c>
      <c r="L153" s="51">
        <f>VLOOKUP($A153,'Data Vlaue (Cr)'!$C:$FB,62)*100</f>
        <v>313.82</v>
      </c>
      <c r="M153" s="51">
        <f>VLOOKUP($A153,'Data Vlaue (Cr)'!$C:$FB,63)</f>
        <v>366</v>
      </c>
      <c r="N153" s="51">
        <f>VLOOKUP($A153,'Data Vlaue (Cr)'!$C:$FB,64)</f>
        <v>183</v>
      </c>
      <c r="O153" s="51">
        <f>VLOOKUP($A153,'Data Vlaue (Cr)'!$C:$FB,66)*100</f>
        <v>99.61</v>
      </c>
    </row>
    <row r="154" spans="1:15" x14ac:dyDescent="0.25">
      <c r="A154" s="101" t="str">
        <f>'Data Vlaue (Cr)'!C149</f>
        <v>OIL</v>
      </c>
      <c r="B154" s="50">
        <f>VLOOKUP($A154,'Data Vlaue (Cr)'!$C:$FB,8)</f>
        <v>418.4</v>
      </c>
      <c r="C154" s="50">
        <f>VLOOKUP($A154,'Data Vlaue (Cr)'!$C:$FB,11)*100</f>
        <v>-1.68</v>
      </c>
      <c r="D154" s="50">
        <f>VLOOKUP($A154,'Data Vlaue (Cr)'!$C:$FB,143)</f>
        <v>800.06</v>
      </c>
      <c r="E154" s="50">
        <f>VLOOKUP($A154,'Data Vlaue (Cr)'!$C:$FB,144)</f>
        <v>475.95</v>
      </c>
      <c r="F154" s="50">
        <f>VLOOKUP($A154,'Data Vlaue (Cr)'!$C:$FB,146)*100</f>
        <v>68.100000000000009</v>
      </c>
      <c r="G154" s="49">
        <f>VLOOKUP($A154,'Data Vlaue (Cr)'!$C:$FB,43)</f>
        <v>100</v>
      </c>
      <c r="H154" s="49">
        <f>VLOOKUP($A154,'Data Vlaue (Cr)'!$C:$FB,44)</f>
        <v>111</v>
      </c>
      <c r="I154" s="49">
        <f>VLOOKUP($A154,'Data Vlaue (Cr)'!$C:$FB,46)*100</f>
        <v>-10.38</v>
      </c>
      <c r="J154" s="51">
        <f>VLOOKUP($A154,'Data Vlaue (Cr)'!$C:$FB,59)</f>
        <v>306</v>
      </c>
      <c r="K154" s="51">
        <f>VLOOKUP($A154,'Data Vlaue (Cr)'!$C:$FB,60)</f>
        <v>246</v>
      </c>
      <c r="L154" s="51">
        <f>VLOOKUP($A154,'Data Vlaue (Cr)'!$C:$FB,62)*100</f>
        <v>24.29</v>
      </c>
      <c r="M154" s="51">
        <f>VLOOKUP($A154,'Data Vlaue (Cr)'!$C:$FB,63)</f>
        <v>385</v>
      </c>
      <c r="N154" s="51">
        <f>VLOOKUP($A154,'Data Vlaue (Cr)'!$C:$FB,64)</f>
        <v>100</v>
      </c>
      <c r="O154" s="51">
        <f>VLOOKUP($A154,'Data Vlaue (Cr)'!$C:$FB,66)*100</f>
        <v>286.02</v>
      </c>
    </row>
    <row r="155" spans="1:15" x14ac:dyDescent="0.25">
      <c r="A155" s="101" t="str">
        <f>'Data Vlaue (Cr)'!C150</f>
        <v>ONGC</v>
      </c>
      <c r="B155" s="50">
        <f>VLOOKUP($A155,'Data Vlaue (Cr)'!$C:$FB,8)</f>
        <v>239.06</v>
      </c>
      <c r="C155" s="50">
        <f>VLOOKUP($A155,'Data Vlaue (Cr)'!$C:$FB,11)*100</f>
        <v>-1.17</v>
      </c>
      <c r="D155" s="50">
        <f>VLOOKUP($A155,'Data Vlaue (Cr)'!$C:$FB,143)</f>
        <v>2246.92</v>
      </c>
      <c r="E155" s="50">
        <f>VLOOKUP($A155,'Data Vlaue (Cr)'!$C:$FB,144)</f>
        <v>3514.3</v>
      </c>
      <c r="F155" s="50">
        <f>VLOOKUP($A155,'Data Vlaue (Cr)'!$C:$FB,146)*100</f>
        <v>-36.059999999999995</v>
      </c>
      <c r="G155" s="49">
        <f>VLOOKUP($A155,'Data Vlaue (Cr)'!$C:$FB,43)</f>
        <v>263</v>
      </c>
      <c r="H155" s="49">
        <f>VLOOKUP($A155,'Data Vlaue (Cr)'!$C:$FB,44)</f>
        <v>428</v>
      </c>
      <c r="I155" s="49">
        <f>VLOOKUP($A155,'Data Vlaue (Cr)'!$C:$FB,46)*100</f>
        <v>-38.440000000000005</v>
      </c>
      <c r="J155" s="51">
        <f>VLOOKUP($A155,'Data Vlaue (Cr)'!$C:$FB,59)</f>
        <v>1079</v>
      </c>
      <c r="K155" s="51">
        <f>VLOOKUP($A155,'Data Vlaue (Cr)'!$C:$FB,60)</f>
        <v>2022</v>
      </c>
      <c r="L155" s="51">
        <f>VLOOKUP($A155,'Data Vlaue (Cr)'!$C:$FB,62)*100</f>
        <v>-46.660000000000004</v>
      </c>
      <c r="M155" s="51">
        <f>VLOOKUP($A155,'Data Vlaue (Cr)'!$C:$FB,63)</f>
        <v>867</v>
      </c>
      <c r="N155" s="51">
        <f>VLOOKUP($A155,'Data Vlaue (Cr)'!$C:$FB,64)</f>
        <v>991</v>
      </c>
      <c r="O155" s="51">
        <f>VLOOKUP($A155,'Data Vlaue (Cr)'!$C:$FB,66)*100</f>
        <v>-12.559999999999999</v>
      </c>
    </row>
    <row r="156" spans="1:15" x14ac:dyDescent="0.25">
      <c r="A156" s="101" t="str">
        <f>'Data Vlaue (Cr)'!C151</f>
        <v>PAGEIND</v>
      </c>
      <c r="B156" s="50">
        <f>VLOOKUP($A156,'Data Vlaue (Cr)'!$C:$FB,8)</f>
        <v>35380</v>
      </c>
      <c r="C156" s="50">
        <f>VLOOKUP($A156,'Data Vlaue (Cr)'!$C:$FB,11)*100</f>
        <v>0.06</v>
      </c>
      <c r="D156" s="50">
        <f>VLOOKUP($A156,'Data Vlaue (Cr)'!$C:$FB,143)</f>
        <v>554.14</v>
      </c>
      <c r="E156" s="50">
        <f>VLOOKUP($A156,'Data Vlaue (Cr)'!$C:$FB,144)</f>
        <v>691.77</v>
      </c>
      <c r="F156" s="50">
        <f>VLOOKUP($A156,'Data Vlaue (Cr)'!$C:$FB,146)*100</f>
        <v>-19.900000000000002</v>
      </c>
      <c r="G156" s="49">
        <f>VLOOKUP($A156,'Data Vlaue (Cr)'!$C:$FB,43)</f>
        <v>71</v>
      </c>
      <c r="H156" s="49">
        <f>VLOOKUP($A156,'Data Vlaue (Cr)'!$C:$FB,44)</f>
        <v>141</v>
      </c>
      <c r="I156" s="49">
        <f>VLOOKUP($A156,'Data Vlaue (Cr)'!$C:$FB,46)*100</f>
        <v>-49.91</v>
      </c>
      <c r="J156" s="51">
        <f>VLOOKUP($A156,'Data Vlaue (Cr)'!$C:$FB,59)</f>
        <v>376</v>
      </c>
      <c r="K156" s="51">
        <f>VLOOKUP($A156,'Data Vlaue (Cr)'!$C:$FB,60)</f>
        <v>376</v>
      </c>
      <c r="L156" s="51">
        <f>VLOOKUP($A156,'Data Vlaue (Cr)'!$C:$FB,62)*100</f>
        <v>0.22999999999999998</v>
      </c>
      <c r="M156" s="51">
        <f>VLOOKUP($A156,'Data Vlaue (Cr)'!$C:$FB,63)</f>
        <v>81</v>
      </c>
      <c r="N156" s="51">
        <f>VLOOKUP($A156,'Data Vlaue (Cr)'!$C:$FB,64)</f>
        <v>159</v>
      </c>
      <c r="O156" s="51">
        <f>VLOOKUP($A156,'Data Vlaue (Cr)'!$C:$FB,66)*100</f>
        <v>-48.99</v>
      </c>
    </row>
    <row r="157" spans="1:15" x14ac:dyDescent="0.25">
      <c r="A157" s="101" t="str">
        <f>'Data Vlaue (Cr)'!C152</f>
        <v>PATANJALI</v>
      </c>
      <c r="B157" s="50">
        <f>VLOOKUP($A157,'Data Vlaue (Cr)'!$C:$FB,8)</f>
        <v>576.45000000000005</v>
      </c>
      <c r="C157" s="50">
        <f>VLOOKUP($A157,'Data Vlaue (Cr)'!$C:$FB,11)*100</f>
        <v>0.33999999999999997</v>
      </c>
      <c r="D157" s="50">
        <f>VLOOKUP($A157,'Data Vlaue (Cr)'!$C:$FB,143)</f>
        <v>732.88</v>
      </c>
      <c r="E157" s="50">
        <f>VLOOKUP($A157,'Data Vlaue (Cr)'!$C:$FB,144)</f>
        <v>917.08</v>
      </c>
      <c r="F157" s="50">
        <f>VLOOKUP($A157,'Data Vlaue (Cr)'!$C:$FB,146)*100</f>
        <v>-20.09</v>
      </c>
      <c r="G157" s="49">
        <f>VLOOKUP($A157,'Data Vlaue (Cr)'!$C:$FB,43)</f>
        <v>271</v>
      </c>
      <c r="H157" s="49">
        <f>VLOOKUP($A157,'Data Vlaue (Cr)'!$C:$FB,44)</f>
        <v>437</v>
      </c>
      <c r="I157" s="49">
        <f>VLOOKUP($A157,'Data Vlaue (Cr)'!$C:$FB,46)*100</f>
        <v>-37.940000000000005</v>
      </c>
      <c r="J157" s="51">
        <f>VLOOKUP($A157,'Data Vlaue (Cr)'!$C:$FB,59)</f>
        <v>311</v>
      </c>
      <c r="K157" s="51">
        <f>VLOOKUP($A157,'Data Vlaue (Cr)'!$C:$FB,60)</f>
        <v>320</v>
      </c>
      <c r="L157" s="51">
        <f>VLOOKUP($A157,'Data Vlaue (Cr)'!$C:$FB,62)*100</f>
        <v>-2.98</v>
      </c>
      <c r="M157" s="51">
        <f>VLOOKUP($A157,'Data Vlaue (Cr)'!$C:$FB,63)</f>
        <v>136</v>
      </c>
      <c r="N157" s="51">
        <f>VLOOKUP($A157,'Data Vlaue (Cr)'!$C:$FB,64)</f>
        <v>150</v>
      </c>
      <c r="O157" s="51">
        <f>VLOOKUP($A157,'Data Vlaue (Cr)'!$C:$FB,66)*100</f>
        <v>-9</v>
      </c>
    </row>
    <row r="158" spans="1:15" x14ac:dyDescent="0.25">
      <c r="A158" s="101" t="str">
        <f>'Data Vlaue (Cr)'!C153</f>
        <v>PAYTM</v>
      </c>
      <c r="B158" s="50">
        <f>VLOOKUP($A158,'Data Vlaue (Cr)'!$C:$FB,8)</f>
        <v>1318.8</v>
      </c>
      <c r="C158" s="50">
        <f>VLOOKUP($A158,'Data Vlaue (Cr)'!$C:$FB,11)*100</f>
        <v>-1</v>
      </c>
      <c r="D158" s="50">
        <f>VLOOKUP($A158,'Data Vlaue (Cr)'!$C:$FB,143)</f>
        <v>1215.8699999999999</v>
      </c>
      <c r="E158" s="50">
        <f>VLOOKUP($A158,'Data Vlaue (Cr)'!$C:$FB,144)</f>
        <v>1078.1500000000001</v>
      </c>
      <c r="F158" s="50">
        <f>VLOOKUP($A158,'Data Vlaue (Cr)'!$C:$FB,146)*100</f>
        <v>12.770000000000001</v>
      </c>
      <c r="G158" s="49">
        <f>VLOOKUP($A158,'Data Vlaue (Cr)'!$C:$FB,43)</f>
        <v>252</v>
      </c>
      <c r="H158" s="49">
        <f>VLOOKUP($A158,'Data Vlaue (Cr)'!$C:$FB,44)</f>
        <v>270</v>
      </c>
      <c r="I158" s="49">
        <f>VLOOKUP($A158,'Data Vlaue (Cr)'!$C:$FB,46)*100</f>
        <v>-6.77</v>
      </c>
      <c r="J158" s="51">
        <f>VLOOKUP($A158,'Data Vlaue (Cr)'!$C:$FB,59)</f>
        <v>623</v>
      </c>
      <c r="K158" s="51">
        <f>VLOOKUP($A158,'Data Vlaue (Cr)'!$C:$FB,60)</f>
        <v>492</v>
      </c>
      <c r="L158" s="51">
        <f>VLOOKUP($A158,'Data Vlaue (Cr)'!$C:$FB,62)*100</f>
        <v>26.729999999999997</v>
      </c>
      <c r="M158" s="51">
        <f>VLOOKUP($A158,'Data Vlaue (Cr)'!$C:$FB,63)</f>
        <v>310</v>
      </c>
      <c r="N158" s="51">
        <f>VLOOKUP($A158,'Data Vlaue (Cr)'!$C:$FB,64)</f>
        <v>292</v>
      </c>
      <c r="O158" s="51">
        <f>VLOOKUP($A158,'Data Vlaue (Cr)'!$C:$FB,66)*100</f>
        <v>6.11</v>
      </c>
    </row>
    <row r="159" spans="1:15" x14ac:dyDescent="0.25">
      <c r="A159" s="101" t="str">
        <f>'Data Vlaue (Cr)'!C154</f>
        <v>PERSISTENT</v>
      </c>
      <c r="B159" s="50">
        <f>VLOOKUP($A159,'Data Vlaue (Cr)'!$C:$FB,8)</f>
        <v>6513.5</v>
      </c>
      <c r="C159" s="50">
        <f>VLOOKUP($A159,'Data Vlaue (Cr)'!$C:$FB,11)*100</f>
        <v>4.2299999999999995</v>
      </c>
      <c r="D159" s="50">
        <f>VLOOKUP($A159,'Data Vlaue (Cr)'!$C:$FB,143)</f>
        <v>4520.3900000000003</v>
      </c>
      <c r="E159" s="50">
        <f>VLOOKUP($A159,'Data Vlaue (Cr)'!$C:$FB,144)</f>
        <v>923.77</v>
      </c>
      <c r="F159" s="50">
        <f>VLOOKUP($A159,'Data Vlaue (Cr)'!$C:$FB,146)*100</f>
        <v>389.34000000000003</v>
      </c>
      <c r="G159" s="49">
        <f>VLOOKUP($A159,'Data Vlaue (Cr)'!$C:$FB,43)</f>
        <v>482</v>
      </c>
      <c r="H159" s="49">
        <f>VLOOKUP($A159,'Data Vlaue (Cr)'!$C:$FB,44)</f>
        <v>191</v>
      </c>
      <c r="I159" s="49">
        <f>VLOOKUP($A159,'Data Vlaue (Cr)'!$C:$FB,46)*100</f>
        <v>151.66999999999999</v>
      </c>
      <c r="J159" s="51">
        <f>VLOOKUP($A159,'Data Vlaue (Cr)'!$C:$FB,59)</f>
        <v>2943</v>
      </c>
      <c r="K159" s="51">
        <f>VLOOKUP($A159,'Data Vlaue (Cr)'!$C:$FB,60)</f>
        <v>560</v>
      </c>
      <c r="L159" s="51">
        <f>VLOOKUP($A159,'Data Vlaue (Cr)'!$C:$FB,62)*100</f>
        <v>425.65999999999997</v>
      </c>
      <c r="M159" s="51">
        <f>VLOOKUP($A159,'Data Vlaue (Cr)'!$C:$FB,63)</f>
        <v>1035</v>
      </c>
      <c r="N159" s="51">
        <f>VLOOKUP($A159,'Data Vlaue (Cr)'!$C:$FB,64)</f>
        <v>188</v>
      </c>
      <c r="O159" s="51">
        <f>VLOOKUP($A159,'Data Vlaue (Cr)'!$C:$FB,66)*100</f>
        <v>450.94000000000005</v>
      </c>
    </row>
    <row r="160" spans="1:15" x14ac:dyDescent="0.25">
      <c r="A160" s="101" t="str">
        <f>'Data Vlaue (Cr)'!C155</f>
        <v>PETRONET</v>
      </c>
      <c r="B160" s="50">
        <f>VLOOKUP($A160,'Data Vlaue (Cr)'!$C:$FB,8)</f>
        <v>294.35000000000002</v>
      </c>
      <c r="C160" s="50">
        <f>VLOOKUP($A160,'Data Vlaue (Cr)'!$C:$FB,11)*100</f>
        <v>-0.32</v>
      </c>
      <c r="D160" s="50">
        <f>VLOOKUP($A160,'Data Vlaue (Cr)'!$C:$FB,143)</f>
        <v>940.4</v>
      </c>
      <c r="E160" s="50">
        <f>VLOOKUP($A160,'Data Vlaue (Cr)'!$C:$FB,144)</f>
        <v>1435.6</v>
      </c>
      <c r="F160" s="50">
        <f>VLOOKUP($A160,'Data Vlaue (Cr)'!$C:$FB,146)*100</f>
        <v>-34.489999999999995</v>
      </c>
      <c r="G160" s="49">
        <f>VLOOKUP($A160,'Data Vlaue (Cr)'!$C:$FB,43)</f>
        <v>202</v>
      </c>
      <c r="H160" s="49">
        <f>VLOOKUP($A160,'Data Vlaue (Cr)'!$C:$FB,44)</f>
        <v>243</v>
      </c>
      <c r="I160" s="49">
        <f>VLOOKUP($A160,'Data Vlaue (Cr)'!$C:$FB,46)*100</f>
        <v>-17.100000000000001</v>
      </c>
      <c r="J160" s="51">
        <f>VLOOKUP($A160,'Data Vlaue (Cr)'!$C:$FB,59)</f>
        <v>547</v>
      </c>
      <c r="K160" s="51">
        <f>VLOOKUP($A160,'Data Vlaue (Cr)'!$C:$FB,60)</f>
        <v>928</v>
      </c>
      <c r="L160" s="51">
        <f>VLOOKUP($A160,'Data Vlaue (Cr)'!$C:$FB,62)*100</f>
        <v>-41.04</v>
      </c>
      <c r="M160" s="51">
        <f>VLOOKUP($A160,'Data Vlaue (Cr)'!$C:$FB,63)</f>
        <v>177</v>
      </c>
      <c r="N160" s="51">
        <f>VLOOKUP($A160,'Data Vlaue (Cr)'!$C:$FB,64)</f>
        <v>252</v>
      </c>
      <c r="O160" s="51">
        <f>VLOOKUP($A160,'Data Vlaue (Cr)'!$C:$FB,66)*100</f>
        <v>-29.82</v>
      </c>
    </row>
    <row r="161" spans="1:15" x14ac:dyDescent="0.25">
      <c r="A161" s="101" t="str">
        <f>'Data Vlaue (Cr)'!C156</f>
        <v>PFC</v>
      </c>
      <c r="B161" s="50">
        <f>VLOOKUP($A161,'Data Vlaue (Cr)'!$C:$FB,8)</f>
        <v>376.95</v>
      </c>
      <c r="C161" s="50">
        <f>VLOOKUP($A161,'Data Vlaue (Cr)'!$C:$FB,11)*100</f>
        <v>0.19</v>
      </c>
      <c r="D161" s="50">
        <f>VLOOKUP($A161,'Data Vlaue (Cr)'!$C:$FB,143)</f>
        <v>1803.67</v>
      </c>
      <c r="E161" s="50">
        <f>VLOOKUP($A161,'Data Vlaue (Cr)'!$C:$FB,144)</f>
        <v>2950.87</v>
      </c>
      <c r="F161" s="50">
        <f>VLOOKUP($A161,'Data Vlaue (Cr)'!$C:$FB,146)*100</f>
        <v>-38.879999999999995</v>
      </c>
      <c r="G161" s="49">
        <f>VLOOKUP($A161,'Data Vlaue (Cr)'!$C:$FB,43)</f>
        <v>272</v>
      </c>
      <c r="H161" s="49">
        <f>VLOOKUP($A161,'Data Vlaue (Cr)'!$C:$FB,44)</f>
        <v>436</v>
      </c>
      <c r="I161" s="49">
        <f>VLOOKUP($A161,'Data Vlaue (Cr)'!$C:$FB,46)*100</f>
        <v>-37.659999999999997</v>
      </c>
      <c r="J161" s="51">
        <f>VLOOKUP($A161,'Data Vlaue (Cr)'!$C:$FB,59)</f>
        <v>1050</v>
      </c>
      <c r="K161" s="51">
        <f>VLOOKUP($A161,'Data Vlaue (Cr)'!$C:$FB,60)</f>
        <v>1853</v>
      </c>
      <c r="L161" s="51">
        <f>VLOOKUP($A161,'Data Vlaue (Cr)'!$C:$FB,62)*100</f>
        <v>-43.36</v>
      </c>
      <c r="M161" s="51">
        <f>VLOOKUP($A161,'Data Vlaue (Cr)'!$C:$FB,63)</f>
        <v>445</v>
      </c>
      <c r="N161" s="51">
        <f>VLOOKUP($A161,'Data Vlaue (Cr)'!$C:$FB,64)</f>
        <v>593</v>
      </c>
      <c r="O161" s="51">
        <f>VLOOKUP($A161,'Data Vlaue (Cr)'!$C:$FB,66)*100</f>
        <v>-24.98</v>
      </c>
    </row>
    <row r="162" spans="1:15" x14ac:dyDescent="0.25">
      <c r="A162" s="101" t="str">
        <f>'Data Vlaue (Cr)'!C157</f>
        <v>PGEL</v>
      </c>
      <c r="B162" s="50">
        <f>VLOOKUP($A162,'Data Vlaue (Cr)'!$C:$FB,8)</f>
        <v>622.4</v>
      </c>
      <c r="C162" s="50">
        <f>VLOOKUP($A162,'Data Vlaue (Cr)'!$C:$FB,11)*100</f>
        <v>-0.67</v>
      </c>
      <c r="D162" s="50">
        <f>VLOOKUP($A162,'Data Vlaue (Cr)'!$C:$FB,143)</f>
        <v>804.53</v>
      </c>
      <c r="E162" s="50">
        <f>VLOOKUP($A162,'Data Vlaue (Cr)'!$C:$FB,144)</f>
        <v>1252.72</v>
      </c>
      <c r="F162" s="50">
        <f>VLOOKUP($A162,'Data Vlaue (Cr)'!$C:$FB,146)*100</f>
        <v>-35.78</v>
      </c>
      <c r="G162" s="49">
        <f>VLOOKUP($A162,'Data Vlaue (Cr)'!$C:$FB,43)</f>
        <v>192</v>
      </c>
      <c r="H162" s="49">
        <f>VLOOKUP($A162,'Data Vlaue (Cr)'!$C:$FB,44)</f>
        <v>210</v>
      </c>
      <c r="I162" s="49">
        <f>VLOOKUP($A162,'Data Vlaue (Cr)'!$C:$FB,46)*100</f>
        <v>-8.870000000000001</v>
      </c>
      <c r="J162" s="51">
        <f>VLOOKUP($A162,'Data Vlaue (Cr)'!$C:$FB,59)</f>
        <v>439</v>
      </c>
      <c r="K162" s="51">
        <f>VLOOKUP($A162,'Data Vlaue (Cr)'!$C:$FB,60)</f>
        <v>681</v>
      </c>
      <c r="L162" s="51">
        <f>VLOOKUP($A162,'Data Vlaue (Cr)'!$C:$FB,62)*100</f>
        <v>-35.57</v>
      </c>
      <c r="M162" s="51">
        <f>VLOOKUP($A162,'Data Vlaue (Cr)'!$C:$FB,63)</f>
        <v>146</v>
      </c>
      <c r="N162" s="51">
        <f>VLOOKUP($A162,'Data Vlaue (Cr)'!$C:$FB,64)</f>
        <v>320</v>
      </c>
      <c r="O162" s="51">
        <f>VLOOKUP($A162,'Data Vlaue (Cr)'!$C:$FB,66)*100</f>
        <v>-54.44</v>
      </c>
    </row>
    <row r="163" spans="1:15" x14ac:dyDescent="0.25">
      <c r="A163" s="101" t="str">
        <f>'Data Vlaue (Cr)'!C158</f>
        <v>PHOENIXLTD</v>
      </c>
      <c r="B163" s="50">
        <f>VLOOKUP($A163,'Data Vlaue (Cr)'!$C:$FB,8)</f>
        <v>1942.6</v>
      </c>
      <c r="C163" s="50">
        <f>VLOOKUP($A163,'Data Vlaue (Cr)'!$C:$FB,11)*100</f>
        <v>-0.42</v>
      </c>
      <c r="D163" s="50">
        <f>VLOOKUP($A163,'Data Vlaue (Cr)'!$C:$FB,143)</f>
        <v>285.55</v>
      </c>
      <c r="E163" s="50">
        <f>VLOOKUP($A163,'Data Vlaue (Cr)'!$C:$FB,144)</f>
        <v>586.02</v>
      </c>
      <c r="F163" s="50">
        <f>VLOOKUP($A163,'Data Vlaue (Cr)'!$C:$FB,146)*100</f>
        <v>-51.27</v>
      </c>
      <c r="G163" s="49">
        <f>VLOOKUP($A163,'Data Vlaue (Cr)'!$C:$FB,43)</f>
        <v>122</v>
      </c>
      <c r="H163" s="49">
        <f>VLOOKUP($A163,'Data Vlaue (Cr)'!$C:$FB,44)</f>
        <v>199</v>
      </c>
      <c r="I163" s="49">
        <f>VLOOKUP($A163,'Data Vlaue (Cr)'!$C:$FB,46)*100</f>
        <v>-38.93</v>
      </c>
      <c r="J163" s="51">
        <f>VLOOKUP($A163,'Data Vlaue (Cr)'!$C:$FB,59)</f>
        <v>98</v>
      </c>
      <c r="K163" s="51">
        <f>VLOOKUP($A163,'Data Vlaue (Cr)'!$C:$FB,60)</f>
        <v>211</v>
      </c>
      <c r="L163" s="51">
        <f>VLOOKUP($A163,'Data Vlaue (Cr)'!$C:$FB,62)*100</f>
        <v>-53.44</v>
      </c>
      <c r="M163" s="51">
        <f>VLOOKUP($A163,'Data Vlaue (Cr)'!$C:$FB,63)</f>
        <v>62</v>
      </c>
      <c r="N163" s="51">
        <f>VLOOKUP($A163,'Data Vlaue (Cr)'!$C:$FB,64)</f>
        <v>171</v>
      </c>
      <c r="O163" s="51">
        <f>VLOOKUP($A163,'Data Vlaue (Cr)'!$C:$FB,66)*100</f>
        <v>-63.4</v>
      </c>
    </row>
    <row r="164" spans="1:15" x14ac:dyDescent="0.25">
      <c r="A164" s="101" t="str">
        <f>'Data Vlaue (Cr)'!C159</f>
        <v>PIDILITIND</v>
      </c>
      <c r="B164" s="50">
        <f>VLOOKUP($A164,'Data Vlaue (Cr)'!$C:$FB,8)</f>
        <v>1514.8</v>
      </c>
      <c r="C164" s="50">
        <f>VLOOKUP($A164,'Data Vlaue (Cr)'!$C:$FB,11)*100</f>
        <v>0.65</v>
      </c>
      <c r="D164" s="50">
        <f>VLOOKUP($A164,'Data Vlaue (Cr)'!$C:$FB,143)</f>
        <v>500.53</v>
      </c>
      <c r="E164" s="50">
        <f>VLOOKUP($A164,'Data Vlaue (Cr)'!$C:$FB,144)</f>
        <v>383.76</v>
      </c>
      <c r="F164" s="50">
        <f>VLOOKUP($A164,'Data Vlaue (Cr)'!$C:$FB,146)*100</f>
        <v>30.43</v>
      </c>
      <c r="G164" s="49">
        <f>VLOOKUP($A164,'Data Vlaue (Cr)'!$C:$FB,43)</f>
        <v>136</v>
      </c>
      <c r="H164" s="49">
        <f>VLOOKUP($A164,'Data Vlaue (Cr)'!$C:$FB,44)</f>
        <v>97</v>
      </c>
      <c r="I164" s="49">
        <f>VLOOKUP($A164,'Data Vlaue (Cr)'!$C:$FB,46)*100</f>
        <v>39.979999999999997</v>
      </c>
      <c r="J164" s="51">
        <f>VLOOKUP($A164,'Data Vlaue (Cr)'!$C:$FB,59)</f>
        <v>294</v>
      </c>
      <c r="K164" s="51">
        <f>VLOOKUP($A164,'Data Vlaue (Cr)'!$C:$FB,60)</f>
        <v>201</v>
      </c>
      <c r="L164" s="51">
        <f>VLOOKUP($A164,'Data Vlaue (Cr)'!$C:$FB,62)*100</f>
        <v>46.51</v>
      </c>
      <c r="M164" s="51">
        <f>VLOOKUP($A164,'Data Vlaue (Cr)'!$C:$FB,63)</f>
        <v>66</v>
      </c>
      <c r="N164" s="51">
        <f>VLOOKUP($A164,'Data Vlaue (Cr)'!$C:$FB,64)</f>
        <v>83</v>
      </c>
      <c r="O164" s="51">
        <f>VLOOKUP($A164,'Data Vlaue (Cr)'!$C:$FB,66)*100</f>
        <v>-19.72</v>
      </c>
    </row>
    <row r="165" spans="1:15" x14ac:dyDescent="0.25">
      <c r="A165" s="101" t="str">
        <f>'Data Vlaue (Cr)'!C160</f>
        <v>PIIND</v>
      </c>
      <c r="B165" s="50">
        <f>VLOOKUP($A165,'Data Vlaue (Cr)'!$C:$FB,8)</f>
        <v>3283.8</v>
      </c>
      <c r="C165" s="50">
        <f>VLOOKUP($A165,'Data Vlaue (Cr)'!$C:$FB,11)*100</f>
        <v>0.25</v>
      </c>
      <c r="D165" s="50">
        <f>VLOOKUP($A165,'Data Vlaue (Cr)'!$C:$FB,143)</f>
        <v>565.62</v>
      </c>
      <c r="E165" s="50">
        <f>VLOOKUP($A165,'Data Vlaue (Cr)'!$C:$FB,144)</f>
        <v>584.62</v>
      </c>
      <c r="F165" s="50">
        <f>VLOOKUP($A165,'Data Vlaue (Cr)'!$C:$FB,146)*100</f>
        <v>-3.25</v>
      </c>
      <c r="G165" s="49">
        <f>VLOOKUP($A165,'Data Vlaue (Cr)'!$C:$FB,43)</f>
        <v>114</v>
      </c>
      <c r="H165" s="49">
        <f>VLOOKUP($A165,'Data Vlaue (Cr)'!$C:$FB,44)</f>
        <v>93</v>
      </c>
      <c r="I165" s="49">
        <f>VLOOKUP($A165,'Data Vlaue (Cr)'!$C:$FB,46)*100</f>
        <v>22.79</v>
      </c>
      <c r="J165" s="51">
        <f>VLOOKUP($A165,'Data Vlaue (Cr)'!$C:$FB,59)</f>
        <v>375</v>
      </c>
      <c r="K165" s="51">
        <f>VLOOKUP($A165,'Data Vlaue (Cr)'!$C:$FB,60)</f>
        <v>401</v>
      </c>
      <c r="L165" s="51">
        <f>VLOOKUP($A165,'Data Vlaue (Cr)'!$C:$FB,62)*100</f>
        <v>-6.68</v>
      </c>
      <c r="M165" s="51">
        <f>VLOOKUP($A165,'Data Vlaue (Cr)'!$C:$FB,63)</f>
        <v>68</v>
      </c>
      <c r="N165" s="51">
        <f>VLOOKUP($A165,'Data Vlaue (Cr)'!$C:$FB,64)</f>
        <v>85</v>
      </c>
      <c r="O165" s="51">
        <f>VLOOKUP($A165,'Data Vlaue (Cr)'!$C:$FB,66)*100</f>
        <v>-19.689999999999998</v>
      </c>
    </row>
    <row r="166" spans="1:15" x14ac:dyDescent="0.25">
      <c r="A166" s="101" t="str">
        <f>'Data Vlaue (Cr)'!C161</f>
        <v>PNB</v>
      </c>
      <c r="B166" s="50">
        <f>VLOOKUP($A166,'Data Vlaue (Cr)'!$C:$FB,8)</f>
        <v>125.68</v>
      </c>
      <c r="C166" s="50">
        <f>VLOOKUP($A166,'Data Vlaue (Cr)'!$C:$FB,11)*100</f>
        <v>0.16999999999999998</v>
      </c>
      <c r="D166" s="50">
        <f>VLOOKUP($A166,'Data Vlaue (Cr)'!$C:$FB,143)</f>
        <v>1929.12</v>
      </c>
      <c r="E166" s="50">
        <f>VLOOKUP($A166,'Data Vlaue (Cr)'!$C:$FB,144)</f>
        <v>1514.15</v>
      </c>
      <c r="F166" s="50">
        <f>VLOOKUP($A166,'Data Vlaue (Cr)'!$C:$FB,146)*100</f>
        <v>27.41</v>
      </c>
      <c r="G166" s="49">
        <f>VLOOKUP($A166,'Data Vlaue (Cr)'!$C:$FB,43)</f>
        <v>424</v>
      </c>
      <c r="H166" s="49">
        <f>VLOOKUP($A166,'Data Vlaue (Cr)'!$C:$FB,44)</f>
        <v>401</v>
      </c>
      <c r="I166" s="49">
        <f>VLOOKUP($A166,'Data Vlaue (Cr)'!$C:$FB,46)*100</f>
        <v>5.7299999999999995</v>
      </c>
      <c r="J166" s="51">
        <f>VLOOKUP($A166,'Data Vlaue (Cr)'!$C:$FB,59)</f>
        <v>815</v>
      </c>
      <c r="K166" s="51">
        <f>VLOOKUP($A166,'Data Vlaue (Cr)'!$C:$FB,60)</f>
        <v>679</v>
      </c>
      <c r="L166" s="51">
        <f>VLOOKUP($A166,'Data Vlaue (Cr)'!$C:$FB,62)*100</f>
        <v>20.010000000000002</v>
      </c>
      <c r="M166" s="51">
        <f>VLOOKUP($A166,'Data Vlaue (Cr)'!$C:$FB,63)</f>
        <v>663</v>
      </c>
      <c r="N166" s="51">
        <f>VLOOKUP($A166,'Data Vlaue (Cr)'!$C:$FB,64)</f>
        <v>415</v>
      </c>
      <c r="O166" s="51">
        <f>VLOOKUP($A166,'Data Vlaue (Cr)'!$C:$FB,66)*100</f>
        <v>59.68</v>
      </c>
    </row>
    <row r="167" spans="1:15" x14ac:dyDescent="0.25">
      <c r="A167" s="101" t="str">
        <f>'Data Vlaue (Cr)'!C162</f>
        <v>PNBHOUSING</v>
      </c>
      <c r="B167" s="50">
        <f>VLOOKUP($A167,'Data Vlaue (Cr)'!$C:$FB,8)</f>
        <v>1004.4</v>
      </c>
      <c r="C167" s="50">
        <f>VLOOKUP($A167,'Data Vlaue (Cr)'!$C:$FB,11)*100</f>
        <v>-0.33999999999999997</v>
      </c>
      <c r="D167" s="50">
        <f>VLOOKUP($A167,'Data Vlaue (Cr)'!$C:$FB,143)</f>
        <v>619.92999999999995</v>
      </c>
      <c r="E167" s="50">
        <f>VLOOKUP($A167,'Data Vlaue (Cr)'!$C:$FB,144)</f>
        <v>366.49</v>
      </c>
      <c r="F167" s="50">
        <f>VLOOKUP($A167,'Data Vlaue (Cr)'!$C:$FB,146)*100</f>
        <v>69.150000000000006</v>
      </c>
      <c r="G167" s="49">
        <f>VLOOKUP($A167,'Data Vlaue (Cr)'!$C:$FB,43)</f>
        <v>268</v>
      </c>
      <c r="H167" s="49">
        <f>VLOOKUP($A167,'Data Vlaue (Cr)'!$C:$FB,44)</f>
        <v>184</v>
      </c>
      <c r="I167" s="49">
        <f>VLOOKUP($A167,'Data Vlaue (Cr)'!$C:$FB,46)*100</f>
        <v>45.53</v>
      </c>
      <c r="J167" s="51">
        <f>VLOOKUP($A167,'Data Vlaue (Cr)'!$C:$FB,59)</f>
        <v>211</v>
      </c>
      <c r="K167" s="51">
        <f>VLOOKUP($A167,'Data Vlaue (Cr)'!$C:$FB,60)</f>
        <v>128</v>
      </c>
      <c r="L167" s="51">
        <f>VLOOKUP($A167,'Data Vlaue (Cr)'!$C:$FB,62)*100</f>
        <v>65.11</v>
      </c>
      <c r="M167" s="51">
        <f>VLOOKUP($A167,'Data Vlaue (Cr)'!$C:$FB,63)</f>
        <v>134</v>
      </c>
      <c r="N167" s="51">
        <f>VLOOKUP($A167,'Data Vlaue (Cr)'!$C:$FB,64)</f>
        <v>51</v>
      </c>
      <c r="O167" s="51">
        <f>VLOOKUP($A167,'Data Vlaue (Cr)'!$C:$FB,66)*100</f>
        <v>161.22</v>
      </c>
    </row>
    <row r="168" spans="1:15" x14ac:dyDescent="0.25">
      <c r="A168" s="101" t="str">
        <f>'Data Vlaue (Cr)'!C163</f>
        <v>POLICYBZR</v>
      </c>
      <c r="B168" s="50">
        <f>VLOOKUP($A168,'Data Vlaue (Cr)'!$C:$FB,8)</f>
        <v>1719.5</v>
      </c>
      <c r="C168" s="50">
        <f>VLOOKUP($A168,'Data Vlaue (Cr)'!$C:$FB,11)*100</f>
        <v>-1.39</v>
      </c>
      <c r="D168" s="50">
        <f>VLOOKUP($A168,'Data Vlaue (Cr)'!$C:$FB,143)</f>
        <v>931.92</v>
      </c>
      <c r="E168" s="50">
        <f>VLOOKUP($A168,'Data Vlaue (Cr)'!$C:$FB,144)</f>
        <v>911.84</v>
      </c>
      <c r="F168" s="50">
        <f>VLOOKUP($A168,'Data Vlaue (Cr)'!$C:$FB,146)*100</f>
        <v>2.1999999999999997</v>
      </c>
      <c r="G168" s="49">
        <f>VLOOKUP($A168,'Data Vlaue (Cr)'!$C:$FB,43)</f>
        <v>228</v>
      </c>
      <c r="H168" s="49">
        <f>VLOOKUP($A168,'Data Vlaue (Cr)'!$C:$FB,44)</f>
        <v>263</v>
      </c>
      <c r="I168" s="49">
        <f>VLOOKUP($A168,'Data Vlaue (Cr)'!$C:$FB,46)*100</f>
        <v>-13.34</v>
      </c>
      <c r="J168" s="51">
        <f>VLOOKUP($A168,'Data Vlaue (Cr)'!$C:$FB,59)</f>
        <v>410</v>
      </c>
      <c r="K168" s="51">
        <f>VLOOKUP($A168,'Data Vlaue (Cr)'!$C:$FB,60)</f>
        <v>427</v>
      </c>
      <c r="L168" s="51">
        <f>VLOOKUP($A168,'Data Vlaue (Cr)'!$C:$FB,62)*100</f>
        <v>-3.93</v>
      </c>
      <c r="M168" s="51">
        <f>VLOOKUP($A168,'Data Vlaue (Cr)'!$C:$FB,63)</f>
        <v>264</v>
      </c>
      <c r="N168" s="51">
        <f>VLOOKUP($A168,'Data Vlaue (Cr)'!$C:$FB,64)</f>
        <v>180</v>
      </c>
      <c r="O168" s="51">
        <f>VLOOKUP($A168,'Data Vlaue (Cr)'!$C:$FB,66)*100</f>
        <v>47.089999999999996</v>
      </c>
    </row>
    <row r="169" spans="1:15" x14ac:dyDescent="0.25">
      <c r="A169" s="101" t="str">
        <f>'Data Vlaue (Cr)'!C164</f>
        <v>POLYCAB</v>
      </c>
      <c r="B169" s="50">
        <f>VLOOKUP($A169,'Data Vlaue (Cr)'!$C:$FB,8)</f>
        <v>7897</v>
      </c>
      <c r="C169" s="50">
        <f>VLOOKUP($A169,'Data Vlaue (Cr)'!$C:$FB,11)*100</f>
        <v>1.3</v>
      </c>
      <c r="D169" s="50">
        <f>VLOOKUP($A169,'Data Vlaue (Cr)'!$C:$FB,143)</f>
        <v>3676.25</v>
      </c>
      <c r="E169" s="50">
        <f>VLOOKUP($A169,'Data Vlaue (Cr)'!$C:$FB,144)</f>
        <v>2017.88</v>
      </c>
      <c r="F169" s="50">
        <f>VLOOKUP($A169,'Data Vlaue (Cr)'!$C:$FB,146)*100</f>
        <v>82.179999999999993</v>
      </c>
      <c r="G169" s="49">
        <f>VLOOKUP($A169,'Data Vlaue (Cr)'!$C:$FB,43)</f>
        <v>669</v>
      </c>
      <c r="H169" s="49">
        <f>VLOOKUP($A169,'Data Vlaue (Cr)'!$C:$FB,44)</f>
        <v>524</v>
      </c>
      <c r="I169" s="49">
        <f>VLOOKUP($A169,'Data Vlaue (Cr)'!$C:$FB,46)*100</f>
        <v>27.76</v>
      </c>
      <c r="J169" s="51">
        <f>VLOOKUP($A169,'Data Vlaue (Cr)'!$C:$FB,59)</f>
        <v>2189</v>
      </c>
      <c r="K169" s="51">
        <f>VLOOKUP($A169,'Data Vlaue (Cr)'!$C:$FB,60)</f>
        <v>1017</v>
      </c>
      <c r="L169" s="51">
        <f>VLOOKUP($A169,'Data Vlaue (Cr)'!$C:$FB,62)*100</f>
        <v>115.27000000000001</v>
      </c>
      <c r="M169" s="51">
        <f>VLOOKUP($A169,'Data Vlaue (Cr)'!$C:$FB,63)</f>
        <v>742</v>
      </c>
      <c r="N169" s="51">
        <f>VLOOKUP($A169,'Data Vlaue (Cr)'!$C:$FB,64)</f>
        <v>469</v>
      </c>
      <c r="O169" s="51">
        <f>VLOOKUP($A169,'Data Vlaue (Cr)'!$C:$FB,66)*100</f>
        <v>58.29</v>
      </c>
    </row>
    <row r="170" spans="1:15" x14ac:dyDescent="0.25">
      <c r="A170" s="101" t="str">
        <f>'Data Vlaue (Cr)'!C165</f>
        <v>POWERGRID</v>
      </c>
      <c r="B170" s="50">
        <f>VLOOKUP($A170,'Data Vlaue (Cr)'!$C:$FB,8)</f>
        <v>264.10000000000002</v>
      </c>
      <c r="C170" s="50">
        <f>VLOOKUP($A170,'Data Vlaue (Cr)'!$C:$FB,11)*100</f>
        <v>-1.66</v>
      </c>
      <c r="D170" s="50">
        <f>VLOOKUP($A170,'Data Vlaue (Cr)'!$C:$FB,143)</f>
        <v>1369.54</v>
      </c>
      <c r="E170" s="50">
        <f>VLOOKUP($A170,'Data Vlaue (Cr)'!$C:$FB,144)</f>
        <v>1425.55</v>
      </c>
      <c r="F170" s="50">
        <f>VLOOKUP($A170,'Data Vlaue (Cr)'!$C:$FB,146)*100</f>
        <v>-3.93</v>
      </c>
      <c r="G170" s="49">
        <f>VLOOKUP($A170,'Data Vlaue (Cr)'!$C:$FB,43)</f>
        <v>337</v>
      </c>
      <c r="H170" s="49">
        <f>VLOOKUP($A170,'Data Vlaue (Cr)'!$C:$FB,44)</f>
        <v>252</v>
      </c>
      <c r="I170" s="49">
        <f>VLOOKUP($A170,'Data Vlaue (Cr)'!$C:$FB,46)*100</f>
        <v>33.550000000000004</v>
      </c>
      <c r="J170" s="51">
        <f>VLOOKUP($A170,'Data Vlaue (Cr)'!$C:$FB,59)</f>
        <v>711</v>
      </c>
      <c r="K170" s="51">
        <f>VLOOKUP($A170,'Data Vlaue (Cr)'!$C:$FB,60)</f>
        <v>851</v>
      </c>
      <c r="L170" s="51">
        <f>VLOOKUP($A170,'Data Vlaue (Cr)'!$C:$FB,62)*100</f>
        <v>-16.489999999999998</v>
      </c>
      <c r="M170" s="51">
        <f>VLOOKUP($A170,'Data Vlaue (Cr)'!$C:$FB,63)</f>
        <v>287</v>
      </c>
      <c r="N170" s="51">
        <f>VLOOKUP($A170,'Data Vlaue (Cr)'!$C:$FB,64)</f>
        <v>268</v>
      </c>
      <c r="O170" s="51">
        <f>VLOOKUP($A170,'Data Vlaue (Cr)'!$C:$FB,66)*100</f>
        <v>7.0499999999999989</v>
      </c>
    </row>
    <row r="171" spans="1:15" x14ac:dyDescent="0.25">
      <c r="A171" s="101" t="str">
        <f>'Data Vlaue (Cr)'!C166</f>
        <v>POWERINDIA</v>
      </c>
      <c r="B171" s="50">
        <f>VLOOKUP($A171,'Data Vlaue (Cr)'!$C:$FB,8)</f>
        <v>19582</v>
      </c>
      <c r="C171" s="50">
        <f>VLOOKUP($A171,'Data Vlaue (Cr)'!$C:$FB,11)*100</f>
        <v>3.9</v>
      </c>
      <c r="D171" s="50">
        <f>VLOOKUP($A171,'Data Vlaue (Cr)'!$C:$FB,143)</f>
        <v>3478.16</v>
      </c>
      <c r="E171" s="50">
        <f>VLOOKUP($A171,'Data Vlaue (Cr)'!$C:$FB,144)</f>
        <v>419.54</v>
      </c>
      <c r="F171" s="50">
        <f>VLOOKUP($A171,'Data Vlaue (Cr)'!$C:$FB,146)*100</f>
        <v>729.04</v>
      </c>
      <c r="G171" s="49">
        <f>VLOOKUP($A171,'Data Vlaue (Cr)'!$C:$FB,43)</f>
        <v>350</v>
      </c>
      <c r="H171" s="49">
        <f>VLOOKUP($A171,'Data Vlaue (Cr)'!$C:$FB,44)</f>
        <v>107</v>
      </c>
      <c r="I171" s="49">
        <f>VLOOKUP($A171,'Data Vlaue (Cr)'!$C:$FB,46)*100</f>
        <v>228.35999999999999</v>
      </c>
      <c r="J171" s="51">
        <f>VLOOKUP($A171,'Data Vlaue (Cr)'!$C:$FB,59)</f>
        <v>2515</v>
      </c>
      <c r="K171" s="51">
        <f>VLOOKUP($A171,'Data Vlaue (Cr)'!$C:$FB,60)</f>
        <v>224</v>
      </c>
      <c r="L171" s="51">
        <f>VLOOKUP($A171,'Data Vlaue (Cr)'!$C:$FB,62)*100</f>
        <v>1020.5500000000001</v>
      </c>
      <c r="M171" s="51">
        <f>VLOOKUP($A171,'Data Vlaue (Cr)'!$C:$FB,63)</f>
        <v>456</v>
      </c>
      <c r="N171" s="51">
        <f>VLOOKUP($A171,'Data Vlaue (Cr)'!$C:$FB,64)</f>
        <v>94</v>
      </c>
      <c r="O171" s="51">
        <f>VLOOKUP($A171,'Data Vlaue (Cr)'!$C:$FB,66)*100</f>
        <v>385.56</v>
      </c>
    </row>
    <row r="172" spans="1:15" x14ac:dyDescent="0.25">
      <c r="A172" s="101" t="str">
        <f>'Data Vlaue (Cr)'!C167</f>
        <v>PPLPHARMA</v>
      </c>
      <c r="B172" s="50">
        <f>VLOOKUP($A172,'Data Vlaue (Cr)'!$C:$FB,8)</f>
        <v>180.81</v>
      </c>
      <c r="C172" s="50">
        <f>VLOOKUP($A172,'Data Vlaue (Cr)'!$C:$FB,11)*100</f>
        <v>0.44999999999999996</v>
      </c>
      <c r="D172" s="50">
        <f>VLOOKUP($A172,'Data Vlaue (Cr)'!$C:$FB,143)</f>
        <v>924.71</v>
      </c>
      <c r="E172" s="50">
        <f>VLOOKUP($A172,'Data Vlaue (Cr)'!$C:$FB,144)</f>
        <v>314.60000000000002</v>
      </c>
      <c r="F172" s="50">
        <f>VLOOKUP($A172,'Data Vlaue (Cr)'!$C:$FB,146)*100</f>
        <v>193.93</v>
      </c>
      <c r="G172" s="49">
        <f>VLOOKUP($A172,'Data Vlaue (Cr)'!$C:$FB,43)</f>
        <v>214</v>
      </c>
      <c r="H172" s="49">
        <f>VLOOKUP($A172,'Data Vlaue (Cr)'!$C:$FB,44)</f>
        <v>75</v>
      </c>
      <c r="I172" s="49">
        <f>VLOOKUP($A172,'Data Vlaue (Cr)'!$C:$FB,46)*100</f>
        <v>184.24</v>
      </c>
      <c r="J172" s="51">
        <f>VLOOKUP($A172,'Data Vlaue (Cr)'!$C:$FB,59)</f>
        <v>579</v>
      </c>
      <c r="K172" s="51">
        <f>VLOOKUP($A172,'Data Vlaue (Cr)'!$C:$FB,60)</f>
        <v>166</v>
      </c>
      <c r="L172" s="51">
        <f>VLOOKUP($A172,'Data Vlaue (Cr)'!$C:$FB,62)*100</f>
        <v>249.33999999999997</v>
      </c>
      <c r="M172" s="51">
        <f>VLOOKUP($A172,'Data Vlaue (Cr)'!$C:$FB,63)</f>
        <v>97</v>
      </c>
      <c r="N172" s="51">
        <f>VLOOKUP($A172,'Data Vlaue (Cr)'!$C:$FB,64)</f>
        <v>67</v>
      </c>
      <c r="O172" s="51">
        <f>VLOOKUP($A172,'Data Vlaue (Cr)'!$C:$FB,66)*100</f>
        <v>44.81</v>
      </c>
    </row>
    <row r="173" spans="1:15" x14ac:dyDescent="0.25">
      <c r="A173" s="101" t="str">
        <f>'Data Vlaue (Cr)'!C168</f>
        <v>PREMIERENE</v>
      </c>
      <c r="B173" s="50">
        <f>VLOOKUP($A173,'Data Vlaue (Cr)'!$C:$FB,8)</f>
        <v>752.05</v>
      </c>
      <c r="C173" s="50">
        <f>VLOOKUP($A173,'Data Vlaue (Cr)'!$C:$FB,11)*100</f>
        <v>-1.32</v>
      </c>
      <c r="D173" s="50">
        <f>VLOOKUP($A173,'Data Vlaue (Cr)'!$C:$FB,143)</f>
        <v>575.55999999999995</v>
      </c>
      <c r="E173" s="50">
        <f>VLOOKUP($A173,'Data Vlaue (Cr)'!$C:$FB,144)</f>
        <v>1183.1400000000001</v>
      </c>
      <c r="F173" s="50">
        <f>VLOOKUP($A173,'Data Vlaue (Cr)'!$C:$FB,146)*100</f>
        <v>-51.349999999999994</v>
      </c>
      <c r="G173" s="49">
        <f>VLOOKUP($A173,'Data Vlaue (Cr)'!$C:$FB,43)</f>
        <v>123</v>
      </c>
      <c r="H173" s="49">
        <f>VLOOKUP($A173,'Data Vlaue (Cr)'!$C:$FB,44)</f>
        <v>223</v>
      </c>
      <c r="I173" s="49">
        <f>VLOOKUP($A173,'Data Vlaue (Cr)'!$C:$FB,46)*100</f>
        <v>-44.81</v>
      </c>
      <c r="J173" s="51">
        <f>VLOOKUP($A173,'Data Vlaue (Cr)'!$C:$FB,59)</f>
        <v>273</v>
      </c>
      <c r="K173" s="51">
        <f>VLOOKUP($A173,'Data Vlaue (Cr)'!$C:$FB,60)</f>
        <v>381</v>
      </c>
      <c r="L173" s="51">
        <f>VLOOKUP($A173,'Data Vlaue (Cr)'!$C:$FB,62)*100</f>
        <v>-28.29</v>
      </c>
      <c r="M173" s="51">
        <f>VLOOKUP($A173,'Data Vlaue (Cr)'!$C:$FB,63)</f>
        <v>155</v>
      </c>
      <c r="N173" s="51">
        <f>VLOOKUP($A173,'Data Vlaue (Cr)'!$C:$FB,64)</f>
        <v>531</v>
      </c>
      <c r="O173" s="51">
        <f>VLOOKUP($A173,'Data Vlaue (Cr)'!$C:$FB,66)*100</f>
        <v>-70.850000000000009</v>
      </c>
    </row>
    <row r="174" spans="1:15" x14ac:dyDescent="0.25">
      <c r="A174" s="101" t="str">
        <f>'Data Vlaue (Cr)'!C169</f>
        <v>PRESTIGE</v>
      </c>
      <c r="B174" s="50">
        <f>VLOOKUP($A174,'Data Vlaue (Cr)'!$C:$FB,8)</f>
        <v>1619.5</v>
      </c>
      <c r="C174" s="50">
        <f>VLOOKUP($A174,'Data Vlaue (Cr)'!$C:$FB,11)*100</f>
        <v>-2.04</v>
      </c>
      <c r="D174" s="50">
        <f>VLOOKUP($A174,'Data Vlaue (Cr)'!$C:$FB,143)</f>
        <v>723.25</v>
      </c>
      <c r="E174" s="50">
        <f>VLOOKUP($A174,'Data Vlaue (Cr)'!$C:$FB,144)</f>
        <v>478.47</v>
      </c>
      <c r="F174" s="50">
        <f>VLOOKUP($A174,'Data Vlaue (Cr)'!$C:$FB,146)*100</f>
        <v>51.160000000000004</v>
      </c>
      <c r="G174" s="49">
        <f>VLOOKUP($A174,'Data Vlaue (Cr)'!$C:$FB,43)</f>
        <v>164</v>
      </c>
      <c r="H174" s="49">
        <f>VLOOKUP($A174,'Data Vlaue (Cr)'!$C:$FB,44)</f>
        <v>86</v>
      </c>
      <c r="I174" s="49">
        <f>VLOOKUP($A174,'Data Vlaue (Cr)'!$C:$FB,46)*100</f>
        <v>90.81</v>
      </c>
      <c r="J174" s="51">
        <f>VLOOKUP($A174,'Data Vlaue (Cr)'!$C:$FB,59)</f>
        <v>364</v>
      </c>
      <c r="K174" s="51">
        <f>VLOOKUP($A174,'Data Vlaue (Cr)'!$C:$FB,60)</f>
        <v>278</v>
      </c>
      <c r="L174" s="51">
        <f>VLOOKUP($A174,'Data Vlaue (Cr)'!$C:$FB,62)*100</f>
        <v>31.31</v>
      </c>
      <c r="M174" s="51">
        <f>VLOOKUP($A174,'Data Vlaue (Cr)'!$C:$FB,63)</f>
        <v>177</v>
      </c>
      <c r="N174" s="51">
        <f>VLOOKUP($A174,'Data Vlaue (Cr)'!$C:$FB,64)</f>
        <v>93</v>
      </c>
      <c r="O174" s="51">
        <f>VLOOKUP($A174,'Data Vlaue (Cr)'!$C:$FB,66)*100</f>
        <v>90.42</v>
      </c>
    </row>
    <row r="175" spans="1:15" x14ac:dyDescent="0.25">
      <c r="A175" s="101" t="str">
        <f>'Data Vlaue (Cr)'!C170</f>
        <v>RBLBANK</v>
      </c>
      <c r="B175" s="50">
        <f>VLOOKUP($A175,'Data Vlaue (Cr)'!$C:$FB,8)</f>
        <v>318.64999999999998</v>
      </c>
      <c r="C175" s="50">
        <f>VLOOKUP($A175,'Data Vlaue (Cr)'!$C:$FB,11)*100</f>
        <v>-0.5</v>
      </c>
      <c r="D175" s="50">
        <f>VLOOKUP($A175,'Data Vlaue (Cr)'!$C:$FB,143)</f>
        <v>1179.02</v>
      </c>
      <c r="E175" s="50">
        <f>VLOOKUP($A175,'Data Vlaue (Cr)'!$C:$FB,144)</f>
        <v>1400.34</v>
      </c>
      <c r="F175" s="50">
        <f>VLOOKUP($A175,'Data Vlaue (Cr)'!$C:$FB,146)*100</f>
        <v>-15.8</v>
      </c>
      <c r="G175" s="49">
        <f>VLOOKUP($A175,'Data Vlaue (Cr)'!$C:$FB,43)</f>
        <v>399</v>
      </c>
      <c r="H175" s="49">
        <f>VLOOKUP($A175,'Data Vlaue (Cr)'!$C:$FB,44)</f>
        <v>479</v>
      </c>
      <c r="I175" s="49">
        <f>VLOOKUP($A175,'Data Vlaue (Cr)'!$C:$FB,46)*100</f>
        <v>-16.84</v>
      </c>
      <c r="J175" s="51">
        <f>VLOOKUP($A175,'Data Vlaue (Cr)'!$C:$FB,59)</f>
        <v>480</v>
      </c>
      <c r="K175" s="51">
        <f>VLOOKUP($A175,'Data Vlaue (Cr)'!$C:$FB,60)</f>
        <v>664</v>
      </c>
      <c r="L175" s="51">
        <f>VLOOKUP($A175,'Data Vlaue (Cr)'!$C:$FB,62)*100</f>
        <v>-27.639999999999997</v>
      </c>
      <c r="M175" s="51">
        <f>VLOOKUP($A175,'Data Vlaue (Cr)'!$C:$FB,63)</f>
        <v>285</v>
      </c>
      <c r="N175" s="51">
        <f>VLOOKUP($A175,'Data Vlaue (Cr)'!$C:$FB,64)</f>
        <v>227</v>
      </c>
      <c r="O175" s="51">
        <f>VLOOKUP($A175,'Data Vlaue (Cr)'!$C:$FB,66)*100</f>
        <v>25.22</v>
      </c>
    </row>
    <row r="176" spans="1:15" x14ac:dyDescent="0.25">
      <c r="A176" s="101" t="str">
        <f>'Data Vlaue (Cr)'!C171</f>
        <v>RECLTD</v>
      </c>
      <c r="B176" s="50">
        <f>VLOOKUP($A176,'Data Vlaue (Cr)'!$C:$FB,8)</f>
        <v>385.25</v>
      </c>
      <c r="C176" s="50">
        <f>VLOOKUP($A176,'Data Vlaue (Cr)'!$C:$FB,11)*100</f>
        <v>0.63</v>
      </c>
      <c r="D176" s="50">
        <f>VLOOKUP($A176,'Data Vlaue (Cr)'!$C:$FB,143)</f>
        <v>3084.04</v>
      </c>
      <c r="E176" s="50">
        <f>VLOOKUP($A176,'Data Vlaue (Cr)'!$C:$FB,144)</f>
        <v>4050.55</v>
      </c>
      <c r="F176" s="50">
        <f>VLOOKUP($A176,'Data Vlaue (Cr)'!$C:$FB,146)*100</f>
        <v>-23.86</v>
      </c>
      <c r="G176" s="49">
        <f>VLOOKUP($A176,'Data Vlaue (Cr)'!$C:$FB,43)</f>
        <v>592</v>
      </c>
      <c r="H176" s="49">
        <f>VLOOKUP($A176,'Data Vlaue (Cr)'!$C:$FB,44)</f>
        <v>658</v>
      </c>
      <c r="I176" s="49">
        <f>VLOOKUP($A176,'Data Vlaue (Cr)'!$C:$FB,46)*100</f>
        <v>-9.93</v>
      </c>
      <c r="J176" s="51">
        <f>VLOOKUP($A176,'Data Vlaue (Cr)'!$C:$FB,59)</f>
        <v>1642</v>
      </c>
      <c r="K176" s="51">
        <f>VLOOKUP($A176,'Data Vlaue (Cr)'!$C:$FB,60)</f>
        <v>2449</v>
      </c>
      <c r="L176" s="51">
        <f>VLOOKUP($A176,'Data Vlaue (Cr)'!$C:$FB,62)*100</f>
        <v>-32.96</v>
      </c>
      <c r="M176" s="51">
        <f>VLOOKUP($A176,'Data Vlaue (Cr)'!$C:$FB,63)</f>
        <v>801</v>
      </c>
      <c r="N176" s="51">
        <f>VLOOKUP($A176,'Data Vlaue (Cr)'!$C:$FB,64)</f>
        <v>862</v>
      </c>
      <c r="O176" s="51">
        <f>VLOOKUP($A176,'Data Vlaue (Cr)'!$C:$FB,66)*100</f>
        <v>-7.04</v>
      </c>
    </row>
    <row r="177" spans="1:15" x14ac:dyDescent="0.25">
      <c r="A177" s="101" t="str">
        <f>'Data Vlaue (Cr)'!C172</f>
        <v>RELIANCE</v>
      </c>
      <c r="B177" s="50">
        <f>VLOOKUP($A177,'Data Vlaue (Cr)'!$C:$FB,8)</f>
        <v>1504.2</v>
      </c>
      <c r="C177" s="50">
        <f>VLOOKUP($A177,'Data Vlaue (Cr)'!$C:$FB,11)*100</f>
        <v>-0.22999999999999998</v>
      </c>
      <c r="D177" s="50">
        <f>VLOOKUP($A177,'Data Vlaue (Cr)'!$C:$FB,143)</f>
        <v>21769.279999999999</v>
      </c>
      <c r="E177" s="50">
        <f>VLOOKUP($A177,'Data Vlaue (Cr)'!$C:$FB,144)</f>
        <v>65910.97</v>
      </c>
      <c r="F177" s="50">
        <f>VLOOKUP($A177,'Data Vlaue (Cr)'!$C:$FB,146)*100</f>
        <v>-66.97</v>
      </c>
      <c r="G177" s="49">
        <f>VLOOKUP($A177,'Data Vlaue (Cr)'!$C:$FB,43)</f>
        <v>2190</v>
      </c>
      <c r="H177" s="49">
        <f>VLOOKUP($A177,'Data Vlaue (Cr)'!$C:$FB,44)</f>
        <v>6664</v>
      </c>
      <c r="I177" s="49">
        <f>VLOOKUP($A177,'Data Vlaue (Cr)'!$C:$FB,46)*100</f>
        <v>-67.14</v>
      </c>
      <c r="J177" s="51">
        <f>VLOOKUP($A177,'Data Vlaue (Cr)'!$C:$FB,59)</f>
        <v>12199</v>
      </c>
      <c r="K177" s="51">
        <f>VLOOKUP($A177,'Data Vlaue (Cr)'!$C:$FB,60)</f>
        <v>34360</v>
      </c>
      <c r="L177" s="51">
        <f>VLOOKUP($A177,'Data Vlaue (Cr)'!$C:$FB,62)*100</f>
        <v>-64.5</v>
      </c>
      <c r="M177" s="51">
        <f>VLOOKUP($A177,'Data Vlaue (Cr)'!$C:$FB,63)</f>
        <v>6933</v>
      </c>
      <c r="N177" s="51">
        <f>VLOOKUP($A177,'Data Vlaue (Cr)'!$C:$FB,64)</f>
        <v>23057</v>
      </c>
      <c r="O177" s="51">
        <f>VLOOKUP($A177,'Data Vlaue (Cr)'!$C:$FB,66)*100</f>
        <v>-69.930000000000007</v>
      </c>
    </row>
    <row r="178" spans="1:15" x14ac:dyDescent="0.25">
      <c r="A178" s="101" t="str">
        <f>'Data Vlaue (Cr)'!C173</f>
        <v>RVNL</v>
      </c>
      <c r="B178" s="50">
        <f>VLOOKUP($A178,'Data Vlaue (Cr)'!$C:$FB,8)</f>
        <v>357.4</v>
      </c>
      <c r="C178" s="50">
        <f>VLOOKUP($A178,'Data Vlaue (Cr)'!$C:$FB,11)*100</f>
        <v>-0.25</v>
      </c>
      <c r="D178" s="50">
        <f>VLOOKUP($A178,'Data Vlaue (Cr)'!$C:$FB,143)</f>
        <v>1461.52</v>
      </c>
      <c r="E178" s="50">
        <f>VLOOKUP($A178,'Data Vlaue (Cr)'!$C:$FB,144)</f>
        <v>1681.14</v>
      </c>
      <c r="F178" s="50">
        <f>VLOOKUP($A178,'Data Vlaue (Cr)'!$C:$FB,146)*100</f>
        <v>-13.059999999999999</v>
      </c>
      <c r="G178" s="49">
        <f>VLOOKUP($A178,'Data Vlaue (Cr)'!$C:$FB,43)</f>
        <v>306</v>
      </c>
      <c r="H178" s="49">
        <f>VLOOKUP($A178,'Data Vlaue (Cr)'!$C:$FB,44)</f>
        <v>233</v>
      </c>
      <c r="I178" s="49">
        <f>VLOOKUP($A178,'Data Vlaue (Cr)'!$C:$FB,46)*100</f>
        <v>31.369999999999997</v>
      </c>
      <c r="J178" s="51">
        <f>VLOOKUP($A178,'Data Vlaue (Cr)'!$C:$FB,59)</f>
        <v>834</v>
      </c>
      <c r="K178" s="51">
        <f>VLOOKUP($A178,'Data Vlaue (Cr)'!$C:$FB,60)</f>
        <v>1053</v>
      </c>
      <c r="L178" s="51">
        <f>VLOOKUP($A178,'Data Vlaue (Cr)'!$C:$FB,62)*100</f>
        <v>-20.830000000000002</v>
      </c>
      <c r="M178" s="51">
        <f>VLOOKUP($A178,'Data Vlaue (Cr)'!$C:$FB,63)</f>
        <v>251</v>
      </c>
      <c r="N178" s="51">
        <f>VLOOKUP($A178,'Data Vlaue (Cr)'!$C:$FB,64)</f>
        <v>303</v>
      </c>
      <c r="O178" s="51">
        <f>VLOOKUP($A178,'Data Vlaue (Cr)'!$C:$FB,66)*100</f>
        <v>-17.130000000000003</v>
      </c>
    </row>
    <row r="179" spans="1:15" x14ac:dyDescent="0.25">
      <c r="A179" s="101" t="str">
        <f>'Data Vlaue (Cr)'!C174</f>
        <v>SAIL</v>
      </c>
      <c r="B179" s="50">
        <f>VLOOKUP($A179,'Data Vlaue (Cr)'!$C:$FB,8)</f>
        <v>150.37</v>
      </c>
      <c r="C179" s="50">
        <f>VLOOKUP($A179,'Data Vlaue (Cr)'!$C:$FB,11)*100</f>
        <v>2.68</v>
      </c>
      <c r="D179" s="50">
        <f>VLOOKUP($A179,'Data Vlaue (Cr)'!$C:$FB,143)</f>
        <v>57.76</v>
      </c>
      <c r="E179" s="50">
        <f>VLOOKUP($A179,'Data Vlaue (Cr)'!$C:$FB,144)</f>
        <v>109.8</v>
      </c>
      <c r="F179" s="50">
        <f>VLOOKUP($A179,'Data Vlaue (Cr)'!$C:$FB,146)*100</f>
        <v>-47.39</v>
      </c>
      <c r="G179" s="49">
        <f>VLOOKUP($A179,'Data Vlaue (Cr)'!$C:$FB,43)</f>
        <v>30</v>
      </c>
      <c r="H179" s="49">
        <f>VLOOKUP($A179,'Data Vlaue (Cr)'!$C:$FB,44)</f>
        <v>41</v>
      </c>
      <c r="I179" s="49">
        <f>VLOOKUP($A179,'Data Vlaue (Cr)'!$C:$FB,46)*100</f>
        <v>-25.650000000000002</v>
      </c>
      <c r="J179" s="51">
        <f>VLOOKUP($A179,'Data Vlaue (Cr)'!$C:$FB,59)</f>
        <v>15</v>
      </c>
      <c r="K179" s="51">
        <f>VLOOKUP($A179,'Data Vlaue (Cr)'!$C:$FB,60)</f>
        <v>35</v>
      </c>
      <c r="L179" s="51">
        <f>VLOOKUP($A179,'Data Vlaue (Cr)'!$C:$FB,62)*100</f>
        <v>-58.550000000000004</v>
      </c>
      <c r="M179" s="51">
        <f>VLOOKUP($A179,'Data Vlaue (Cr)'!$C:$FB,63)</f>
        <v>14</v>
      </c>
      <c r="N179" s="51">
        <f>VLOOKUP($A179,'Data Vlaue (Cr)'!$C:$FB,64)</f>
        <v>36</v>
      </c>
      <c r="O179" s="51">
        <f>VLOOKUP($A179,'Data Vlaue (Cr)'!$C:$FB,66)*100</f>
        <v>-61.57</v>
      </c>
    </row>
    <row r="180" spans="1:15" x14ac:dyDescent="0.25">
      <c r="A180" s="101" t="str">
        <f>'Data Vlaue (Cr)'!C175</f>
        <v>SAMMAANCAP</v>
      </c>
      <c r="B180" s="50">
        <f>VLOOKUP($A180,'Data Vlaue (Cr)'!$C:$FB,8)</f>
        <v>149.94999999999999</v>
      </c>
      <c r="C180" s="50">
        <f>VLOOKUP($A180,'Data Vlaue (Cr)'!$C:$FB,11)*100</f>
        <v>0.57000000000000006</v>
      </c>
      <c r="D180" s="50">
        <f>VLOOKUP($A180,'Data Vlaue (Cr)'!$C:$FB,143)</f>
        <v>18.45</v>
      </c>
      <c r="E180" s="50">
        <f>VLOOKUP($A180,'Data Vlaue (Cr)'!$C:$FB,144)</f>
        <v>81.89</v>
      </c>
      <c r="F180" s="50">
        <f>VLOOKUP($A180,'Data Vlaue (Cr)'!$C:$FB,146)*100</f>
        <v>-77.47</v>
      </c>
      <c r="G180" s="49">
        <f>VLOOKUP($A180,'Data Vlaue (Cr)'!$C:$FB,43)</f>
        <v>10</v>
      </c>
      <c r="H180" s="49">
        <f>VLOOKUP($A180,'Data Vlaue (Cr)'!$C:$FB,44)</f>
        <v>41</v>
      </c>
      <c r="I180" s="49">
        <f>VLOOKUP($A180,'Data Vlaue (Cr)'!$C:$FB,46)*100</f>
        <v>-74.680000000000007</v>
      </c>
      <c r="J180" s="51">
        <f>VLOOKUP($A180,'Data Vlaue (Cr)'!$C:$FB,59)</f>
        <v>5</v>
      </c>
      <c r="K180" s="51">
        <f>VLOOKUP($A180,'Data Vlaue (Cr)'!$C:$FB,60)</f>
        <v>28</v>
      </c>
      <c r="L180" s="51">
        <f>VLOOKUP($A180,'Data Vlaue (Cr)'!$C:$FB,62)*100</f>
        <v>-81.38</v>
      </c>
      <c r="M180" s="51">
        <f>VLOOKUP($A180,'Data Vlaue (Cr)'!$C:$FB,63)</f>
        <v>3</v>
      </c>
      <c r="N180" s="51">
        <f>VLOOKUP($A180,'Data Vlaue (Cr)'!$C:$FB,64)</f>
        <v>12</v>
      </c>
      <c r="O180" s="51">
        <f>VLOOKUP($A180,'Data Vlaue (Cr)'!$C:$FB,66)*100</f>
        <v>-76.11</v>
      </c>
    </row>
    <row r="181" spans="1:15" x14ac:dyDescent="0.25">
      <c r="A181" s="101" t="str">
        <f>'Data Vlaue (Cr)'!C176</f>
        <v>SBICARD</v>
      </c>
      <c r="B181" s="50">
        <f>VLOOKUP($A181,'Data Vlaue (Cr)'!$C:$FB,8)</f>
        <v>885.6</v>
      </c>
      <c r="C181" s="50">
        <f>VLOOKUP($A181,'Data Vlaue (Cr)'!$C:$FB,11)*100</f>
        <v>-1.77</v>
      </c>
      <c r="D181" s="50">
        <f>VLOOKUP($A181,'Data Vlaue (Cr)'!$C:$FB,143)</f>
        <v>1213.1099999999999</v>
      </c>
      <c r="E181" s="50">
        <f>VLOOKUP($A181,'Data Vlaue (Cr)'!$C:$FB,144)</f>
        <v>2488.46</v>
      </c>
      <c r="F181" s="50">
        <f>VLOOKUP($A181,'Data Vlaue (Cr)'!$C:$FB,146)*100</f>
        <v>-51.249999999999993</v>
      </c>
      <c r="G181" s="49">
        <f>VLOOKUP($A181,'Data Vlaue (Cr)'!$C:$FB,43)</f>
        <v>239</v>
      </c>
      <c r="H181" s="49">
        <f>VLOOKUP($A181,'Data Vlaue (Cr)'!$C:$FB,44)</f>
        <v>547</v>
      </c>
      <c r="I181" s="49">
        <f>VLOOKUP($A181,'Data Vlaue (Cr)'!$C:$FB,46)*100</f>
        <v>-56.230000000000004</v>
      </c>
      <c r="J181" s="51">
        <f>VLOOKUP($A181,'Data Vlaue (Cr)'!$C:$FB,59)</f>
        <v>636</v>
      </c>
      <c r="K181" s="51">
        <f>VLOOKUP($A181,'Data Vlaue (Cr)'!$C:$FB,60)</f>
        <v>1348</v>
      </c>
      <c r="L181" s="51">
        <f>VLOOKUP($A181,'Data Vlaue (Cr)'!$C:$FB,62)*100</f>
        <v>-52.83</v>
      </c>
      <c r="M181" s="51">
        <f>VLOOKUP($A181,'Data Vlaue (Cr)'!$C:$FB,63)</f>
        <v>308</v>
      </c>
      <c r="N181" s="51">
        <f>VLOOKUP($A181,'Data Vlaue (Cr)'!$C:$FB,64)</f>
        <v>533</v>
      </c>
      <c r="O181" s="51">
        <f>VLOOKUP($A181,'Data Vlaue (Cr)'!$C:$FB,66)*100</f>
        <v>-42.26</v>
      </c>
    </row>
    <row r="182" spans="1:15" x14ac:dyDescent="0.25">
      <c r="A182" s="101" t="str">
        <f>'Data Vlaue (Cr)'!C177</f>
        <v>SBILIFE</v>
      </c>
      <c r="B182" s="50">
        <f>VLOOKUP($A182,'Data Vlaue (Cr)'!$C:$FB,8)</f>
        <v>2070.8000000000002</v>
      </c>
      <c r="C182" s="50">
        <f>VLOOKUP($A182,'Data Vlaue (Cr)'!$C:$FB,11)*100</f>
        <v>-1.1900000000000002</v>
      </c>
      <c r="D182" s="50">
        <f>VLOOKUP($A182,'Data Vlaue (Cr)'!$C:$FB,143)</f>
        <v>2066.4699999999998</v>
      </c>
      <c r="E182" s="50">
        <f>VLOOKUP($A182,'Data Vlaue (Cr)'!$C:$FB,144)</f>
        <v>1670.3</v>
      </c>
      <c r="F182" s="50">
        <f>VLOOKUP($A182,'Data Vlaue (Cr)'!$C:$FB,146)*100</f>
        <v>23.72</v>
      </c>
      <c r="G182" s="49">
        <f>VLOOKUP($A182,'Data Vlaue (Cr)'!$C:$FB,43)</f>
        <v>328</v>
      </c>
      <c r="H182" s="49">
        <f>VLOOKUP($A182,'Data Vlaue (Cr)'!$C:$FB,44)</f>
        <v>211</v>
      </c>
      <c r="I182" s="49">
        <f>VLOOKUP($A182,'Data Vlaue (Cr)'!$C:$FB,46)*100</f>
        <v>55.7</v>
      </c>
      <c r="J182" s="51">
        <f>VLOOKUP($A182,'Data Vlaue (Cr)'!$C:$FB,59)</f>
        <v>1232</v>
      </c>
      <c r="K182" s="51">
        <f>VLOOKUP($A182,'Data Vlaue (Cr)'!$C:$FB,60)</f>
        <v>1042</v>
      </c>
      <c r="L182" s="51">
        <f>VLOOKUP($A182,'Data Vlaue (Cr)'!$C:$FB,62)*100</f>
        <v>18.23</v>
      </c>
      <c r="M182" s="51">
        <f>VLOOKUP($A182,'Data Vlaue (Cr)'!$C:$FB,63)</f>
        <v>455</v>
      </c>
      <c r="N182" s="51">
        <f>VLOOKUP($A182,'Data Vlaue (Cr)'!$C:$FB,64)</f>
        <v>374</v>
      </c>
      <c r="O182" s="51">
        <f>VLOOKUP($A182,'Data Vlaue (Cr)'!$C:$FB,66)*100</f>
        <v>21.85</v>
      </c>
    </row>
    <row r="183" spans="1:15" x14ac:dyDescent="0.25">
      <c r="A183" s="101" t="str">
        <f>'Data Vlaue (Cr)'!C178</f>
        <v>SBIN</v>
      </c>
      <c r="B183" s="50">
        <f>VLOOKUP($A183,'Data Vlaue (Cr)'!$C:$FB,8)</f>
        <v>1007.15</v>
      </c>
      <c r="C183" s="50">
        <f>VLOOKUP($A183,'Data Vlaue (Cr)'!$C:$FB,11)*100</f>
        <v>-1.1499999999999999</v>
      </c>
      <c r="D183" s="50">
        <f>VLOOKUP($A183,'Data Vlaue (Cr)'!$C:$FB,143)</f>
        <v>13280.85</v>
      </c>
      <c r="E183" s="50">
        <f>VLOOKUP($A183,'Data Vlaue (Cr)'!$C:$FB,144)</f>
        <v>17533.95</v>
      </c>
      <c r="F183" s="50">
        <f>VLOOKUP($A183,'Data Vlaue (Cr)'!$C:$FB,146)*100</f>
        <v>-24.26</v>
      </c>
      <c r="G183" s="49">
        <f>VLOOKUP($A183,'Data Vlaue (Cr)'!$C:$FB,43)</f>
        <v>1439</v>
      </c>
      <c r="H183" s="49">
        <f>VLOOKUP($A183,'Data Vlaue (Cr)'!$C:$FB,44)</f>
        <v>1539</v>
      </c>
      <c r="I183" s="49">
        <f>VLOOKUP($A183,'Data Vlaue (Cr)'!$C:$FB,46)*100</f>
        <v>-6.49</v>
      </c>
      <c r="J183" s="51">
        <f>VLOOKUP($A183,'Data Vlaue (Cr)'!$C:$FB,59)</f>
        <v>6564</v>
      </c>
      <c r="K183" s="51">
        <f>VLOOKUP($A183,'Data Vlaue (Cr)'!$C:$FB,60)</f>
        <v>9840</v>
      </c>
      <c r="L183" s="51">
        <f>VLOOKUP($A183,'Data Vlaue (Cr)'!$C:$FB,62)*100</f>
        <v>-33.300000000000004</v>
      </c>
      <c r="M183" s="51">
        <f>VLOOKUP($A183,'Data Vlaue (Cr)'!$C:$FB,63)</f>
        <v>5070</v>
      </c>
      <c r="N183" s="51">
        <f>VLOOKUP($A183,'Data Vlaue (Cr)'!$C:$FB,64)</f>
        <v>5757</v>
      </c>
      <c r="O183" s="51">
        <f>VLOOKUP($A183,'Data Vlaue (Cr)'!$C:$FB,66)*100</f>
        <v>-11.93</v>
      </c>
    </row>
    <row r="184" spans="1:15" x14ac:dyDescent="0.25">
      <c r="A184" s="101" t="str">
        <f>'Data Vlaue (Cr)'!C179</f>
        <v>SHREECEM</v>
      </c>
      <c r="B184" s="50">
        <f>VLOOKUP($A184,'Data Vlaue (Cr)'!$C:$FB,8)</f>
        <v>27320</v>
      </c>
      <c r="C184" s="50">
        <f>VLOOKUP($A184,'Data Vlaue (Cr)'!$C:$FB,11)*100</f>
        <v>-1.26</v>
      </c>
      <c r="D184" s="50">
        <f>VLOOKUP($A184,'Data Vlaue (Cr)'!$C:$FB,143)</f>
        <v>332.69</v>
      </c>
      <c r="E184" s="50">
        <f>VLOOKUP($A184,'Data Vlaue (Cr)'!$C:$FB,144)</f>
        <v>1163.46</v>
      </c>
      <c r="F184" s="50">
        <f>VLOOKUP($A184,'Data Vlaue (Cr)'!$C:$FB,146)*100</f>
        <v>-71.41</v>
      </c>
      <c r="G184" s="49">
        <f>VLOOKUP($A184,'Data Vlaue (Cr)'!$C:$FB,43)</f>
        <v>91</v>
      </c>
      <c r="H184" s="49">
        <f>VLOOKUP($A184,'Data Vlaue (Cr)'!$C:$FB,44)</f>
        <v>258</v>
      </c>
      <c r="I184" s="49">
        <f>VLOOKUP($A184,'Data Vlaue (Cr)'!$C:$FB,46)*100</f>
        <v>-64.63</v>
      </c>
      <c r="J184" s="51">
        <f>VLOOKUP($A184,'Data Vlaue (Cr)'!$C:$FB,59)</f>
        <v>134</v>
      </c>
      <c r="K184" s="51">
        <f>VLOOKUP($A184,'Data Vlaue (Cr)'!$C:$FB,60)</f>
        <v>607</v>
      </c>
      <c r="L184" s="51">
        <f>VLOOKUP($A184,'Data Vlaue (Cr)'!$C:$FB,62)*100</f>
        <v>-77.959999999999994</v>
      </c>
      <c r="M184" s="51">
        <f>VLOOKUP($A184,'Data Vlaue (Cr)'!$C:$FB,63)</f>
        <v>102</v>
      </c>
      <c r="N184" s="51">
        <f>VLOOKUP($A184,'Data Vlaue (Cr)'!$C:$FB,64)</f>
        <v>258</v>
      </c>
      <c r="O184" s="51">
        <f>VLOOKUP($A184,'Data Vlaue (Cr)'!$C:$FB,66)*100</f>
        <v>-60.4</v>
      </c>
    </row>
    <row r="185" spans="1:15" x14ac:dyDescent="0.25">
      <c r="A185" s="101" t="str">
        <f>'Data Vlaue (Cr)'!C180</f>
        <v>SHRIRAMFIN</v>
      </c>
      <c r="B185" s="50">
        <f>VLOOKUP($A185,'Data Vlaue (Cr)'!$C:$FB,8)</f>
        <v>995.85</v>
      </c>
      <c r="C185" s="50">
        <f>VLOOKUP($A185,'Data Vlaue (Cr)'!$C:$FB,11)*100</f>
        <v>-0.67999999999999994</v>
      </c>
      <c r="D185" s="50">
        <f>VLOOKUP($A185,'Data Vlaue (Cr)'!$C:$FB,143)</f>
        <v>2066.62</v>
      </c>
      <c r="E185" s="50">
        <f>VLOOKUP($A185,'Data Vlaue (Cr)'!$C:$FB,144)</f>
        <v>2577.64</v>
      </c>
      <c r="F185" s="50">
        <f>VLOOKUP($A185,'Data Vlaue (Cr)'!$C:$FB,146)*100</f>
        <v>-19.830000000000002</v>
      </c>
      <c r="G185" s="49">
        <f>VLOOKUP($A185,'Data Vlaue (Cr)'!$C:$FB,43)</f>
        <v>427</v>
      </c>
      <c r="H185" s="49">
        <f>VLOOKUP($A185,'Data Vlaue (Cr)'!$C:$FB,44)</f>
        <v>568</v>
      </c>
      <c r="I185" s="49">
        <f>VLOOKUP($A185,'Data Vlaue (Cr)'!$C:$FB,46)*100</f>
        <v>-24.72</v>
      </c>
      <c r="J185" s="51">
        <f>VLOOKUP($A185,'Data Vlaue (Cr)'!$C:$FB,59)</f>
        <v>994</v>
      </c>
      <c r="K185" s="51">
        <f>VLOOKUP($A185,'Data Vlaue (Cr)'!$C:$FB,60)</f>
        <v>1211</v>
      </c>
      <c r="L185" s="51">
        <f>VLOOKUP($A185,'Data Vlaue (Cr)'!$C:$FB,62)*100</f>
        <v>-17.91</v>
      </c>
      <c r="M185" s="51">
        <f>VLOOKUP($A185,'Data Vlaue (Cr)'!$C:$FB,63)</f>
        <v>603</v>
      </c>
      <c r="N185" s="51">
        <f>VLOOKUP($A185,'Data Vlaue (Cr)'!$C:$FB,64)</f>
        <v>744</v>
      </c>
      <c r="O185" s="51">
        <f>VLOOKUP($A185,'Data Vlaue (Cr)'!$C:$FB,66)*100</f>
        <v>-18.98</v>
      </c>
    </row>
    <row r="186" spans="1:15" x14ac:dyDescent="0.25">
      <c r="A186" s="101" t="str">
        <f>'Data Vlaue (Cr)'!C181</f>
        <v>SIEMENS</v>
      </c>
      <c r="B186" s="50">
        <f>VLOOKUP($A186,'Data Vlaue (Cr)'!$C:$FB,8)</f>
        <v>3133.6</v>
      </c>
      <c r="C186" s="50">
        <f>VLOOKUP($A186,'Data Vlaue (Cr)'!$C:$FB,11)*100</f>
        <v>0.18</v>
      </c>
      <c r="D186" s="50">
        <f>VLOOKUP($A186,'Data Vlaue (Cr)'!$C:$FB,143)</f>
        <v>850.73</v>
      </c>
      <c r="E186" s="50">
        <f>VLOOKUP($A186,'Data Vlaue (Cr)'!$C:$FB,144)</f>
        <v>982.15</v>
      </c>
      <c r="F186" s="50">
        <f>VLOOKUP($A186,'Data Vlaue (Cr)'!$C:$FB,146)*100</f>
        <v>-13.38</v>
      </c>
      <c r="G186" s="49">
        <f>VLOOKUP($A186,'Data Vlaue (Cr)'!$C:$FB,43)</f>
        <v>105</v>
      </c>
      <c r="H186" s="49">
        <f>VLOOKUP($A186,'Data Vlaue (Cr)'!$C:$FB,44)</f>
        <v>149</v>
      </c>
      <c r="I186" s="49">
        <f>VLOOKUP($A186,'Data Vlaue (Cr)'!$C:$FB,46)*100</f>
        <v>-29.49</v>
      </c>
      <c r="J186" s="51">
        <f>VLOOKUP($A186,'Data Vlaue (Cr)'!$C:$FB,59)</f>
        <v>523</v>
      </c>
      <c r="K186" s="51">
        <f>VLOOKUP($A186,'Data Vlaue (Cr)'!$C:$FB,60)</f>
        <v>582</v>
      </c>
      <c r="L186" s="51">
        <f>VLOOKUP($A186,'Data Vlaue (Cr)'!$C:$FB,62)*100</f>
        <v>-10.100000000000001</v>
      </c>
      <c r="M186" s="51">
        <f>VLOOKUP($A186,'Data Vlaue (Cr)'!$C:$FB,63)</f>
        <v>210</v>
      </c>
      <c r="N186" s="51">
        <f>VLOOKUP($A186,'Data Vlaue (Cr)'!$C:$FB,64)</f>
        <v>241</v>
      </c>
      <c r="O186" s="51">
        <f>VLOOKUP($A186,'Data Vlaue (Cr)'!$C:$FB,66)*100</f>
        <v>-13.020000000000001</v>
      </c>
    </row>
    <row r="187" spans="1:15" x14ac:dyDescent="0.25">
      <c r="A187" s="101" t="str">
        <f>'Data Vlaue (Cr)'!C182</f>
        <v>SOLARINDS</v>
      </c>
      <c r="B187" s="50">
        <f>VLOOKUP($A187,'Data Vlaue (Cr)'!$C:$FB,8)</f>
        <v>13328</v>
      </c>
      <c r="C187" s="50">
        <f>VLOOKUP($A187,'Data Vlaue (Cr)'!$C:$FB,11)*100</f>
        <v>3.6700000000000004</v>
      </c>
      <c r="D187" s="50">
        <f>VLOOKUP($A187,'Data Vlaue (Cr)'!$C:$FB,143)</f>
        <v>4293.1400000000003</v>
      </c>
      <c r="E187" s="50">
        <f>VLOOKUP($A187,'Data Vlaue (Cr)'!$C:$FB,144)</f>
        <v>971.16</v>
      </c>
      <c r="F187" s="50">
        <f>VLOOKUP($A187,'Data Vlaue (Cr)'!$C:$FB,146)*100</f>
        <v>342.06</v>
      </c>
      <c r="G187" s="49">
        <f>VLOOKUP($A187,'Data Vlaue (Cr)'!$C:$FB,43)</f>
        <v>394</v>
      </c>
      <c r="H187" s="49">
        <f>VLOOKUP($A187,'Data Vlaue (Cr)'!$C:$FB,44)</f>
        <v>134</v>
      </c>
      <c r="I187" s="49">
        <f>VLOOKUP($A187,'Data Vlaue (Cr)'!$C:$FB,46)*100</f>
        <v>192.98</v>
      </c>
      <c r="J187" s="51">
        <f>VLOOKUP($A187,'Data Vlaue (Cr)'!$C:$FB,59)</f>
        <v>3057</v>
      </c>
      <c r="K187" s="51">
        <f>VLOOKUP($A187,'Data Vlaue (Cr)'!$C:$FB,60)</f>
        <v>625</v>
      </c>
      <c r="L187" s="51">
        <f>VLOOKUP($A187,'Data Vlaue (Cr)'!$C:$FB,62)*100</f>
        <v>389.43</v>
      </c>
      <c r="M187" s="51">
        <f>VLOOKUP($A187,'Data Vlaue (Cr)'!$C:$FB,63)</f>
        <v>732</v>
      </c>
      <c r="N187" s="51">
        <f>VLOOKUP($A187,'Data Vlaue (Cr)'!$C:$FB,64)</f>
        <v>230</v>
      </c>
      <c r="O187" s="51">
        <f>VLOOKUP($A187,'Data Vlaue (Cr)'!$C:$FB,66)*100</f>
        <v>218.92000000000002</v>
      </c>
    </row>
    <row r="188" spans="1:15" x14ac:dyDescent="0.25">
      <c r="A188" s="101" t="str">
        <f>'Data Vlaue (Cr)'!C183</f>
        <v>SONACOMS</v>
      </c>
      <c r="B188" s="50">
        <f>VLOOKUP($A188,'Data Vlaue (Cr)'!$C:$FB,8)</f>
        <v>473.8</v>
      </c>
      <c r="C188" s="50">
        <f>VLOOKUP($A188,'Data Vlaue (Cr)'!$C:$FB,11)*100</f>
        <v>-0.55999999999999994</v>
      </c>
      <c r="D188" s="50">
        <f>VLOOKUP($A188,'Data Vlaue (Cr)'!$C:$FB,143)</f>
        <v>235.75</v>
      </c>
      <c r="E188" s="50">
        <f>VLOOKUP($A188,'Data Vlaue (Cr)'!$C:$FB,144)</f>
        <v>395.63</v>
      </c>
      <c r="F188" s="50">
        <f>VLOOKUP($A188,'Data Vlaue (Cr)'!$C:$FB,146)*100</f>
        <v>-40.410000000000004</v>
      </c>
      <c r="G188" s="49">
        <f>VLOOKUP($A188,'Data Vlaue (Cr)'!$C:$FB,43)</f>
        <v>70</v>
      </c>
      <c r="H188" s="49">
        <f>VLOOKUP($A188,'Data Vlaue (Cr)'!$C:$FB,44)</f>
        <v>121</v>
      </c>
      <c r="I188" s="49">
        <f>VLOOKUP($A188,'Data Vlaue (Cr)'!$C:$FB,46)*100</f>
        <v>-41.6</v>
      </c>
      <c r="J188" s="51">
        <f>VLOOKUP($A188,'Data Vlaue (Cr)'!$C:$FB,59)</f>
        <v>102</v>
      </c>
      <c r="K188" s="51">
        <f>VLOOKUP($A188,'Data Vlaue (Cr)'!$C:$FB,60)</f>
        <v>171</v>
      </c>
      <c r="L188" s="51">
        <f>VLOOKUP($A188,'Data Vlaue (Cr)'!$C:$FB,62)*100</f>
        <v>-40.58</v>
      </c>
      <c r="M188" s="51">
        <f>VLOOKUP($A188,'Data Vlaue (Cr)'!$C:$FB,63)</f>
        <v>57</v>
      </c>
      <c r="N188" s="51">
        <f>VLOOKUP($A188,'Data Vlaue (Cr)'!$C:$FB,64)</f>
        <v>95</v>
      </c>
      <c r="O188" s="51">
        <f>VLOOKUP($A188,'Data Vlaue (Cr)'!$C:$FB,66)*100</f>
        <v>-39.47</v>
      </c>
    </row>
    <row r="189" spans="1:15" x14ac:dyDescent="0.25">
      <c r="A189" s="101" t="str">
        <f>'Data Vlaue (Cr)'!C215</f>
        <v>ZYDUSLIFE</v>
      </c>
      <c r="B189" s="50">
        <f>VLOOKUP($A189,'Data Vlaue (Cr)'!$C:$FB,8)</f>
        <v>927.55</v>
      </c>
      <c r="C189" s="50">
        <f>VLOOKUP($A189,'Data Vlaue (Cr)'!$C:$FB,11)*100</f>
        <v>-0.38</v>
      </c>
      <c r="D189" s="50">
        <f>VLOOKUP($A189,'Data Vlaue (Cr)'!$C:$FB,143)</f>
        <v>1156.07</v>
      </c>
      <c r="E189" s="50">
        <f>VLOOKUP($A189,'Data Vlaue (Cr)'!$C:$FB,144)</f>
        <v>900.12</v>
      </c>
      <c r="F189" s="50">
        <f>VLOOKUP($A189,'Data Vlaue (Cr)'!$C:$FB,146)*100</f>
        <v>28.43</v>
      </c>
      <c r="G189" s="49">
        <f>VLOOKUP($A189,'Data Vlaue (Cr)'!$C:$FB,43)</f>
        <v>222</v>
      </c>
      <c r="H189" s="49">
        <f>VLOOKUP($A189,'Data Vlaue (Cr)'!$C:$FB,44)</f>
        <v>149</v>
      </c>
      <c r="I189" s="49">
        <f>VLOOKUP($A189,'Data Vlaue (Cr)'!$C:$FB,46)*100</f>
        <v>48.66</v>
      </c>
      <c r="J189" s="51">
        <f>VLOOKUP($A189,'Data Vlaue (Cr)'!$C:$FB,59)</f>
        <v>627</v>
      </c>
      <c r="K189" s="51">
        <f>VLOOKUP($A189,'Data Vlaue (Cr)'!$C:$FB,60)</f>
        <v>607</v>
      </c>
      <c r="L189" s="51">
        <f>VLOOKUP($A189,'Data Vlaue (Cr)'!$C:$FB,62)*100</f>
        <v>3.27</v>
      </c>
      <c r="M189" s="51">
        <f>VLOOKUP($A189,'Data Vlaue (Cr)'!$C:$FB,63)</f>
        <v>288</v>
      </c>
      <c r="N189" s="51">
        <f>VLOOKUP($A189,'Data Vlaue (Cr)'!$C:$FB,64)</f>
        <v>125</v>
      </c>
      <c r="O189" s="51">
        <f>VLOOKUP($A189,'Data Vlaue (Cr)'!$C:$FB,66)*100</f>
        <v>130.78</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12404884.599999996</v>
      </c>
      <c r="E212" s="131">
        <f>SUM(E7:E211)</f>
        <v>58234067.860000007</v>
      </c>
      <c r="F212" s="132">
        <f>(D212-E212)/E212</f>
        <v>-0.78698234459899896</v>
      </c>
      <c r="G212" s="131">
        <f>SUM(G7:G211)</f>
        <v>93243</v>
      </c>
      <c r="H212" s="131">
        <f>SUM(H7:H211)</f>
        <v>99811</v>
      </c>
      <c r="I212" s="132">
        <f>(G212-H212)/H212</f>
        <v>-6.5804370259791009E-2</v>
      </c>
      <c r="J212" s="131">
        <f>SUM(J7:J211)</f>
        <v>6278398</v>
      </c>
      <c r="K212" s="131">
        <f>SUM(K7:K211)</f>
        <v>28287052</v>
      </c>
      <c r="L212" s="132">
        <f>(J212-K212)/K212</f>
        <v>-0.77804693115422563</v>
      </c>
      <c r="M212" s="131">
        <f>SUM(M7:M211)</f>
        <v>6019666</v>
      </c>
      <c r="N212" s="131">
        <f>SUM(N7:N211)</f>
        <v>29875167</v>
      </c>
      <c r="O212" s="132">
        <f>(M212-N212)/N212</f>
        <v>-0.79850603010855137</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85"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46029</v>
      </c>
      <c r="C6" s="34" t="s">
        <v>328</v>
      </c>
      <c r="D6" s="21">
        <f>B6</f>
        <v>46029</v>
      </c>
      <c r="E6" s="34" t="s">
        <v>322</v>
      </c>
      <c r="F6" s="34" t="s">
        <v>328</v>
      </c>
      <c r="G6" s="21">
        <f>D6</f>
        <v>46029</v>
      </c>
      <c r="H6" s="34" t="s">
        <v>322</v>
      </c>
      <c r="I6" s="34" t="s">
        <v>328</v>
      </c>
      <c r="J6" s="21">
        <f>D6</f>
        <v>46029</v>
      </c>
      <c r="K6" s="34" t="s">
        <v>322</v>
      </c>
      <c r="L6" s="34" t="s">
        <v>328</v>
      </c>
      <c r="M6" s="21">
        <f>D6</f>
        <v>46029</v>
      </c>
      <c r="N6" s="34" t="s">
        <v>322</v>
      </c>
      <c r="O6" s="34" t="s">
        <v>328</v>
      </c>
    </row>
    <row r="7" spans="1:15" x14ac:dyDescent="0.25">
      <c r="A7" s="101" t="str">
        <f>'Data shares'!C2</f>
        <v>360ONE</v>
      </c>
      <c r="B7" s="50">
        <f>VLOOKUP($A7,'Data shares'!$C:$FB,7)</f>
        <v>1191.8</v>
      </c>
      <c r="C7" s="50">
        <f>VLOOKUP($A7,'Data shares'!$C:$FB,10)*100</f>
        <v>0.4</v>
      </c>
      <c r="D7" s="49">
        <f>VLOOKUP($A7,'Data shares'!$C:$FB,66)</f>
        <v>7300000</v>
      </c>
      <c r="E7" s="49">
        <f>VLOOKUP($A7,'Data shares'!$C:$FB,67)</f>
        <v>3264500</v>
      </c>
      <c r="F7" s="50">
        <f>VLOOKUP($A7,'Data shares'!$C:$FB,69)*100</f>
        <v>123.61999999999999</v>
      </c>
      <c r="G7" s="49">
        <f>VLOOKUP($A7,'Data shares'!$C:$FB,42)</f>
        <v>2206000</v>
      </c>
      <c r="H7" s="49">
        <f>VLOOKUP($A7,'Data shares'!$C:$FB,43)</f>
        <v>639500</v>
      </c>
      <c r="I7" s="50">
        <f>VLOOKUP($A7,'Data shares'!$C:$FB,45)*100</f>
        <v>244.96000000000004</v>
      </c>
      <c r="J7" s="49">
        <f>VLOOKUP($A7,'Data shares'!$C:$FB,58)</f>
        <v>3200000</v>
      </c>
      <c r="K7" s="49">
        <f>VLOOKUP($A7,'Data shares'!$C:$FB,59)</f>
        <v>1970000</v>
      </c>
      <c r="L7" s="50">
        <f>VLOOKUP($A7,'Data shares'!$C:$FB,61)*100</f>
        <v>62.44</v>
      </c>
      <c r="M7" s="49">
        <f>VLOOKUP($A7,'Data shares'!$C:$FB,62)</f>
        <v>1894000</v>
      </c>
      <c r="N7" s="49">
        <f>VLOOKUP($A7,'Data shares'!$C:$FB,63)</f>
        <v>655000</v>
      </c>
      <c r="O7" s="140">
        <f>VLOOKUP($A7,'Data shares'!$C:$FB,65)*100</f>
        <v>189.16</v>
      </c>
    </row>
    <row r="8" spans="1:15" x14ac:dyDescent="0.25">
      <c r="A8" s="101" t="str">
        <f>'Data shares'!C3</f>
        <v>ABB</v>
      </c>
      <c r="B8" s="50">
        <f>VLOOKUP($A8,'Data shares'!$C:$FB,7)</f>
        <v>5299</v>
      </c>
      <c r="C8" s="50">
        <f>VLOOKUP($A8,'Data shares'!$C:$FB,10)*100</f>
        <v>1.43</v>
      </c>
      <c r="D8" s="49">
        <f>VLOOKUP($A8,'Data shares'!$C:$FB,66)</f>
        <v>2805000</v>
      </c>
      <c r="E8" s="49">
        <f>VLOOKUP($A8,'Data shares'!$C:$FB,67)</f>
        <v>1624125</v>
      </c>
      <c r="F8" s="50">
        <f>VLOOKUP($A8,'Data shares'!$C:$FB,69)*100</f>
        <v>72.709999999999994</v>
      </c>
      <c r="G8" s="49">
        <f>VLOOKUP($A8,'Data shares'!$C:$FB,42)</f>
        <v>443500</v>
      </c>
      <c r="H8" s="49">
        <f>VLOOKUP($A8,'Data shares'!$C:$FB,43)</f>
        <v>290125</v>
      </c>
      <c r="I8" s="50">
        <f>VLOOKUP($A8,'Data shares'!$C:$FB,45)*100</f>
        <v>52.87</v>
      </c>
      <c r="J8" s="49">
        <f>VLOOKUP($A8,'Data shares'!$C:$FB,58)</f>
        <v>1934375</v>
      </c>
      <c r="K8" s="49">
        <f>VLOOKUP($A8,'Data shares'!$C:$FB,59)</f>
        <v>1111375</v>
      </c>
      <c r="L8" s="50">
        <f>VLOOKUP($A8,'Data shares'!$C:$FB,61)*100</f>
        <v>74.050000000000011</v>
      </c>
      <c r="M8" s="49">
        <f>VLOOKUP($A8,'Data shares'!$C:$FB,62)</f>
        <v>427125</v>
      </c>
      <c r="N8" s="49">
        <f>VLOOKUP($A8,'Data shares'!$C:$FB,63)</f>
        <v>222625</v>
      </c>
      <c r="O8" s="140">
        <f>VLOOKUP($A8,'Data shares'!$C:$FB,65)*100</f>
        <v>91.86</v>
      </c>
    </row>
    <row r="9" spans="1:15" x14ac:dyDescent="0.25">
      <c r="A9" s="101" t="str">
        <f>'Data shares'!C4</f>
        <v>ABCAPITAL</v>
      </c>
      <c r="B9" s="50">
        <f>VLOOKUP($A9,'Data shares'!$C:$FB,7)</f>
        <v>361.1</v>
      </c>
      <c r="C9" s="50">
        <f>VLOOKUP($A9,'Data shares'!$C:$FB,10)*100</f>
        <v>0.12</v>
      </c>
      <c r="D9" s="49">
        <f>VLOOKUP($A9,'Data shares'!$C:$FB,66)</f>
        <v>51394900</v>
      </c>
      <c r="E9" s="49">
        <f>VLOOKUP($A9,'Data shares'!$C:$FB,67)</f>
        <v>62359600</v>
      </c>
      <c r="F9" s="50">
        <f>VLOOKUP($A9,'Data shares'!$C:$FB,69)*100</f>
        <v>-17.580000000000002</v>
      </c>
      <c r="G9" s="49">
        <f>VLOOKUP($A9,'Data shares'!$C:$FB,42)</f>
        <v>11352200</v>
      </c>
      <c r="H9" s="49">
        <f>VLOOKUP($A9,'Data shares'!$C:$FB,43)</f>
        <v>10983300</v>
      </c>
      <c r="I9" s="50">
        <f>VLOOKUP($A9,'Data shares'!$C:$FB,45)*100</f>
        <v>3.36</v>
      </c>
      <c r="J9" s="49">
        <f>VLOOKUP($A9,'Data shares'!$C:$FB,58)</f>
        <v>30085500</v>
      </c>
      <c r="K9" s="49">
        <f>VLOOKUP($A9,'Data shares'!$C:$FB,59)</f>
        <v>40594500</v>
      </c>
      <c r="L9" s="50">
        <f>VLOOKUP($A9,'Data shares'!$C:$FB,61)*100</f>
        <v>-25.89</v>
      </c>
      <c r="M9" s="49">
        <f>VLOOKUP($A9,'Data shares'!$C:$FB,62)</f>
        <v>9957200</v>
      </c>
      <c r="N9" s="49">
        <f>VLOOKUP($A9,'Data shares'!$C:$FB,63)</f>
        <v>10781800</v>
      </c>
      <c r="O9" s="140">
        <f>VLOOKUP($A9,'Data shares'!$C:$FB,65)*100</f>
        <v>-7.6499999999999995</v>
      </c>
    </row>
    <row r="10" spans="1:15" x14ac:dyDescent="0.25">
      <c r="A10" s="101" t="str">
        <f>'Data shares'!C5</f>
        <v>ADANIENSOL</v>
      </c>
      <c r="B10" s="50">
        <f>VLOOKUP($A10,'Data shares'!$C:$FB,7)</f>
        <v>1033.5</v>
      </c>
      <c r="C10" s="50">
        <f>VLOOKUP($A10,'Data shares'!$C:$FB,10)*100</f>
        <v>-1.02</v>
      </c>
      <c r="D10" s="49">
        <f>VLOOKUP($A10,'Data shares'!$C:$FB,66)</f>
        <v>3808350</v>
      </c>
      <c r="E10" s="49">
        <f>VLOOKUP($A10,'Data shares'!$C:$FB,67)</f>
        <v>5075325</v>
      </c>
      <c r="F10" s="50">
        <f>VLOOKUP($A10,'Data shares'!$C:$FB,69)*100</f>
        <v>-24.959999999999997</v>
      </c>
      <c r="G10" s="49">
        <f>VLOOKUP($A10,'Data shares'!$C:$FB,42)</f>
        <v>864675</v>
      </c>
      <c r="H10" s="49">
        <f>VLOOKUP($A10,'Data shares'!$C:$FB,43)</f>
        <v>1453950</v>
      </c>
      <c r="I10" s="50">
        <f>VLOOKUP($A10,'Data shares'!$C:$FB,45)*100</f>
        <v>-40.53</v>
      </c>
      <c r="J10" s="49">
        <f>VLOOKUP($A10,'Data shares'!$C:$FB,58)</f>
        <v>2384100</v>
      </c>
      <c r="K10" s="49">
        <f>VLOOKUP($A10,'Data shares'!$C:$FB,59)</f>
        <v>2337525</v>
      </c>
      <c r="L10" s="50">
        <f>VLOOKUP($A10,'Data shares'!$C:$FB,61)*100</f>
        <v>1.9900000000000002</v>
      </c>
      <c r="M10" s="49">
        <f>VLOOKUP($A10,'Data shares'!$C:$FB,62)</f>
        <v>559575</v>
      </c>
      <c r="N10" s="49">
        <f>VLOOKUP($A10,'Data shares'!$C:$FB,63)</f>
        <v>1283850</v>
      </c>
      <c r="O10" s="140">
        <f>VLOOKUP($A10,'Data shares'!$C:$FB,65)*100</f>
        <v>-56.410000000000004</v>
      </c>
    </row>
    <row r="11" spans="1:15" x14ac:dyDescent="0.25">
      <c r="A11" s="101" t="str">
        <f>'Data shares'!C6</f>
        <v>ADANIENT</v>
      </c>
      <c r="B11" s="50">
        <f>VLOOKUP($A11,'Data shares'!$C:$FB,7)</f>
        <v>2274.1</v>
      </c>
      <c r="C11" s="50">
        <f>VLOOKUP($A11,'Data shares'!$C:$FB,10)*100</f>
        <v>0.66</v>
      </c>
      <c r="D11" s="49">
        <f>VLOOKUP($A11,'Data shares'!$C:$FB,66)</f>
        <v>9896034</v>
      </c>
      <c r="E11" s="49">
        <f>VLOOKUP($A11,'Data shares'!$C:$FB,67)</f>
        <v>10064439</v>
      </c>
      <c r="F11" s="50">
        <f>VLOOKUP($A11,'Data shares'!$C:$FB,69)*100</f>
        <v>-1.67</v>
      </c>
      <c r="G11" s="49">
        <f>VLOOKUP($A11,'Data shares'!$C:$FB,42)</f>
        <v>1733490</v>
      </c>
      <c r="H11" s="49">
        <f>VLOOKUP($A11,'Data shares'!$C:$FB,43)</f>
        <v>1583316</v>
      </c>
      <c r="I11" s="50">
        <f>VLOOKUP($A11,'Data shares'!$C:$FB,45)*100</f>
        <v>9.48</v>
      </c>
      <c r="J11" s="49">
        <f>VLOOKUP($A11,'Data shares'!$C:$FB,58)</f>
        <v>5772738</v>
      </c>
      <c r="K11" s="49">
        <f>VLOOKUP($A11,'Data shares'!$C:$FB,59)</f>
        <v>4840794</v>
      </c>
      <c r="L11" s="50">
        <f>VLOOKUP($A11,'Data shares'!$C:$FB,61)*100</f>
        <v>19.25</v>
      </c>
      <c r="M11" s="49">
        <f>VLOOKUP($A11,'Data shares'!$C:$FB,62)</f>
        <v>2389806</v>
      </c>
      <c r="N11" s="49">
        <f>VLOOKUP($A11,'Data shares'!$C:$FB,63)</f>
        <v>3640329</v>
      </c>
      <c r="O11" s="140">
        <f>VLOOKUP($A11,'Data shares'!$C:$FB,65)*100</f>
        <v>-34.35</v>
      </c>
    </row>
    <row r="12" spans="1:15" x14ac:dyDescent="0.25">
      <c r="A12" s="101" t="str">
        <f>'Data shares'!C7</f>
        <v>ADANIGREEN</v>
      </c>
      <c r="B12" s="50">
        <f>VLOOKUP($A12,'Data shares'!$C:$FB,7)</f>
        <v>1019.2</v>
      </c>
      <c r="C12" s="50">
        <f>VLOOKUP($A12,'Data shares'!$C:$FB,10)*100</f>
        <v>-0.02</v>
      </c>
      <c r="D12" s="49">
        <f>VLOOKUP($A12,'Data shares'!$C:$FB,66)</f>
        <v>5158800</v>
      </c>
      <c r="E12" s="49">
        <f>VLOOKUP($A12,'Data shares'!$C:$FB,67)</f>
        <v>7038600</v>
      </c>
      <c r="F12" s="50">
        <f>VLOOKUP($A12,'Data shares'!$C:$FB,69)*100</f>
        <v>-26.71</v>
      </c>
      <c r="G12" s="49">
        <f>VLOOKUP($A12,'Data shares'!$C:$FB,42)</f>
        <v>1231200</v>
      </c>
      <c r="H12" s="49">
        <f>VLOOKUP($A12,'Data shares'!$C:$FB,43)</f>
        <v>2028000</v>
      </c>
      <c r="I12" s="50">
        <f>VLOOKUP($A12,'Data shares'!$C:$FB,45)*100</f>
        <v>-39.290000000000006</v>
      </c>
      <c r="J12" s="49">
        <f>VLOOKUP($A12,'Data shares'!$C:$FB,58)</f>
        <v>3163200</v>
      </c>
      <c r="K12" s="49">
        <f>VLOOKUP($A12,'Data shares'!$C:$FB,59)</f>
        <v>3741600</v>
      </c>
      <c r="L12" s="50">
        <f>VLOOKUP($A12,'Data shares'!$C:$FB,61)*100</f>
        <v>-15.459999999999999</v>
      </c>
      <c r="M12" s="49">
        <f>VLOOKUP($A12,'Data shares'!$C:$FB,62)</f>
        <v>764400</v>
      </c>
      <c r="N12" s="49">
        <f>VLOOKUP($A12,'Data shares'!$C:$FB,63)</f>
        <v>1269000</v>
      </c>
      <c r="O12" s="140">
        <f>VLOOKUP($A12,'Data shares'!$C:$FB,65)*100</f>
        <v>-39.76</v>
      </c>
    </row>
    <row r="13" spans="1:15" x14ac:dyDescent="0.25">
      <c r="A13" s="101" t="str">
        <f>'Data shares'!C8</f>
        <v>ADANIPORTS</v>
      </c>
      <c r="B13" s="50">
        <f>VLOOKUP($A13,'Data shares'!$C:$FB,7)</f>
        <v>1465.3</v>
      </c>
      <c r="C13" s="50">
        <f>VLOOKUP($A13,'Data shares'!$C:$FB,10)*100</f>
        <v>-0.54</v>
      </c>
      <c r="D13" s="49">
        <f>VLOOKUP($A13,'Data shares'!$C:$FB,66)</f>
        <v>13581675</v>
      </c>
      <c r="E13" s="49">
        <f>VLOOKUP($A13,'Data shares'!$C:$FB,67)</f>
        <v>16491050</v>
      </c>
      <c r="F13" s="50">
        <f>VLOOKUP($A13,'Data shares'!$C:$FB,69)*100</f>
        <v>-17.64</v>
      </c>
      <c r="G13" s="49">
        <f>VLOOKUP($A13,'Data shares'!$C:$FB,42)</f>
        <v>2426775</v>
      </c>
      <c r="H13" s="49">
        <f>VLOOKUP($A13,'Data shares'!$C:$FB,43)</f>
        <v>2478075</v>
      </c>
      <c r="I13" s="50">
        <f>VLOOKUP($A13,'Data shares'!$C:$FB,45)*100</f>
        <v>-2.0699999999999998</v>
      </c>
      <c r="J13" s="49">
        <f>VLOOKUP($A13,'Data shares'!$C:$FB,58)</f>
        <v>7018600</v>
      </c>
      <c r="K13" s="49">
        <f>VLOOKUP($A13,'Data shares'!$C:$FB,59)</f>
        <v>8825500</v>
      </c>
      <c r="L13" s="50">
        <f>VLOOKUP($A13,'Data shares'!$C:$FB,61)*100</f>
        <v>-20.47</v>
      </c>
      <c r="M13" s="49">
        <f>VLOOKUP($A13,'Data shares'!$C:$FB,62)</f>
        <v>4136300</v>
      </c>
      <c r="N13" s="49">
        <f>VLOOKUP($A13,'Data shares'!$C:$FB,63)</f>
        <v>5187475</v>
      </c>
      <c r="O13" s="140">
        <f>VLOOKUP($A13,'Data shares'!$C:$FB,65)*100</f>
        <v>-20.260000000000002</v>
      </c>
    </row>
    <row r="14" spans="1:15" x14ac:dyDescent="0.25">
      <c r="A14" s="101" t="str">
        <f>'Data shares'!C9</f>
        <v>ALKEM</v>
      </c>
      <c r="B14" s="50">
        <f>VLOOKUP($A14,'Data shares'!$C:$FB,7)</f>
        <v>5806.5</v>
      </c>
      <c r="C14" s="50">
        <f>VLOOKUP($A14,'Data shares'!$C:$FB,10)*100</f>
        <v>2.67</v>
      </c>
      <c r="D14" s="49">
        <f>VLOOKUP($A14,'Data shares'!$C:$FB,66)</f>
        <v>2065125</v>
      </c>
      <c r="E14" s="49">
        <f>VLOOKUP($A14,'Data shares'!$C:$FB,67)</f>
        <v>652000</v>
      </c>
      <c r="F14" s="50">
        <f>VLOOKUP($A14,'Data shares'!$C:$FB,69)*100</f>
        <v>216.74</v>
      </c>
      <c r="G14" s="49">
        <f>VLOOKUP($A14,'Data shares'!$C:$FB,42)</f>
        <v>326375</v>
      </c>
      <c r="H14" s="49">
        <f>VLOOKUP($A14,'Data shares'!$C:$FB,43)</f>
        <v>151750</v>
      </c>
      <c r="I14" s="50">
        <f>VLOOKUP($A14,'Data shares'!$C:$FB,45)*100</f>
        <v>115.07000000000001</v>
      </c>
      <c r="J14" s="49">
        <f>VLOOKUP($A14,'Data shares'!$C:$FB,58)</f>
        <v>1487500</v>
      </c>
      <c r="K14" s="49">
        <f>VLOOKUP($A14,'Data shares'!$C:$FB,59)</f>
        <v>413875</v>
      </c>
      <c r="L14" s="50">
        <f>VLOOKUP($A14,'Data shares'!$C:$FB,61)*100</f>
        <v>259.41000000000003</v>
      </c>
      <c r="M14" s="49">
        <f>VLOOKUP($A14,'Data shares'!$C:$FB,62)</f>
        <v>251250</v>
      </c>
      <c r="N14" s="49">
        <f>VLOOKUP($A14,'Data shares'!$C:$FB,63)</f>
        <v>86375</v>
      </c>
      <c r="O14" s="140">
        <f>VLOOKUP($A14,'Data shares'!$C:$FB,65)*100</f>
        <v>190.88</v>
      </c>
    </row>
    <row r="15" spans="1:15" x14ac:dyDescent="0.25">
      <c r="A15" s="101" t="str">
        <f>'Data shares'!C10</f>
        <v>AMBER</v>
      </c>
      <c r="B15" s="50">
        <f>VLOOKUP($A15,'Data shares'!$C:$FB,7)</f>
        <v>6653</v>
      </c>
      <c r="C15" s="50">
        <f>VLOOKUP($A15,'Data shares'!$C:$FB,10)*100</f>
        <v>-0.80999999999999994</v>
      </c>
      <c r="D15" s="49">
        <f>VLOOKUP($A15,'Data shares'!$C:$FB,66)</f>
        <v>642100</v>
      </c>
      <c r="E15" s="49">
        <f>VLOOKUP($A15,'Data shares'!$C:$FB,67)</f>
        <v>1380000</v>
      </c>
      <c r="F15" s="50">
        <f>VLOOKUP($A15,'Data shares'!$C:$FB,69)*100</f>
        <v>-53.47</v>
      </c>
      <c r="G15" s="49">
        <f>VLOOKUP($A15,'Data shares'!$C:$FB,42)</f>
        <v>116800</v>
      </c>
      <c r="H15" s="49">
        <f>VLOOKUP($A15,'Data shares'!$C:$FB,43)</f>
        <v>234900</v>
      </c>
      <c r="I15" s="50">
        <f>VLOOKUP($A15,'Data shares'!$C:$FB,45)*100</f>
        <v>-50.28</v>
      </c>
      <c r="J15" s="49">
        <f>VLOOKUP($A15,'Data shares'!$C:$FB,58)</f>
        <v>353800</v>
      </c>
      <c r="K15" s="49">
        <f>VLOOKUP($A15,'Data shares'!$C:$FB,59)</f>
        <v>612700</v>
      </c>
      <c r="L15" s="50">
        <f>VLOOKUP($A15,'Data shares'!$C:$FB,61)*100</f>
        <v>-42.26</v>
      </c>
      <c r="M15" s="49">
        <f>VLOOKUP($A15,'Data shares'!$C:$FB,62)</f>
        <v>171500</v>
      </c>
      <c r="N15" s="49">
        <f>VLOOKUP($A15,'Data shares'!$C:$FB,63)</f>
        <v>532400</v>
      </c>
      <c r="O15" s="140">
        <f>VLOOKUP($A15,'Data shares'!$C:$FB,65)*100</f>
        <v>-67.789999999999992</v>
      </c>
    </row>
    <row r="16" spans="1:15" x14ac:dyDescent="0.25">
      <c r="A16" s="101" t="str">
        <f>'Data shares'!C11</f>
        <v>AMBUJACEM</v>
      </c>
      <c r="B16" s="50">
        <f>VLOOKUP($A16,'Data shares'!$C:$FB,7)</f>
        <v>562</v>
      </c>
      <c r="C16" s="50">
        <f>VLOOKUP($A16,'Data shares'!$C:$FB,10)*100</f>
        <v>-0.27999999999999997</v>
      </c>
      <c r="D16" s="49">
        <f>VLOOKUP($A16,'Data shares'!$C:$FB,66)</f>
        <v>12508650</v>
      </c>
      <c r="E16" s="49">
        <f>VLOOKUP($A16,'Data shares'!$C:$FB,67)</f>
        <v>16533300</v>
      </c>
      <c r="F16" s="50">
        <f>VLOOKUP($A16,'Data shares'!$C:$FB,69)*100</f>
        <v>-24.34</v>
      </c>
      <c r="G16" s="49">
        <f>VLOOKUP($A16,'Data shares'!$C:$FB,42)</f>
        <v>3974250</v>
      </c>
      <c r="H16" s="49">
        <f>VLOOKUP($A16,'Data shares'!$C:$FB,43)</f>
        <v>5104050</v>
      </c>
      <c r="I16" s="50">
        <f>VLOOKUP($A16,'Data shares'!$C:$FB,45)*100</f>
        <v>-22.14</v>
      </c>
      <c r="J16" s="49">
        <f>VLOOKUP($A16,'Data shares'!$C:$FB,58)</f>
        <v>5864250</v>
      </c>
      <c r="K16" s="49">
        <f>VLOOKUP($A16,'Data shares'!$C:$FB,59)</f>
        <v>6939450</v>
      </c>
      <c r="L16" s="50">
        <f>VLOOKUP($A16,'Data shares'!$C:$FB,61)*100</f>
        <v>-15.49</v>
      </c>
      <c r="M16" s="49">
        <f>VLOOKUP($A16,'Data shares'!$C:$FB,62)</f>
        <v>2670150</v>
      </c>
      <c r="N16" s="49">
        <f>VLOOKUP($A16,'Data shares'!$C:$FB,63)</f>
        <v>4489800</v>
      </c>
      <c r="O16" s="140">
        <f>VLOOKUP($A16,'Data shares'!$C:$FB,65)*100</f>
        <v>-40.53</v>
      </c>
    </row>
    <row r="17" spans="1:15" x14ac:dyDescent="0.25">
      <c r="A17" s="101" t="str">
        <f>'Data shares'!C12</f>
        <v>ANGELONE</v>
      </c>
      <c r="B17" s="50">
        <f>VLOOKUP($A17,'Data shares'!$C:$FB,7)</f>
        <v>2470.6</v>
      </c>
      <c r="C17" s="50">
        <f>VLOOKUP($A17,'Data shares'!$C:$FB,10)*100</f>
        <v>2.46</v>
      </c>
      <c r="D17" s="49">
        <f>VLOOKUP($A17,'Data shares'!$C:$FB,66)</f>
        <v>7481750</v>
      </c>
      <c r="E17" s="49">
        <f>VLOOKUP($A17,'Data shares'!$C:$FB,67)</f>
        <v>6307250</v>
      </c>
      <c r="F17" s="50">
        <f>VLOOKUP($A17,'Data shares'!$C:$FB,69)*100</f>
        <v>18.62</v>
      </c>
      <c r="G17" s="49">
        <f>VLOOKUP($A17,'Data shares'!$C:$FB,42)</f>
        <v>1142000</v>
      </c>
      <c r="H17" s="49">
        <f>VLOOKUP($A17,'Data shares'!$C:$FB,43)</f>
        <v>871250</v>
      </c>
      <c r="I17" s="50">
        <f>VLOOKUP($A17,'Data shares'!$C:$FB,45)*100</f>
        <v>31.080000000000002</v>
      </c>
      <c r="J17" s="49">
        <f>VLOOKUP($A17,'Data shares'!$C:$FB,58)</f>
        <v>3907500</v>
      </c>
      <c r="K17" s="49">
        <f>VLOOKUP($A17,'Data shares'!$C:$FB,59)</f>
        <v>3583250</v>
      </c>
      <c r="L17" s="50">
        <f>VLOOKUP($A17,'Data shares'!$C:$FB,61)*100</f>
        <v>9.0499999999999989</v>
      </c>
      <c r="M17" s="49">
        <f>VLOOKUP($A17,'Data shares'!$C:$FB,62)</f>
        <v>2432250</v>
      </c>
      <c r="N17" s="49">
        <f>VLOOKUP($A17,'Data shares'!$C:$FB,63)</f>
        <v>1852750</v>
      </c>
      <c r="O17" s="140">
        <f>VLOOKUP($A17,'Data shares'!$C:$FB,65)*100</f>
        <v>31.28</v>
      </c>
    </row>
    <row r="18" spans="1:15" x14ac:dyDescent="0.25">
      <c r="A18" s="101" t="str">
        <f>'Data shares'!C13</f>
        <v>APLAPOLLO</v>
      </c>
      <c r="B18" s="50">
        <f>VLOOKUP($A18,'Data shares'!$C:$FB,7)</f>
        <v>1949.8</v>
      </c>
      <c r="C18" s="50">
        <f>VLOOKUP($A18,'Data shares'!$C:$FB,10)*100</f>
        <v>0.1</v>
      </c>
      <c r="D18" s="49">
        <f>VLOOKUP($A18,'Data shares'!$C:$FB,66)</f>
        <v>925050</v>
      </c>
      <c r="E18" s="49">
        <f>VLOOKUP($A18,'Data shares'!$C:$FB,67)</f>
        <v>1783250</v>
      </c>
      <c r="F18" s="50">
        <f>VLOOKUP($A18,'Data shares'!$C:$FB,69)*100</f>
        <v>-48.13</v>
      </c>
      <c r="G18" s="49">
        <f>VLOOKUP($A18,'Data shares'!$C:$FB,42)</f>
        <v>370300</v>
      </c>
      <c r="H18" s="49">
        <f>VLOOKUP($A18,'Data shares'!$C:$FB,43)</f>
        <v>690550</v>
      </c>
      <c r="I18" s="50">
        <f>VLOOKUP($A18,'Data shares'!$C:$FB,45)*100</f>
        <v>-46.379999999999995</v>
      </c>
      <c r="J18" s="49">
        <f>VLOOKUP($A18,'Data shares'!$C:$FB,58)</f>
        <v>453600</v>
      </c>
      <c r="K18" s="49">
        <f>VLOOKUP($A18,'Data shares'!$C:$FB,59)</f>
        <v>880950</v>
      </c>
      <c r="L18" s="50">
        <f>VLOOKUP($A18,'Data shares'!$C:$FB,61)*100</f>
        <v>-48.51</v>
      </c>
      <c r="M18" s="49">
        <f>VLOOKUP($A18,'Data shares'!$C:$FB,62)</f>
        <v>101150</v>
      </c>
      <c r="N18" s="49">
        <f>VLOOKUP($A18,'Data shares'!$C:$FB,63)</f>
        <v>211750</v>
      </c>
      <c r="O18" s="140">
        <f>VLOOKUP($A18,'Data shares'!$C:$FB,65)*100</f>
        <v>-52.23</v>
      </c>
    </row>
    <row r="19" spans="1:15" x14ac:dyDescent="0.25">
      <c r="A19" s="101" t="str">
        <f>'Data shares'!C14</f>
        <v>APOLLOHOSP</v>
      </c>
      <c r="B19" s="50">
        <f>VLOOKUP($A19,'Data shares'!$C:$FB,7)</f>
        <v>7447.5</v>
      </c>
      <c r="C19" s="50">
        <f>VLOOKUP($A19,'Data shares'!$C:$FB,10)*100</f>
        <v>1.35</v>
      </c>
      <c r="D19" s="49">
        <f>VLOOKUP($A19,'Data shares'!$C:$FB,66)</f>
        <v>11901625</v>
      </c>
      <c r="E19" s="49">
        <f>VLOOKUP($A19,'Data shares'!$C:$FB,67)</f>
        <v>12715250</v>
      </c>
      <c r="F19" s="50">
        <f>VLOOKUP($A19,'Data shares'!$C:$FB,69)*100</f>
        <v>-6.4</v>
      </c>
      <c r="G19" s="49">
        <f>VLOOKUP($A19,'Data shares'!$C:$FB,42)</f>
        <v>886125</v>
      </c>
      <c r="H19" s="49">
        <f>VLOOKUP($A19,'Data shares'!$C:$FB,43)</f>
        <v>985625</v>
      </c>
      <c r="I19" s="50">
        <f>VLOOKUP($A19,'Data shares'!$C:$FB,45)*100</f>
        <v>-10.100000000000001</v>
      </c>
      <c r="J19" s="49">
        <f>VLOOKUP($A19,'Data shares'!$C:$FB,58)</f>
        <v>7903250</v>
      </c>
      <c r="K19" s="49">
        <f>VLOOKUP($A19,'Data shares'!$C:$FB,59)</f>
        <v>8858750</v>
      </c>
      <c r="L19" s="50">
        <f>VLOOKUP($A19,'Data shares'!$C:$FB,61)*100</f>
        <v>-10.79</v>
      </c>
      <c r="M19" s="49">
        <f>VLOOKUP($A19,'Data shares'!$C:$FB,62)</f>
        <v>3112250</v>
      </c>
      <c r="N19" s="49">
        <f>VLOOKUP($A19,'Data shares'!$C:$FB,63)</f>
        <v>2870875</v>
      </c>
      <c r="O19" s="140">
        <f>VLOOKUP($A19,'Data shares'!$C:$FB,65)*100</f>
        <v>8.41</v>
      </c>
    </row>
    <row r="20" spans="1:15" x14ac:dyDescent="0.25">
      <c r="A20" s="101" t="str">
        <f>'Data shares'!C15</f>
        <v>ASHOKLEY</v>
      </c>
      <c r="B20" s="50">
        <f>VLOOKUP($A20,'Data shares'!$C:$FB,7)</f>
        <v>186.12</v>
      </c>
      <c r="C20" s="50">
        <f>VLOOKUP($A20,'Data shares'!$C:$FB,10)*100</f>
        <v>-0.02</v>
      </c>
      <c r="D20" s="49">
        <f>VLOOKUP($A20,'Data shares'!$C:$FB,66)</f>
        <v>77240000</v>
      </c>
      <c r="E20" s="49">
        <f>VLOOKUP($A20,'Data shares'!$C:$FB,67)</f>
        <v>94085000</v>
      </c>
      <c r="F20" s="50">
        <f>VLOOKUP($A20,'Data shares'!$C:$FB,69)*100</f>
        <v>-17.899999999999999</v>
      </c>
      <c r="G20" s="49">
        <f>VLOOKUP($A20,'Data shares'!$C:$FB,42)</f>
        <v>19265000</v>
      </c>
      <c r="H20" s="49">
        <f>VLOOKUP($A20,'Data shares'!$C:$FB,43)</f>
        <v>15380000</v>
      </c>
      <c r="I20" s="50">
        <f>VLOOKUP($A20,'Data shares'!$C:$FB,45)*100</f>
        <v>25.259999999999998</v>
      </c>
      <c r="J20" s="49">
        <f>VLOOKUP($A20,'Data shares'!$C:$FB,58)</f>
        <v>36500000</v>
      </c>
      <c r="K20" s="49">
        <f>VLOOKUP($A20,'Data shares'!$C:$FB,59)</f>
        <v>56395000</v>
      </c>
      <c r="L20" s="50">
        <f>VLOOKUP($A20,'Data shares'!$C:$FB,61)*100</f>
        <v>-35.28</v>
      </c>
      <c r="M20" s="49">
        <f>VLOOKUP($A20,'Data shares'!$C:$FB,62)</f>
        <v>21475000</v>
      </c>
      <c r="N20" s="49">
        <f>VLOOKUP($A20,'Data shares'!$C:$FB,63)</f>
        <v>22310000</v>
      </c>
      <c r="O20" s="140">
        <f>VLOOKUP($A20,'Data shares'!$C:$FB,65)*100</f>
        <v>-3.74</v>
      </c>
    </row>
    <row r="21" spans="1:15" x14ac:dyDescent="0.25">
      <c r="A21" s="101" t="str">
        <f>'Data shares'!C16</f>
        <v>ASIANPAINT</v>
      </c>
      <c r="B21" s="50">
        <f>VLOOKUP($A21,'Data shares'!$C:$FB,7)</f>
        <v>2809.4</v>
      </c>
      <c r="C21" s="50">
        <f>VLOOKUP($A21,'Data shares'!$C:$FB,10)*100</f>
        <v>-1.28</v>
      </c>
      <c r="D21" s="49">
        <f>VLOOKUP($A21,'Data shares'!$C:$FB,66)</f>
        <v>9168750</v>
      </c>
      <c r="E21" s="49">
        <f>VLOOKUP($A21,'Data shares'!$C:$FB,67)</f>
        <v>12582000</v>
      </c>
      <c r="F21" s="50">
        <f>VLOOKUP($A21,'Data shares'!$C:$FB,69)*100</f>
        <v>-27.13</v>
      </c>
      <c r="G21" s="49">
        <f>VLOOKUP($A21,'Data shares'!$C:$FB,42)</f>
        <v>1036500</v>
      </c>
      <c r="H21" s="49">
        <f>VLOOKUP($A21,'Data shares'!$C:$FB,43)</f>
        <v>1270250</v>
      </c>
      <c r="I21" s="50">
        <f>VLOOKUP($A21,'Data shares'!$C:$FB,45)*100</f>
        <v>-18.399999999999999</v>
      </c>
      <c r="J21" s="49">
        <f>VLOOKUP($A21,'Data shares'!$C:$FB,58)</f>
        <v>5127750</v>
      </c>
      <c r="K21" s="49">
        <f>VLOOKUP($A21,'Data shares'!$C:$FB,59)</f>
        <v>7656750</v>
      </c>
      <c r="L21" s="50">
        <f>VLOOKUP($A21,'Data shares'!$C:$FB,61)*100</f>
        <v>-33.03</v>
      </c>
      <c r="M21" s="49">
        <f>VLOOKUP($A21,'Data shares'!$C:$FB,62)</f>
        <v>3004500</v>
      </c>
      <c r="N21" s="49">
        <f>VLOOKUP($A21,'Data shares'!$C:$FB,63)</f>
        <v>3655000</v>
      </c>
      <c r="O21" s="140">
        <f>VLOOKUP($A21,'Data shares'!$C:$FB,65)*100</f>
        <v>-17.8</v>
      </c>
    </row>
    <row r="22" spans="1:15" x14ac:dyDescent="0.25">
      <c r="A22" s="101" t="str">
        <f>'Data shares'!C17</f>
        <v>ASTRAL</v>
      </c>
      <c r="B22" s="50">
        <f>VLOOKUP($A22,'Data shares'!$C:$FB,7)</f>
        <v>1502.6</v>
      </c>
      <c r="C22" s="50">
        <f>VLOOKUP($A22,'Data shares'!$C:$FB,10)*100</f>
        <v>1.04</v>
      </c>
      <c r="D22" s="49">
        <f>VLOOKUP($A22,'Data shares'!$C:$FB,66)</f>
        <v>9841300</v>
      </c>
      <c r="E22" s="49">
        <f>VLOOKUP($A22,'Data shares'!$C:$FB,67)</f>
        <v>3336250</v>
      </c>
      <c r="F22" s="50">
        <f>VLOOKUP($A22,'Data shares'!$C:$FB,69)*100</f>
        <v>194.98</v>
      </c>
      <c r="G22" s="49">
        <f>VLOOKUP($A22,'Data shares'!$C:$FB,42)</f>
        <v>2765475</v>
      </c>
      <c r="H22" s="49">
        <f>VLOOKUP($A22,'Data shares'!$C:$FB,43)</f>
        <v>852975</v>
      </c>
      <c r="I22" s="50">
        <f>VLOOKUP($A22,'Data shares'!$C:$FB,45)*100</f>
        <v>224.22</v>
      </c>
      <c r="J22" s="49">
        <f>VLOOKUP($A22,'Data shares'!$C:$FB,58)</f>
        <v>4646525</v>
      </c>
      <c r="K22" s="49">
        <f>VLOOKUP($A22,'Data shares'!$C:$FB,59)</f>
        <v>1644325</v>
      </c>
      <c r="L22" s="50">
        <f>VLOOKUP($A22,'Data shares'!$C:$FB,61)*100</f>
        <v>182.58</v>
      </c>
      <c r="M22" s="49">
        <f>VLOOKUP($A22,'Data shares'!$C:$FB,62)</f>
        <v>2429300</v>
      </c>
      <c r="N22" s="49">
        <f>VLOOKUP($A22,'Data shares'!$C:$FB,63)</f>
        <v>838950</v>
      </c>
      <c r="O22" s="140">
        <f>VLOOKUP($A22,'Data shares'!$C:$FB,65)*100</f>
        <v>189.56</v>
      </c>
    </row>
    <row r="23" spans="1:15" x14ac:dyDescent="0.25">
      <c r="A23" s="101" t="str">
        <f>'Data shares'!C18</f>
        <v>AUBANK</v>
      </c>
      <c r="B23" s="50">
        <f>VLOOKUP($A23,'Data shares'!$C:$FB,7)</f>
        <v>1004.55</v>
      </c>
      <c r="C23" s="50">
        <f>VLOOKUP($A23,'Data shares'!$C:$FB,10)*100</f>
        <v>-0.42</v>
      </c>
      <c r="D23" s="49">
        <f>VLOOKUP($A23,'Data shares'!$C:$FB,66)</f>
        <v>7506000</v>
      </c>
      <c r="E23" s="49">
        <f>VLOOKUP($A23,'Data shares'!$C:$FB,67)</f>
        <v>7750000</v>
      </c>
      <c r="F23" s="50">
        <f>VLOOKUP($A23,'Data shares'!$C:$FB,69)*100</f>
        <v>-3.15</v>
      </c>
      <c r="G23" s="49">
        <f>VLOOKUP($A23,'Data shares'!$C:$FB,42)</f>
        <v>2450000</v>
      </c>
      <c r="H23" s="49">
        <f>VLOOKUP($A23,'Data shares'!$C:$FB,43)</f>
        <v>2213000</v>
      </c>
      <c r="I23" s="50">
        <f>VLOOKUP($A23,'Data shares'!$C:$FB,45)*100</f>
        <v>10.71</v>
      </c>
      <c r="J23" s="49">
        <f>VLOOKUP($A23,'Data shares'!$C:$FB,58)</f>
        <v>3130000</v>
      </c>
      <c r="K23" s="49">
        <f>VLOOKUP($A23,'Data shares'!$C:$FB,59)</f>
        <v>3227000</v>
      </c>
      <c r="L23" s="50">
        <f>VLOOKUP($A23,'Data shares'!$C:$FB,61)*100</f>
        <v>-3.01</v>
      </c>
      <c r="M23" s="49">
        <f>VLOOKUP($A23,'Data shares'!$C:$FB,62)</f>
        <v>1926000</v>
      </c>
      <c r="N23" s="49">
        <f>VLOOKUP($A23,'Data shares'!$C:$FB,63)</f>
        <v>2310000</v>
      </c>
      <c r="O23" s="140">
        <f>VLOOKUP($A23,'Data shares'!$C:$FB,65)*100</f>
        <v>-16.619999999999997</v>
      </c>
    </row>
    <row r="24" spans="1:15" x14ac:dyDescent="0.25">
      <c r="A24" s="101" t="str">
        <f>'Data shares'!C19</f>
        <v>AUROPHARMA</v>
      </c>
      <c r="B24" s="50">
        <f>VLOOKUP($A24,'Data shares'!$C:$FB,7)</f>
        <v>1235.4000000000001</v>
      </c>
      <c r="C24" s="50">
        <f>VLOOKUP($A24,'Data shares'!$C:$FB,10)*100</f>
        <v>0.33</v>
      </c>
      <c r="D24" s="49">
        <f>VLOOKUP($A24,'Data shares'!$C:$FB,66)</f>
        <v>28097300</v>
      </c>
      <c r="E24" s="49">
        <f>VLOOKUP($A24,'Data shares'!$C:$FB,67)</f>
        <v>13752750</v>
      </c>
      <c r="F24" s="50">
        <f>VLOOKUP($A24,'Data shares'!$C:$FB,69)*100</f>
        <v>104.3</v>
      </c>
      <c r="G24" s="49">
        <f>VLOOKUP($A24,'Data shares'!$C:$FB,42)</f>
        <v>4555650</v>
      </c>
      <c r="H24" s="49">
        <f>VLOOKUP($A24,'Data shares'!$C:$FB,43)</f>
        <v>3234000</v>
      </c>
      <c r="I24" s="50">
        <f>VLOOKUP($A24,'Data shares'!$C:$FB,45)*100</f>
        <v>40.869999999999997</v>
      </c>
      <c r="J24" s="49">
        <f>VLOOKUP($A24,'Data shares'!$C:$FB,58)</f>
        <v>18727500</v>
      </c>
      <c r="K24" s="49">
        <f>VLOOKUP($A24,'Data shares'!$C:$FB,59)</f>
        <v>8021750</v>
      </c>
      <c r="L24" s="50">
        <f>VLOOKUP($A24,'Data shares'!$C:$FB,61)*100</f>
        <v>133.46</v>
      </c>
      <c r="M24" s="49">
        <f>VLOOKUP($A24,'Data shares'!$C:$FB,62)</f>
        <v>4814150</v>
      </c>
      <c r="N24" s="49">
        <f>VLOOKUP($A24,'Data shares'!$C:$FB,63)</f>
        <v>2497000</v>
      </c>
      <c r="O24" s="140">
        <f>VLOOKUP($A24,'Data shares'!$C:$FB,65)*100</f>
        <v>92.800000000000011</v>
      </c>
    </row>
    <row r="25" spans="1:15" x14ac:dyDescent="0.25">
      <c r="A25" s="101" t="str">
        <f>'Data shares'!C20</f>
        <v>AXISBANK</v>
      </c>
      <c r="B25" s="50">
        <f>VLOOKUP($A25,'Data shares'!$C:$FB,7)</f>
        <v>1295.5</v>
      </c>
      <c r="C25" s="50">
        <f>VLOOKUP($A25,'Data shares'!$C:$FB,10)*100</f>
        <v>0.13</v>
      </c>
      <c r="D25" s="49">
        <f>VLOOKUP($A25,'Data shares'!$C:$FB,66)</f>
        <v>41406875</v>
      </c>
      <c r="E25" s="49">
        <f>VLOOKUP($A25,'Data shares'!$C:$FB,67)</f>
        <v>76201875</v>
      </c>
      <c r="F25" s="50">
        <f>VLOOKUP($A25,'Data shares'!$C:$FB,69)*100</f>
        <v>-45.660000000000004</v>
      </c>
      <c r="G25" s="49">
        <f>VLOOKUP($A25,'Data shares'!$C:$FB,42)</f>
        <v>6298750</v>
      </c>
      <c r="H25" s="49">
        <f>VLOOKUP($A25,'Data shares'!$C:$FB,43)</f>
        <v>12340000</v>
      </c>
      <c r="I25" s="50">
        <f>VLOOKUP($A25,'Data shares'!$C:$FB,45)*100</f>
        <v>-48.96</v>
      </c>
      <c r="J25" s="49">
        <f>VLOOKUP($A25,'Data shares'!$C:$FB,58)</f>
        <v>22550000</v>
      </c>
      <c r="K25" s="49">
        <f>VLOOKUP($A25,'Data shares'!$C:$FB,59)</f>
        <v>44013125</v>
      </c>
      <c r="L25" s="50">
        <f>VLOOKUP($A25,'Data shares'!$C:$FB,61)*100</f>
        <v>-48.77</v>
      </c>
      <c r="M25" s="49">
        <f>VLOOKUP($A25,'Data shares'!$C:$FB,62)</f>
        <v>12558125</v>
      </c>
      <c r="N25" s="49">
        <f>VLOOKUP($A25,'Data shares'!$C:$FB,63)</f>
        <v>19848750</v>
      </c>
      <c r="O25" s="140">
        <f>VLOOKUP($A25,'Data shares'!$C:$FB,65)*100</f>
        <v>-36.730000000000004</v>
      </c>
    </row>
    <row r="26" spans="1:15" x14ac:dyDescent="0.25">
      <c r="A26" s="101" t="str">
        <f>'Data shares'!C21</f>
        <v>BAJAJ-AUTO</v>
      </c>
      <c r="B26" s="50">
        <f>VLOOKUP($A26,'Data shares'!$C:$FB,7)</f>
        <v>9789.5</v>
      </c>
      <c r="C26" s="50">
        <f>VLOOKUP($A26,'Data shares'!$C:$FB,10)*100</f>
        <v>1.3299999999999998</v>
      </c>
      <c r="D26" s="49">
        <f>VLOOKUP($A26,'Data shares'!$C:$FB,66)</f>
        <v>5938800</v>
      </c>
      <c r="E26" s="49">
        <f>VLOOKUP($A26,'Data shares'!$C:$FB,67)</f>
        <v>9964200</v>
      </c>
      <c r="F26" s="50">
        <f>VLOOKUP($A26,'Data shares'!$C:$FB,69)*100</f>
        <v>-40.400000000000006</v>
      </c>
      <c r="G26" s="49">
        <f>VLOOKUP($A26,'Data shares'!$C:$FB,42)</f>
        <v>523125</v>
      </c>
      <c r="H26" s="49">
        <f>VLOOKUP($A26,'Data shares'!$C:$FB,43)</f>
        <v>735675</v>
      </c>
      <c r="I26" s="50">
        <f>VLOOKUP($A26,'Data shares'!$C:$FB,45)*100</f>
        <v>-28.89</v>
      </c>
      <c r="J26" s="49">
        <f>VLOOKUP($A26,'Data shares'!$C:$FB,58)</f>
        <v>3460650</v>
      </c>
      <c r="K26" s="49">
        <f>VLOOKUP($A26,'Data shares'!$C:$FB,59)</f>
        <v>6367425</v>
      </c>
      <c r="L26" s="50">
        <f>VLOOKUP($A26,'Data shares'!$C:$FB,61)*100</f>
        <v>-45.65</v>
      </c>
      <c r="M26" s="49">
        <f>VLOOKUP($A26,'Data shares'!$C:$FB,62)</f>
        <v>1955025</v>
      </c>
      <c r="N26" s="49">
        <f>VLOOKUP($A26,'Data shares'!$C:$FB,63)</f>
        <v>2861100</v>
      </c>
      <c r="O26" s="140">
        <f>VLOOKUP($A26,'Data shares'!$C:$FB,65)*100</f>
        <v>-31.669999999999998</v>
      </c>
    </row>
    <row r="27" spans="1:15" x14ac:dyDescent="0.25">
      <c r="A27" s="101" t="str">
        <f>'Data shares'!C22</f>
        <v>BAJAJFINSV</v>
      </c>
      <c r="B27" s="50">
        <f>VLOOKUP($A27,'Data shares'!$C:$FB,7)</f>
        <v>2031.9</v>
      </c>
      <c r="C27" s="50">
        <f>VLOOKUP($A27,'Data shares'!$C:$FB,10)*100</f>
        <v>-0.62</v>
      </c>
      <c r="D27" s="49">
        <f>VLOOKUP($A27,'Data shares'!$C:$FB,66)</f>
        <v>6950750</v>
      </c>
      <c r="E27" s="49">
        <f>VLOOKUP($A27,'Data shares'!$C:$FB,67)</f>
        <v>16759250</v>
      </c>
      <c r="F27" s="50">
        <f>VLOOKUP($A27,'Data shares'!$C:$FB,69)*100</f>
        <v>-58.53</v>
      </c>
      <c r="G27" s="49">
        <f>VLOOKUP($A27,'Data shares'!$C:$FB,42)</f>
        <v>946500</v>
      </c>
      <c r="H27" s="49">
        <f>VLOOKUP($A27,'Data shares'!$C:$FB,43)</f>
        <v>2150250</v>
      </c>
      <c r="I27" s="50">
        <f>VLOOKUP($A27,'Data shares'!$C:$FB,45)*100</f>
        <v>-55.98</v>
      </c>
      <c r="J27" s="49">
        <f>VLOOKUP($A27,'Data shares'!$C:$FB,58)</f>
        <v>3946750</v>
      </c>
      <c r="K27" s="49">
        <f>VLOOKUP($A27,'Data shares'!$C:$FB,59)</f>
        <v>11146500</v>
      </c>
      <c r="L27" s="50">
        <f>VLOOKUP($A27,'Data shares'!$C:$FB,61)*100</f>
        <v>-64.59</v>
      </c>
      <c r="M27" s="49">
        <f>VLOOKUP($A27,'Data shares'!$C:$FB,62)</f>
        <v>2057500</v>
      </c>
      <c r="N27" s="49">
        <f>VLOOKUP($A27,'Data shares'!$C:$FB,63)</f>
        <v>3462500</v>
      </c>
      <c r="O27" s="140">
        <f>VLOOKUP($A27,'Data shares'!$C:$FB,65)*100</f>
        <v>-40.58</v>
      </c>
    </row>
    <row r="28" spans="1:15" x14ac:dyDescent="0.25">
      <c r="A28" s="101" t="str">
        <f>'Data shares'!C23</f>
        <v>BAJAJHLDNG</v>
      </c>
      <c r="B28" s="50">
        <f>VLOOKUP($A28,'Data shares'!$C:$FB,7)</f>
        <v>11198</v>
      </c>
      <c r="C28" s="50">
        <f>VLOOKUP($A28,'Data shares'!$C:$FB,10)*100</f>
        <v>-0.04</v>
      </c>
      <c r="D28" s="49">
        <f>VLOOKUP($A28,'Data shares'!$C:$FB,66)</f>
        <v>131200</v>
      </c>
      <c r="E28" s="49">
        <f>VLOOKUP($A28,'Data shares'!$C:$FB,67)</f>
        <v>159050</v>
      </c>
      <c r="F28" s="50">
        <f>VLOOKUP($A28,'Data shares'!$C:$FB,69)*100</f>
        <v>-17.510000000000002</v>
      </c>
      <c r="G28" s="49">
        <f>VLOOKUP($A28,'Data shares'!$C:$FB,42)</f>
        <v>21800</v>
      </c>
      <c r="H28" s="49">
        <f>VLOOKUP($A28,'Data shares'!$C:$FB,43)</f>
        <v>33300</v>
      </c>
      <c r="I28" s="50">
        <f>VLOOKUP($A28,'Data shares'!$C:$FB,45)*100</f>
        <v>-34.53</v>
      </c>
      <c r="J28" s="49">
        <f>VLOOKUP($A28,'Data shares'!$C:$FB,58)</f>
        <v>97150</v>
      </c>
      <c r="K28" s="49">
        <f>VLOOKUP($A28,'Data shares'!$C:$FB,59)</f>
        <v>97400</v>
      </c>
      <c r="L28" s="50">
        <f>VLOOKUP($A28,'Data shares'!$C:$FB,61)*100</f>
        <v>-0.26</v>
      </c>
      <c r="M28" s="49">
        <f>VLOOKUP($A28,'Data shares'!$C:$FB,62)</f>
        <v>12250</v>
      </c>
      <c r="N28" s="49">
        <f>VLOOKUP($A28,'Data shares'!$C:$FB,63)</f>
        <v>28350</v>
      </c>
      <c r="O28" s="140">
        <f>VLOOKUP($A28,'Data shares'!$C:$FB,65)*100</f>
        <v>-56.79</v>
      </c>
    </row>
    <row r="29" spans="1:15" x14ac:dyDescent="0.25">
      <c r="A29" s="101" t="str">
        <f>'Data shares'!C24</f>
        <v>BAJFINANCE</v>
      </c>
      <c r="B29" s="50">
        <f>VLOOKUP($A29,'Data shares'!$C:$FB,7)</f>
        <v>968.8</v>
      </c>
      <c r="C29" s="50">
        <f>VLOOKUP($A29,'Data shares'!$C:$FB,10)*100</f>
        <v>-0.86999999999999988</v>
      </c>
      <c r="D29" s="49">
        <f>VLOOKUP($A29,'Data shares'!$C:$FB,66)</f>
        <v>34084500</v>
      </c>
      <c r="E29" s="49">
        <f>VLOOKUP($A29,'Data shares'!$C:$FB,67)</f>
        <v>33774000</v>
      </c>
      <c r="F29" s="50">
        <f>VLOOKUP($A29,'Data shares'!$C:$FB,69)*100</f>
        <v>0.91999999999999993</v>
      </c>
      <c r="G29" s="49">
        <f>VLOOKUP($A29,'Data shares'!$C:$FB,42)</f>
        <v>5771250</v>
      </c>
      <c r="H29" s="49">
        <f>VLOOKUP($A29,'Data shares'!$C:$FB,43)</f>
        <v>5961750</v>
      </c>
      <c r="I29" s="50">
        <f>VLOOKUP($A29,'Data shares'!$C:$FB,45)*100</f>
        <v>-3.2</v>
      </c>
      <c r="J29" s="49">
        <f>VLOOKUP($A29,'Data shares'!$C:$FB,58)</f>
        <v>19867500</v>
      </c>
      <c r="K29" s="49">
        <f>VLOOKUP($A29,'Data shares'!$C:$FB,59)</f>
        <v>20725500</v>
      </c>
      <c r="L29" s="50">
        <f>VLOOKUP($A29,'Data shares'!$C:$FB,61)*100</f>
        <v>-4.1399999999999997</v>
      </c>
      <c r="M29" s="49">
        <f>VLOOKUP($A29,'Data shares'!$C:$FB,62)</f>
        <v>8445750</v>
      </c>
      <c r="N29" s="49">
        <f>VLOOKUP($A29,'Data shares'!$C:$FB,63)</f>
        <v>7086750</v>
      </c>
      <c r="O29" s="140">
        <f>VLOOKUP($A29,'Data shares'!$C:$FB,65)*100</f>
        <v>19.18</v>
      </c>
    </row>
    <row r="30" spans="1:15" x14ac:dyDescent="0.25">
      <c r="A30" s="101" t="str">
        <f>'Data shares'!C25</f>
        <v>BANDHANBNK</v>
      </c>
      <c r="B30" s="50">
        <f>VLOOKUP($A30,'Data shares'!$C:$FB,7)</f>
        <v>147.63999999999999</v>
      </c>
      <c r="C30" s="50">
        <f>VLOOKUP($A30,'Data shares'!$C:$FB,10)*100</f>
        <v>-0.02</v>
      </c>
      <c r="D30" s="49">
        <f>VLOOKUP($A30,'Data shares'!$C:$FB,66)</f>
        <v>32608800</v>
      </c>
      <c r="E30" s="49">
        <f>VLOOKUP($A30,'Data shares'!$C:$FB,67)</f>
        <v>47574000</v>
      </c>
      <c r="F30" s="50">
        <f>VLOOKUP($A30,'Data shares'!$C:$FB,69)*100</f>
        <v>-31.46</v>
      </c>
      <c r="G30" s="49">
        <f>VLOOKUP($A30,'Data shares'!$C:$FB,42)</f>
        <v>9529200</v>
      </c>
      <c r="H30" s="49">
        <f>VLOOKUP($A30,'Data shares'!$C:$FB,43)</f>
        <v>12873600</v>
      </c>
      <c r="I30" s="50">
        <f>VLOOKUP($A30,'Data shares'!$C:$FB,45)*100</f>
        <v>-25.979999999999997</v>
      </c>
      <c r="J30" s="49">
        <f>VLOOKUP($A30,'Data shares'!$C:$FB,58)</f>
        <v>16491600</v>
      </c>
      <c r="K30" s="49">
        <f>VLOOKUP($A30,'Data shares'!$C:$FB,59)</f>
        <v>26370000</v>
      </c>
      <c r="L30" s="50">
        <f>VLOOKUP($A30,'Data shares'!$C:$FB,61)*100</f>
        <v>-37.46</v>
      </c>
      <c r="M30" s="49">
        <f>VLOOKUP($A30,'Data shares'!$C:$FB,62)</f>
        <v>6588000</v>
      </c>
      <c r="N30" s="49">
        <f>VLOOKUP($A30,'Data shares'!$C:$FB,63)</f>
        <v>8330400</v>
      </c>
      <c r="O30" s="140">
        <f>VLOOKUP($A30,'Data shares'!$C:$FB,65)*100</f>
        <v>-20.919999999999998</v>
      </c>
    </row>
    <row r="31" spans="1:15" x14ac:dyDescent="0.25">
      <c r="A31" s="101" t="str">
        <f>'Data shares'!C26</f>
        <v>BANKBARODA</v>
      </c>
      <c r="B31" s="50">
        <f>VLOOKUP($A31,'Data shares'!$C:$FB,7)</f>
        <v>308.25</v>
      </c>
      <c r="C31" s="50">
        <f>VLOOKUP($A31,'Data shares'!$C:$FB,10)*100</f>
        <v>1.05</v>
      </c>
      <c r="D31" s="49">
        <f>VLOOKUP($A31,'Data shares'!$C:$FB,66)</f>
        <v>145281825</v>
      </c>
      <c r="E31" s="49">
        <f>VLOOKUP($A31,'Data shares'!$C:$FB,67)</f>
        <v>119179125</v>
      </c>
      <c r="F31" s="50">
        <f>VLOOKUP($A31,'Data shares'!$C:$FB,69)*100</f>
        <v>21.9</v>
      </c>
      <c r="G31" s="49">
        <f>VLOOKUP($A31,'Data shares'!$C:$FB,42)</f>
        <v>15882750</v>
      </c>
      <c r="H31" s="49">
        <f>VLOOKUP($A31,'Data shares'!$C:$FB,43)</f>
        <v>22469850</v>
      </c>
      <c r="I31" s="50">
        <f>VLOOKUP($A31,'Data shares'!$C:$FB,45)*100</f>
        <v>-29.32</v>
      </c>
      <c r="J31" s="49">
        <f>VLOOKUP($A31,'Data shares'!$C:$FB,58)</f>
        <v>101711025</v>
      </c>
      <c r="K31" s="49">
        <f>VLOOKUP($A31,'Data shares'!$C:$FB,59)</f>
        <v>63370125</v>
      </c>
      <c r="L31" s="50">
        <f>VLOOKUP($A31,'Data shares'!$C:$FB,61)*100</f>
        <v>60.5</v>
      </c>
      <c r="M31" s="49">
        <f>VLOOKUP($A31,'Data shares'!$C:$FB,62)</f>
        <v>27688050</v>
      </c>
      <c r="N31" s="49">
        <f>VLOOKUP($A31,'Data shares'!$C:$FB,63)</f>
        <v>33339150</v>
      </c>
      <c r="O31" s="140">
        <f>VLOOKUP($A31,'Data shares'!$C:$FB,65)*100</f>
        <v>-16.950000000000003</v>
      </c>
    </row>
    <row r="32" spans="1:15" x14ac:dyDescent="0.25">
      <c r="A32" s="101" t="str">
        <f>'Data shares'!C27</f>
        <v>BANKINDIA</v>
      </c>
      <c r="B32" s="50">
        <f>VLOOKUP($A32,'Data shares'!$C:$FB,7)</f>
        <v>151.49</v>
      </c>
      <c r="C32" s="50">
        <f>VLOOKUP($A32,'Data shares'!$C:$FB,10)*100</f>
        <v>0.54999999999999993</v>
      </c>
      <c r="D32" s="49">
        <f>VLOOKUP($A32,'Data shares'!$C:$FB,66)</f>
        <v>26717600</v>
      </c>
      <c r="E32" s="49">
        <f>VLOOKUP($A32,'Data shares'!$C:$FB,67)</f>
        <v>54527200</v>
      </c>
      <c r="F32" s="50">
        <f>VLOOKUP($A32,'Data shares'!$C:$FB,69)*100</f>
        <v>-51</v>
      </c>
      <c r="G32" s="49">
        <f>VLOOKUP($A32,'Data shares'!$C:$FB,42)</f>
        <v>11611600</v>
      </c>
      <c r="H32" s="49">
        <f>VLOOKUP($A32,'Data shares'!$C:$FB,43)</f>
        <v>15173600</v>
      </c>
      <c r="I32" s="50">
        <f>VLOOKUP($A32,'Data shares'!$C:$FB,45)*100</f>
        <v>-23.47</v>
      </c>
      <c r="J32" s="49">
        <f>VLOOKUP($A32,'Data shares'!$C:$FB,58)</f>
        <v>10426000</v>
      </c>
      <c r="K32" s="49">
        <f>VLOOKUP($A32,'Data shares'!$C:$FB,59)</f>
        <v>29702400</v>
      </c>
      <c r="L32" s="50">
        <f>VLOOKUP($A32,'Data shares'!$C:$FB,61)*100</f>
        <v>-64.900000000000006</v>
      </c>
      <c r="M32" s="49">
        <f>VLOOKUP($A32,'Data shares'!$C:$FB,62)</f>
        <v>4680000</v>
      </c>
      <c r="N32" s="49">
        <f>VLOOKUP($A32,'Data shares'!$C:$FB,63)</f>
        <v>9651200</v>
      </c>
      <c r="O32" s="140">
        <f>VLOOKUP($A32,'Data shares'!$C:$FB,65)*100</f>
        <v>-51.51</v>
      </c>
    </row>
    <row r="33" spans="1:15" x14ac:dyDescent="0.25">
      <c r="A33" s="101" t="str">
        <f>'Data shares'!C28</f>
        <v>BANKNIFTY</v>
      </c>
      <c r="B33" s="50">
        <f>VLOOKUP($A33,'Data shares'!$C:$FB,7)</f>
        <v>59990.85</v>
      </c>
      <c r="C33" s="50">
        <f>VLOOKUP($A33,'Data shares'!$C:$FB,10)*100</f>
        <v>-0.21</v>
      </c>
      <c r="D33" s="49">
        <f>VLOOKUP($A33,'Data shares'!$C:$FB,66)</f>
        <v>60008790</v>
      </c>
      <c r="E33" s="49">
        <f>VLOOKUP($A33,'Data shares'!$C:$FB,67)</f>
        <v>57337590</v>
      </c>
      <c r="F33" s="50">
        <f>VLOOKUP($A33,'Data shares'!$C:$FB,69)*100</f>
        <v>4.66</v>
      </c>
      <c r="G33" s="49">
        <f>VLOOKUP($A33,'Data shares'!$C:$FB,42)</f>
        <v>759000</v>
      </c>
      <c r="H33" s="49">
        <f>VLOOKUP($A33,'Data shares'!$C:$FB,43)</f>
        <v>570600</v>
      </c>
      <c r="I33" s="50">
        <f>VLOOKUP($A33,'Data shares'!$C:$FB,45)*100</f>
        <v>33.019999999999996</v>
      </c>
      <c r="J33" s="49">
        <f>VLOOKUP($A33,'Data shares'!$C:$FB,58)</f>
        <v>29265960</v>
      </c>
      <c r="K33" s="49">
        <f>VLOOKUP($A33,'Data shares'!$C:$FB,59)</f>
        <v>28656180</v>
      </c>
      <c r="L33" s="50">
        <f>VLOOKUP($A33,'Data shares'!$C:$FB,61)*100</f>
        <v>2.13</v>
      </c>
      <c r="M33" s="49">
        <f>VLOOKUP($A33,'Data shares'!$C:$FB,62)</f>
        <v>29983830</v>
      </c>
      <c r="N33" s="49">
        <f>VLOOKUP($A33,'Data shares'!$C:$FB,63)</f>
        <v>28110810</v>
      </c>
      <c r="O33" s="140">
        <f>VLOOKUP($A33,'Data shares'!$C:$FB,65)*100</f>
        <v>6.660000000000001</v>
      </c>
    </row>
    <row r="34" spans="1:15" x14ac:dyDescent="0.25">
      <c r="A34" s="101" t="str">
        <f>'Data shares'!C29</f>
        <v>BDL</v>
      </c>
      <c r="B34" s="50">
        <f>VLOOKUP($A34,'Data shares'!$C:$FB,7)</f>
        <v>1539.5</v>
      </c>
      <c r="C34" s="50">
        <f>VLOOKUP($A34,'Data shares'!$C:$FB,10)*100</f>
        <v>-0.19</v>
      </c>
      <c r="D34" s="49">
        <f>VLOOKUP($A34,'Data shares'!$C:$FB,66)</f>
        <v>17587150</v>
      </c>
      <c r="E34" s="49">
        <f>VLOOKUP($A34,'Data shares'!$C:$FB,67)</f>
        <v>55735750</v>
      </c>
      <c r="F34" s="50">
        <f>VLOOKUP($A34,'Data shares'!$C:$FB,69)*100</f>
        <v>-68.45</v>
      </c>
      <c r="G34" s="49">
        <f>VLOOKUP($A34,'Data shares'!$C:$FB,42)</f>
        <v>3289300</v>
      </c>
      <c r="H34" s="49">
        <f>VLOOKUP($A34,'Data shares'!$C:$FB,43)</f>
        <v>10268650</v>
      </c>
      <c r="I34" s="50">
        <f>VLOOKUP($A34,'Data shares'!$C:$FB,45)*100</f>
        <v>-67.97</v>
      </c>
      <c r="J34" s="49">
        <f>VLOOKUP($A34,'Data shares'!$C:$FB,58)</f>
        <v>9622550</v>
      </c>
      <c r="K34" s="49">
        <f>VLOOKUP($A34,'Data shares'!$C:$FB,59)</f>
        <v>29521100</v>
      </c>
      <c r="L34" s="50">
        <f>VLOOKUP($A34,'Data shares'!$C:$FB,61)*100</f>
        <v>-67.400000000000006</v>
      </c>
      <c r="M34" s="49">
        <f>VLOOKUP($A34,'Data shares'!$C:$FB,62)</f>
        <v>4675300</v>
      </c>
      <c r="N34" s="49">
        <f>VLOOKUP($A34,'Data shares'!$C:$FB,63)</f>
        <v>15946000</v>
      </c>
      <c r="O34" s="140">
        <f>VLOOKUP($A34,'Data shares'!$C:$FB,65)*100</f>
        <v>-70.679999999999993</v>
      </c>
    </row>
    <row r="35" spans="1:15" x14ac:dyDescent="0.25">
      <c r="A35" s="101" t="str">
        <f>'Data shares'!C30</f>
        <v>BEL</v>
      </c>
      <c r="B35" s="50">
        <f>VLOOKUP($A35,'Data shares'!$C:$FB,7)</f>
        <v>415.65</v>
      </c>
      <c r="C35" s="50">
        <f>VLOOKUP($A35,'Data shares'!$C:$FB,10)*100</f>
        <v>0.62</v>
      </c>
      <c r="D35" s="49">
        <f>VLOOKUP($A35,'Data shares'!$C:$FB,66)</f>
        <v>92949900</v>
      </c>
      <c r="E35" s="49">
        <f>VLOOKUP($A35,'Data shares'!$C:$FB,67)</f>
        <v>90833775</v>
      </c>
      <c r="F35" s="50">
        <f>VLOOKUP($A35,'Data shares'!$C:$FB,69)*100</f>
        <v>2.33</v>
      </c>
      <c r="G35" s="49">
        <f>VLOOKUP($A35,'Data shares'!$C:$FB,42)</f>
        <v>10631925</v>
      </c>
      <c r="H35" s="49">
        <f>VLOOKUP($A35,'Data shares'!$C:$FB,43)</f>
        <v>10889850</v>
      </c>
      <c r="I35" s="50">
        <f>VLOOKUP($A35,'Data shares'!$C:$FB,45)*100</f>
        <v>-2.37</v>
      </c>
      <c r="J35" s="49">
        <f>VLOOKUP($A35,'Data shares'!$C:$FB,58)</f>
        <v>54362325</v>
      </c>
      <c r="K35" s="49">
        <f>VLOOKUP($A35,'Data shares'!$C:$FB,59)</f>
        <v>49889250</v>
      </c>
      <c r="L35" s="50">
        <f>VLOOKUP($A35,'Data shares'!$C:$FB,61)*100</f>
        <v>8.9700000000000006</v>
      </c>
      <c r="M35" s="49">
        <f>VLOOKUP($A35,'Data shares'!$C:$FB,62)</f>
        <v>27955650</v>
      </c>
      <c r="N35" s="49">
        <f>VLOOKUP($A35,'Data shares'!$C:$FB,63)</f>
        <v>30054675</v>
      </c>
      <c r="O35" s="140">
        <f>VLOOKUP($A35,'Data shares'!$C:$FB,65)*100</f>
        <v>-6.98</v>
      </c>
    </row>
    <row r="36" spans="1:15" x14ac:dyDescent="0.25">
      <c r="A36" s="101" t="str">
        <f>'Data shares'!C31</f>
        <v>BHARATFORG</v>
      </c>
      <c r="B36" s="50">
        <f>VLOOKUP($A36,'Data shares'!$C:$FB,7)</f>
        <v>1483.4</v>
      </c>
      <c r="C36" s="50">
        <f>VLOOKUP($A36,'Data shares'!$C:$FB,10)*100</f>
        <v>0.59</v>
      </c>
      <c r="D36" s="49">
        <f>VLOOKUP($A36,'Data shares'!$C:$FB,66)</f>
        <v>6926000</v>
      </c>
      <c r="E36" s="49">
        <f>VLOOKUP($A36,'Data shares'!$C:$FB,67)</f>
        <v>13124500</v>
      </c>
      <c r="F36" s="50">
        <f>VLOOKUP($A36,'Data shares'!$C:$FB,69)*100</f>
        <v>-47.23</v>
      </c>
      <c r="G36" s="49">
        <f>VLOOKUP($A36,'Data shares'!$C:$FB,42)</f>
        <v>1651500</v>
      </c>
      <c r="H36" s="49">
        <f>VLOOKUP($A36,'Data shares'!$C:$FB,43)</f>
        <v>2350000</v>
      </c>
      <c r="I36" s="50">
        <f>VLOOKUP($A36,'Data shares'!$C:$FB,45)*100</f>
        <v>-29.720000000000002</v>
      </c>
      <c r="J36" s="49">
        <f>VLOOKUP($A36,'Data shares'!$C:$FB,58)</f>
        <v>3709500</v>
      </c>
      <c r="K36" s="49">
        <f>VLOOKUP($A36,'Data shares'!$C:$FB,59)</f>
        <v>7947500</v>
      </c>
      <c r="L36" s="50">
        <f>VLOOKUP($A36,'Data shares'!$C:$FB,61)*100</f>
        <v>-53.32</v>
      </c>
      <c r="M36" s="49">
        <f>VLOOKUP($A36,'Data shares'!$C:$FB,62)</f>
        <v>1565000</v>
      </c>
      <c r="N36" s="49">
        <f>VLOOKUP($A36,'Data shares'!$C:$FB,63)</f>
        <v>2827000</v>
      </c>
      <c r="O36" s="140">
        <f>VLOOKUP($A36,'Data shares'!$C:$FB,65)*100</f>
        <v>-44.64</v>
      </c>
    </row>
    <row r="37" spans="1:15" x14ac:dyDescent="0.25">
      <c r="A37" s="101" t="str">
        <f>'Data shares'!C32</f>
        <v>BHARTIARTL</v>
      </c>
      <c r="B37" s="50">
        <f>VLOOKUP($A37,'Data shares'!$C:$FB,7)</f>
        <v>2084.1999999999998</v>
      </c>
      <c r="C37" s="50">
        <f>VLOOKUP($A37,'Data shares'!$C:$FB,10)*100</f>
        <v>-1</v>
      </c>
      <c r="D37" s="49">
        <f>VLOOKUP($A37,'Data shares'!$C:$FB,66)</f>
        <v>24219775</v>
      </c>
      <c r="E37" s="49">
        <f>VLOOKUP($A37,'Data shares'!$C:$FB,67)</f>
        <v>30448450</v>
      </c>
      <c r="F37" s="50">
        <f>VLOOKUP($A37,'Data shares'!$C:$FB,69)*100</f>
        <v>-20.46</v>
      </c>
      <c r="G37" s="49">
        <f>VLOOKUP($A37,'Data shares'!$C:$FB,42)</f>
        <v>3399100</v>
      </c>
      <c r="H37" s="49">
        <f>VLOOKUP($A37,'Data shares'!$C:$FB,43)</f>
        <v>4370475</v>
      </c>
      <c r="I37" s="50">
        <f>VLOOKUP($A37,'Data shares'!$C:$FB,45)*100</f>
        <v>-22.23</v>
      </c>
      <c r="J37" s="49">
        <f>VLOOKUP($A37,'Data shares'!$C:$FB,58)</f>
        <v>13118075</v>
      </c>
      <c r="K37" s="49">
        <f>VLOOKUP($A37,'Data shares'!$C:$FB,59)</f>
        <v>16220775</v>
      </c>
      <c r="L37" s="50">
        <f>VLOOKUP($A37,'Data shares'!$C:$FB,61)*100</f>
        <v>-19.13</v>
      </c>
      <c r="M37" s="49">
        <f>VLOOKUP($A37,'Data shares'!$C:$FB,62)</f>
        <v>7702600</v>
      </c>
      <c r="N37" s="49">
        <f>VLOOKUP($A37,'Data shares'!$C:$FB,63)</f>
        <v>9857200</v>
      </c>
      <c r="O37" s="140">
        <f>VLOOKUP($A37,'Data shares'!$C:$FB,65)*100</f>
        <v>-21.86</v>
      </c>
    </row>
    <row r="38" spans="1:15" x14ac:dyDescent="0.25">
      <c r="A38" s="101" t="str">
        <f>'Data shares'!C33</f>
        <v>BHEL</v>
      </c>
      <c r="B38" s="50">
        <f>VLOOKUP($A38,'Data shares'!$C:$FB,7)</f>
        <v>303.55</v>
      </c>
      <c r="C38" s="50">
        <f>VLOOKUP($A38,'Data shares'!$C:$FB,10)*100</f>
        <v>2.2200000000000002</v>
      </c>
      <c r="D38" s="49">
        <f>VLOOKUP($A38,'Data shares'!$C:$FB,66)</f>
        <v>199387125</v>
      </c>
      <c r="E38" s="49">
        <f>VLOOKUP($A38,'Data shares'!$C:$FB,67)</f>
        <v>119385000</v>
      </c>
      <c r="F38" s="50">
        <f>VLOOKUP($A38,'Data shares'!$C:$FB,69)*100</f>
        <v>67.010000000000005</v>
      </c>
      <c r="G38" s="49">
        <f>VLOOKUP($A38,'Data shares'!$C:$FB,42)</f>
        <v>28444500</v>
      </c>
      <c r="H38" s="49">
        <f>VLOOKUP($A38,'Data shares'!$C:$FB,43)</f>
        <v>22073625</v>
      </c>
      <c r="I38" s="50">
        <f>VLOOKUP($A38,'Data shares'!$C:$FB,45)*100</f>
        <v>28.860000000000003</v>
      </c>
      <c r="J38" s="49">
        <f>VLOOKUP($A38,'Data shares'!$C:$FB,58)</f>
        <v>134077125</v>
      </c>
      <c r="K38" s="49">
        <f>VLOOKUP($A38,'Data shares'!$C:$FB,59)</f>
        <v>65509500</v>
      </c>
      <c r="L38" s="50">
        <f>VLOOKUP($A38,'Data shares'!$C:$FB,61)*100</f>
        <v>104.67</v>
      </c>
      <c r="M38" s="49">
        <f>VLOOKUP($A38,'Data shares'!$C:$FB,62)</f>
        <v>36865500</v>
      </c>
      <c r="N38" s="49">
        <f>VLOOKUP($A38,'Data shares'!$C:$FB,63)</f>
        <v>31801875</v>
      </c>
      <c r="O38" s="140">
        <f>VLOOKUP($A38,'Data shares'!$C:$FB,65)*100</f>
        <v>15.920000000000002</v>
      </c>
    </row>
    <row r="39" spans="1:15" x14ac:dyDescent="0.25">
      <c r="A39" s="101" t="str">
        <f>'Data shares'!C34</f>
        <v>BIOCON</v>
      </c>
      <c r="B39" s="50">
        <f>VLOOKUP($A39,'Data shares'!$C:$FB,7)</f>
        <v>387.05</v>
      </c>
      <c r="C39" s="50">
        <f>VLOOKUP($A39,'Data shares'!$C:$FB,10)*100</f>
        <v>0.49</v>
      </c>
      <c r="D39" s="49">
        <f>VLOOKUP($A39,'Data shares'!$C:$FB,66)</f>
        <v>60577500</v>
      </c>
      <c r="E39" s="49">
        <f>VLOOKUP($A39,'Data shares'!$C:$FB,67)</f>
        <v>40062500</v>
      </c>
      <c r="F39" s="50">
        <f>VLOOKUP($A39,'Data shares'!$C:$FB,69)*100</f>
        <v>51.21</v>
      </c>
      <c r="G39" s="49">
        <f>VLOOKUP($A39,'Data shares'!$C:$FB,42)</f>
        <v>10620000</v>
      </c>
      <c r="H39" s="49">
        <f>VLOOKUP($A39,'Data shares'!$C:$FB,43)</f>
        <v>8122500</v>
      </c>
      <c r="I39" s="50">
        <f>VLOOKUP($A39,'Data shares'!$C:$FB,45)*100</f>
        <v>30.75</v>
      </c>
      <c r="J39" s="49">
        <f>VLOOKUP($A39,'Data shares'!$C:$FB,58)</f>
        <v>39320000</v>
      </c>
      <c r="K39" s="49">
        <f>VLOOKUP($A39,'Data shares'!$C:$FB,59)</f>
        <v>21407500</v>
      </c>
      <c r="L39" s="50">
        <f>VLOOKUP($A39,'Data shares'!$C:$FB,61)*100</f>
        <v>83.67</v>
      </c>
      <c r="M39" s="49">
        <f>VLOOKUP($A39,'Data shares'!$C:$FB,62)</f>
        <v>10637500</v>
      </c>
      <c r="N39" s="49">
        <f>VLOOKUP($A39,'Data shares'!$C:$FB,63)</f>
        <v>10532500</v>
      </c>
      <c r="O39" s="140">
        <f>VLOOKUP($A39,'Data shares'!$C:$FB,65)*100</f>
        <v>1</v>
      </c>
    </row>
    <row r="40" spans="1:15" x14ac:dyDescent="0.25">
      <c r="A40" s="101" t="str">
        <f>'Data shares'!C35</f>
        <v>BLUESTARCO</v>
      </c>
      <c r="B40" s="50">
        <f>VLOOKUP($A40,'Data shares'!$C:$FB,7)</f>
        <v>1842.7</v>
      </c>
      <c r="C40" s="50">
        <f>VLOOKUP($A40,'Data shares'!$C:$FB,10)*100</f>
        <v>1.05</v>
      </c>
      <c r="D40" s="49">
        <f>VLOOKUP($A40,'Data shares'!$C:$FB,66)</f>
        <v>3995225</v>
      </c>
      <c r="E40" s="49">
        <f>VLOOKUP($A40,'Data shares'!$C:$FB,67)</f>
        <v>1244750</v>
      </c>
      <c r="F40" s="50">
        <f>VLOOKUP($A40,'Data shares'!$C:$FB,69)*100</f>
        <v>220.97000000000003</v>
      </c>
      <c r="G40" s="49">
        <f>VLOOKUP($A40,'Data shares'!$C:$FB,42)</f>
        <v>1087450</v>
      </c>
      <c r="H40" s="49">
        <f>VLOOKUP($A40,'Data shares'!$C:$FB,43)</f>
        <v>546975</v>
      </c>
      <c r="I40" s="50">
        <f>VLOOKUP($A40,'Data shares'!$C:$FB,45)*100</f>
        <v>98.81</v>
      </c>
      <c r="J40" s="49">
        <f>VLOOKUP($A40,'Data shares'!$C:$FB,58)</f>
        <v>1949350</v>
      </c>
      <c r="K40" s="49">
        <f>VLOOKUP($A40,'Data shares'!$C:$FB,59)</f>
        <v>451425</v>
      </c>
      <c r="L40" s="50">
        <f>VLOOKUP($A40,'Data shares'!$C:$FB,61)*100</f>
        <v>331.82</v>
      </c>
      <c r="M40" s="49">
        <f>VLOOKUP($A40,'Data shares'!$C:$FB,62)</f>
        <v>958425</v>
      </c>
      <c r="N40" s="49">
        <f>VLOOKUP($A40,'Data shares'!$C:$FB,63)</f>
        <v>246350</v>
      </c>
      <c r="O40" s="140">
        <f>VLOOKUP($A40,'Data shares'!$C:$FB,65)*100</f>
        <v>289.05</v>
      </c>
    </row>
    <row r="41" spans="1:15" x14ac:dyDescent="0.25">
      <c r="A41" s="101" t="str">
        <f>'Data shares'!C36</f>
        <v>BOSCHLTD</v>
      </c>
      <c r="B41" s="50">
        <f>VLOOKUP($A41,'Data shares'!$C:$FB,7)</f>
        <v>39145</v>
      </c>
      <c r="C41" s="50">
        <f>VLOOKUP($A41,'Data shares'!$C:$FB,10)*100</f>
        <v>0.47000000000000003</v>
      </c>
      <c r="D41" s="49">
        <f>VLOOKUP($A41,'Data shares'!$C:$FB,66)</f>
        <v>1142000</v>
      </c>
      <c r="E41" s="49">
        <f>VLOOKUP($A41,'Data shares'!$C:$FB,67)</f>
        <v>622000</v>
      </c>
      <c r="F41" s="50">
        <f>VLOOKUP($A41,'Data shares'!$C:$FB,69)*100</f>
        <v>83.6</v>
      </c>
      <c r="G41" s="49">
        <f>VLOOKUP($A41,'Data shares'!$C:$FB,42)</f>
        <v>64275</v>
      </c>
      <c r="H41" s="49">
        <f>VLOOKUP($A41,'Data shares'!$C:$FB,43)</f>
        <v>46925</v>
      </c>
      <c r="I41" s="50">
        <f>VLOOKUP($A41,'Data shares'!$C:$FB,45)*100</f>
        <v>36.97</v>
      </c>
      <c r="J41" s="49">
        <f>VLOOKUP($A41,'Data shares'!$C:$FB,58)</f>
        <v>571750</v>
      </c>
      <c r="K41" s="49">
        <f>VLOOKUP($A41,'Data shares'!$C:$FB,59)</f>
        <v>375550</v>
      </c>
      <c r="L41" s="50">
        <f>VLOOKUP($A41,'Data shares'!$C:$FB,61)*100</f>
        <v>52.239999999999995</v>
      </c>
      <c r="M41" s="49">
        <f>VLOOKUP($A41,'Data shares'!$C:$FB,62)</f>
        <v>505975</v>
      </c>
      <c r="N41" s="49">
        <f>VLOOKUP($A41,'Data shares'!$C:$FB,63)</f>
        <v>199525</v>
      </c>
      <c r="O41" s="140">
        <f>VLOOKUP($A41,'Data shares'!$C:$FB,65)*100</f>
        <v>153.59</v>
      </c>
    </row>
    <row r="42" spans="1:15" x14ac:dyDescent="0.25">
      <c r="A42" s="101" t="str">
        <f>'Data shares'!C37</f>
        <v>BPCL</v>
      </c>
      <c r="B42" s="50">
        <f>VLOOKUP($A42,'Data shares'!$C:$FB,7)</f>
        <v>368.2</v>
      </c>
      <c r="C42" s="50">
        <f>VLOOKUP($A42,'Data shares'!$C:$FB,10)*100</f>
        <v>-0.70000000000000007</v>
      </c>
      <c r="D42" s="49">
        <f>VLOOKUP($A42,'Data shares'!$C:$FB,66)</f>
        <v>21470225</v>
      </c>
      <c r="E42" s="49">
        <f>VLOOKUP($A42,'Data shares'!$C:$FB,67)</f>
        <v>65615425</v>
      </c>
      <c r="F42" s="50">
        <f>VLOOKUP($A42,'Data shares'!$C:$FB,69)*100</f>
        <v>-67.28</v>
      </c>
      <c r="G42" s="49">
        <f>VLOOKUP($A42,'Data shares'!$C:$FB,42)</f>
        <v>3651775</v>
      </c>
      <c r="H42" s="49">
        <f>VLOOKUP($A42,'Data shares'!$C:$FB,43)</f>
        <v>10426025</v>
      </c>
      <c r="I42" s="50">
        <f>VLOOKUP($A42,'Data shares'!$C:$FB,45)*100</f>
        <v>-64.97</v>
      </c>
      <c r="J42" s="49">
        <f>VLOOKUP($A42,'Data shares'!$C:$FB,58)</f>
        <v>11297000</v>
      </c>
      <c r="K42" s="49">
        <f>VLOOKUP($A42,'Data shares'!$C:$FB,59)</f>
        <v>32372225</v>
      </c>
      <c r="L42" s="50">
        <f>VLOOKUP($A42,'Data shares'!$C:$FB,61)*100</f>
        <v>-65.100000000000009</v>
      </c>
      <c r="M42" s="49">
        <f>VLOOKUP($A42,'Data shares'!$C:$FB,62)</f>
        <v>6521450</v>
      </c>
      <c r="N42" s="49">
        <f>VLOOKUP($A42,'Data shares'!$C:$FB,63)</f>
        <v>22817175</v>
      </c>
      <c r="O42" s="140">
        <f>VLOOKUP($A42,'Data shares'!$C:$FB,65)*100</f>
        <v>-71.419999999999987</v>
      </c>
    </row>
    <row r="43" spans="1:15" x14ac:dyDescent="0.25">
      <c r="A43" s="101" t="str">
        <f>'Data shares'!C38</f>
        <v>BRITANNIA</v>
      </c>
      <c r="B43" s="50">
        <f>VLOOKUP($A43,'Data shares'!$C:$FB,7)</f>
        <v>6185</v>
      </c>
      <c r="C43" s="50">
        <f>VLOOKUP($A43,'Data shares'!$C:$FB,10)*100</f>
        <v>0.91</v>
      </c>
      <c r="D43" s="49">
        <f>VLOOKUP($A43,'Data shares'!$C:$FB,66)</f>
        <v>4725875</v>
      </c>
      <c r="E43" s="49">
        <f>VLOOKUP($A43,'Data shares'!$C:$FB,67)</f>
        <v>4215250</v>
      </c>
      <c r="F43" s="50">
        <f>VLOOKUP($A43,'Data shares'!$C:$FB,69)*100</f>
        <v>12.11</v>
      </c>
      <c r="G43" s="49">
        <f>VLOOKUP($A43,'Data shares'!$C:$FB,42)</f>
        <v>546875</v>
      </c>
      <c r="H43" s="49">
        <f>VLOOKUP($A43,'Data shares'!$C:$FB,43)</f>
        <v>800750</v>
      </c>
      <c r="I43" s="50">
        <f>VLOOKUP($A43,'Data shares'!$C:$FB,45)*100</f>
        <v>-31.7</v>
      </c>
      <c r="J43" s="49">
        <f>VLOOKUP($A43,'Data shares'!$C:$FB,58)</f>
        <v>3049000</v>
      </c>
      <c r="K43" s="49">
        <f>VLOOKUP($A43,'Data shares'!$C:$FB,59)</f>
        <v>2503500</v>
      </c>
      <c r="L43" s="50">
        <f>VLOOKUP($A43,'Data shares'!$C:$FB,61)*100</f>
        <v>21.790000000000003</v>
      </c>
      <c r="M43" s="49">
        <f>VLOOKUP($A43,'Data shares'!$C:$FB,62)</f>
        <v>1130000</v>
      </c>
      <c r="N43" s="49">
        <f>VLOOKUP($A43,'Data shares'!$C:$FB,63)</f>
        <v>911000</v>
      </c>
      <c r="O43" s="140">
        <f>VLOOKUP($A43,'Data shares'!$C:$FB,65)*100</f>
        <v>24.04</v>
      </c>
    </row>
    <row r="44" spans="1:15" x14ac:dyDescent="0.25">
      <c r="A44" s="101" t="str">
        <f>'Data shares'!C39</f>
        <v>BSE</v>
      </c>
      <c r="B44" s="50">
        <f>VLOOKUP($A44,'Data shares'!$C:$FB,7)</f>
        <v>2744.9</v>
      </c>
      <c r="C44" s="50">
        <f>VLOOKUP($A44,'Data shares'!$C:$FB,10)*100</f>
        <v>1.43</v>
      </c>
      <c r="D44" s="49">
        <f>VLOOKUP($A44,'Data shares'!$C:$FB,66)</f>
        <v>23404500</v>
      </c>
      <c r="E44" s="49">
        <f>VLOOKUP($A44,'Data shares'!$C:$FB,67)</f>
        <v>21691125</v>
      </c>
      <c r="F44" s="50">
        <f>VLOOKUP($A44,'Data shares'!$C:$FB,69)*100</f>
        <v>7.9</v>
      </c>
      <c r="G44" s="49">
        <f>VLOOKUP($A44,'Data shares'!$C:$FB,42)</f>
        <v>3044625</v>
      </c>
      <c r="H44" s="49">
        <f>VLOOKUP($A44,'Data shares'!$C:$FB,43)</f>
        <v>3052875</v>
      </c>
      <c r="I44" s="50">
        <f>VLOOKUP($A44,'Data shares'!$C:$FB,45)*100</f>
        <v>-0.27</v>
      </c>
      <c r="J44" s="49">
        <f>VLOOKUP($A44,'Data shares'!$C:$FB,58)</f>
        <v>13461000</v>
      </c>
      <c r="K44" s="49">
        <f>VLOOKUP($A44,'Data shares'!$C:$FB,59)</f>
        <v>12315750</v>
      </c>
      <c r="L44" s="50">
        <f>VLOOKUP($A44,'Data shares'!$C:$FB,61)*100</f>
        <v>9.3000000000000007</v>
      </c>
      <c r="M44" s="49">
        <f>VLOOKUP($A44,'Data shares'!$C:$FB,62)</f>
        <v>6898875</v>
      </c>
      <c r="N44" s="49">
        <f>VLOOKUP($A44,'Data shares'!$C:$FB,63)</f>
        <v>6322500</v>
      </c>
      <c r="O44" s="140">
        <f>VLOOKUP($A44,'Data shares'!$C:$FB,65)*100</f>
        <v>9.120000000000001</v>
      </c>
    </row>
    <row r="45" spans="1:15" x14ac:dyDescent="0.25">
      <c r="A45" s="101" t="str">
        <f>'Data shares'!C40</f>
        <v>CAMS</v>
      </c>
      <c r="B45" s="50">
        <f>VLOOKUP($A45,'Data shares'!$C:$FB,7)</f>
        <v>756.8</v>
      </c>
      <c r="C45" s="50">
        <f>VLOOKUP($A45,'Data shares'!$C:$FB,10)*100</f>
        <v>0.94000000000000006</v>
      </c>
      <c r="D45" s="49">
        <f>VLOOKUP($A45,'Data shares'!$C:$FB,66)</f>
        <v>4629000</v>
      </c>
      <c r="E45" s="49">
        <f>VLOOKUP($A45,'Data shares'!$C:$FB,67)</f>
        <v>3571500</v>
      </c>
      <c r="F45" s="50">
        <f>VLOOKUP($A45,'Data shares'!$C:$FB,69)*100</f>
        <v>29.609999999999996</v>
      </c>
      <c r="G45" s="49">
        <f>VLOOKUP($A45,'Data shares'!$C:$FB,42)</f>
        <v>1338750</v>
      </c>
      <c r="H45" s="49">
        <f>VLOOKUP($A45,'Data shares'!$C:$FB,43)</f>
        <v>1152750</v>
      </c>
      <c r="I45" s="50">
        <f>VLOOKUP($A45,'Data shares'!$C:$FB,45)*100</f>
        <v>16.14</v>
      </c>
      <c r="J45" s="49">
        <f>VLOOKUP($A45,'Data shares'!$C:$FB,58)</f>
        <v>2466000</v>
      </c>
      <c r="K45" s="49">
        <f>VLOOKUP($A45,'Data shares'!$C:$FB,59)</f>
        <v>1722750</v>
      </c>
      <c r="L45" s="50">
        <f>VLOOKUP($A45,'Data shares'!$C:$FB,61)*100</f>
        <v>43.14</v>
      </c>
      <c r="M45" s="49">
        <f>VLOOKUP($A45,'Data shares'!$C:$FB,62)</f>
        <v>824250</v>
      </c>
      <c r="N45" s="49">
        <f>VLOOKUP($A45,'Data shares'!$C:$FB,63)</f>
        <v>696000</v>
      </c>
      <c r="O45" s="140">
        <f>VLOOKUP($A45,'Data shares'!$C:$FB,65)*100</f>
        <v>18.43</v>
      </c>
    </row>
    <row r="46" spans="1:15" x14ac:dyDescent="0.25">
      <c r="A46" s="101" t="str">
        <f>'Data shares'!C41</f>
        <v>CANBK</v>
      </c>
      <c r="B46" s="50">
        <f>VLOOKUP($A46,'Data shares'!$C:$FB,7)</f>
        <v>152.96</v>
      </c>
      <c r="C46" s="50">
        <f>VLOOKUP($A46,'Data shares'!$C:$FB,10)*100</f>
        <v>-0.6</v>
      </c>
      <c r="D46" s="49">
        <f>VLOOKUP($A46,'Data shares'!$C:$FB,66)</f>
        <v>247704750</v>
      </c>
      <c r="E46" s="49">
        <f>VLOOKUP($A46,'Data shares'!$C:$FB,67)</f>
        <v>171807750</v>
      </c>
      <c r="F46" s="50">
        <f>VLOOKUP($A46,'Data shares'!$C:$FB,69)*100</f>
        <v>44.18</v>
      </c>
      <c r="G46" s="49">
        <f>VLOOKUP($A46,'Data shares'!$C:$FB,42)</f>
        <v>59447250</v>
      </c>
      <c r="H46" s="49">
        <f>VLOOKUP($A46,'Data shares'!$C:$FB,43)</f>
        <v>48667500</v>
      </c>
      <c r="I46" s="50">
        <f>VLOOKUP($A46,'Data shares'!$C:$FB,45)*100</f>
        <v>22.15</v>
      </c>
      <c r="J46" s="49">
        <f>VLOOKUP($A46,'Data shares'!$C:$FB,58)</f>
        <v>113116500</v>
      </c>
      <c r="K46" s="49">
        <f>VLOOKUP($A46,'Data shares'!$C:$FB,59)</f>
        <v>79245000</v>
      </c>
      <c r="L46" s="50">
        <f>VLOOKUP($A46,'Data shares'!$C:$FB,61)*100</f>
        <v>42.74</v>
      </c>
      <c r="M46" s="49">
        <f>VLOOKUP($A46,'Data shares'!$C:$FB,62)</f>
        <v>75141000</v>
      </c>
      <c r="N46" s="49">
        <f>VLOOKUP($A46,'Data shares'!$C:$FB,63)</f>
        <v>43895250</v>
      </c>
      <c r="O46" s="140">
        <f>VLOOKUP($A46,'Data shares'!$C:$FB,65)*100</f>
        <v>71.179999999999993</v>
      </c>
    </row>
    <row r="47" spans="1:15" x14ac:dyDescent="0.25">
      <c r="A47" s="101" t="str">
        <f>'Data shares'!C42</f>
        <v>CDSL</v>
      </c>
      <c r="B47" s="50">
        <f>VLOOKUP($A47,'Data shares'!$C:$FB,7)</f>
        <v>1475.6</v>
      </c>
      <c r="C47" s="50">
        <f>VLOOKUP($A47,'Data shares'!$C:$FB,10)*100</f>
        <v>1.28</v>
      </c>
      <c r="D47" s="49">
        <f>VLOOKUP($A47,'Data shares'!$C:$FB,66)</f>
        <v>10580625</v>
      </c>
      <c r="E47" s="49">
        <f>VLOOKUP($A47,'Data shares'!$C:$FB,67)</f>
        <v>8804600</v>
      </c>
      <c r="F47" s="50">
        <f>VLOOKUP($A47,'Data shares'!$C:$FB,69)*100</f>
        <v>20.169999999999998</v>
      </c>
      <c r="G47" s="49">
        <f>VLOOKUP($A47,'Data shares'!$C:$FB,42)</f>
        <v>1765100</v>
      </c>
      <c r="H47" s="49">
        <f>VLOOKUP($A47,'Data shares'!$C:$FB,43)</f>
        <v>1484375</v>
      </c>
      <c r="I47" s="50">
        <f>VLOOKUP($A47,'Data shares'!$C:$FB,45)*100</f>
        <v>18.91</v>
      </c>
      <c r="J47" s="49">
        <f>VLOOKUP($A47,'Data shares'!$C:$FB,58)</f>
        <v>5944625</v>
      </c>
      <c r="K47" s="49">
        <f>VLOOKUP($A47,'Data shares'!$C:$FB,59)</f>
        <v>4874925</v>
      </c>
      <c r="L47" s="50">
        <f>VLOOKUP($A47,'Data shares'!$C:$FB,61)*100</f>
        <v>21.94</v>
      </c>
      <c r="M47" s="49">
        <f>VLOOKUP($A47,'Data shares'!$C:$FB,62)</f>
        <v>2870900</v>
      </c>
      <c r="N47" s="49">
        <f>VLOOKUP($A47,'Data shares'!$C:$FB,63)</f>
        <v>2445300</v>
      </c>
      <c r="O47" s="140">
        <f>VLOOKUP($A47,'Data shares'!$C:$FB,65)*100</f>
        <v>17.399999999999999</v>
      </c>
    </row>
    <row r="48" spans="1:15" x14ac:dyDescent="0.25">
      <c r="A48" s="101" t="str">
        <f>'Data shares'!C43</f>
        <v>CGPOWER</v>
      </c>
      <c r="B48" s="50">
        <f>VLOOKUP($A48,'Data shares'!$C:$FB,7)</f>
        <v>636.95000000000005</v>
      </c>
      <c r="C48" s="50">
        <f>VLOOKUP($A48,'Data shares'!$C:$FB,10)*100</f>
        <v>-0.13999999999999999</v>
      </c>
      <c r="D48" s="49">
        <f>VLOOKUP($A48,'Data shares'!$C:$FB,66)</f>
        <v>8210150</v>
      </c>
      <c r="E48" s="49">
        <f>VLOOKUP($A48,'Data shares'!$C:$FB,67)</f>
        <v>6839950</v>
      </c>
      <c r="F48" s="50">
        <f>VLOOKUP($A48,'Data shares'!$C:$FB,69)*100</f>
        <v>20.03</v>
      </c>
      <c r="G48" s="49">
        <f>VLOOKUP($A48,'Data shares'!$C:$FB,42)</f>
        <v>1959250</v>
      </c>
      <c r="H48" s="49">
        <f>VLOOKUP($A48,'Data shares'!$C:$FB,43)</f>
        <v>1609900</v>
      </c>
      <c r="I48" s="50">
        <f>VLOOKUP($A48,'Data shares'!$C:$FB,45)*100</f>
        <v>21.7</v>
      </c>
      <c r="J48" s="49">
        <f>VLOOKUP($A48,'Data shares'!$C:$FB,58)</f>
        <v>4564500</v>
      </c>
      <c r="K48" s="49">
        <f>VLOOKUP($A48,'Data shares'!$C:$FB,59)</f>
        <v>3853050</v>
      </c>
      <c r="L48" s="50">
        <f>VLOOKUP($A48,'Data shares'!$C:$FB,61)*100</f>
        <v>18.459999999999997</v>
      </c>
      <c r="M48" s="49">
        <f>VLOOKUP($A48,'Data shares'!$C:$FB,62)</f>
        <v>1686400</v>
      </c>
      <c r="N48" s="49">
        <f>VLOOKUP($A48,'Data shares'!$C:$FB,63)</f>
        <v>1377000</v>
      </c>
      <c r="O48" s="140">
        <f>VLOOKUP($A48,'Data shares'!$C:$FB,65)*100</f>
        <v>22.470000000000002</v>
      </c>
    </row>
    <row r="49" spans="1:15" x14ac:dyDescent="0.25">
      <c r="A49" s="101" t="str">
        <f>'Data shares'!C44</f>
        <v>CHOLAFIN</v>
      </c>
      <c r="B49" s="50">
        <f>VLOOKUP($A49,'Data shares'!$C:$FB,7)</f>
        <v>1786.5</v>
      </c>
      <c r="C49" s="50">
        <f>VLOOKUP($A49,'Data shares'!$C:$FB,10)*100</f>
        <v>-1.05</v>
      </c>
      <c r="D49" s="49">
        <f>VLOOKUP($A49,'Data shares'!$C:$FB,66)</f>
        <v>6893125</v>
      </c>
      <c r="E49" s="49">
        <f>VLOOKUP($A49,'Data shares'!$C:$FB,67)</f>
        <v>31267500</v>
      </c>
      <c r="F49" s="50">
        <f>VLOOKUP($A49,'Data shares'!$C:$FB,69)*100</f>
        <v>-77.95</v>
      </c>
      <c r="G49" s="49">
        <f>VLOOKUP($A49,'Data shares'!$C:$FB,42)</f>
        <v>1226250</v>
      </c>
      <c r="H49" s="49">
        <f>VLOOKUP($A49,'Data shares'!$C:$FB,43)</f>
        <v>3304375</v>
      </c>
      <c r="I49" s="50">
        <f>VLOOKUP($A49,'Data shares'!$C:$FB,45)*100</f>
        <v>-62.89</v>
      </c>
      <c r="J49" s="49">
        <f>VLOOKUP($A49,'Data shares'!$C:$FB,58)</f>
        <v>3017500</v>
      </c>
      <c r="K49" s="49">
        <f>VLOOKUP($A49,'Data shares'!$C:$FB,59)</f>
        <v>19880625</v>
      </c>
      <c r="L49" s="50">
        <f>VLOOKUP($A49,'Data shares'!$C:$FB,61)*100</f>
        <v>-84.82</v>
      </c>
      <c r="M49" s="49">
        <f>VLOOKUP($A49,'Data shares'!$C:$FB,62)</f>
        <v>2649375</v>
      </c>
      <c r="N49" s="49">
        <f>VLOOKUP($A49,'Data shares'!$C:$FB,63)</f>
        <v>8082500</v>
      </c>
      <c r="O49" s="140">
        <f>VLOOKUP($A49,'Data shares'!$C:$FB,65)*100</f>
        <v>-67.22</v>
      </c>
    </row>
    <row r="50" spans="1:15" x14ac:dyDescent="0.25">
      <c r="A50" s="101" t="str">
        <f>'Data shares'!C45</f>
        <v>CIPLA</v>
      </c>
      <c r="B50" s="50">
        <f>VLOOKUP($A50,'Data shares'!$C:$FB,7)</f>
        <v>1467.9</v>
      </c>
      <c r="C50" s="50">
        <f>VLOOKUP($A50,'Data shares'!$C:$FB,10)*100</f>
        <v>-4.1099999999999994</v>
      </c>
      <c r="D50" s="49">
        <f>VLOOKUP($A50,'Data shares'!$C:$FB,66)</f>
        <v>67019250</v>
      </c>
      <c r="E50" s="49">
        <f>VLOOKUP($A50,'Data shares'!$C:$FB,67)</f>
        <v>12056625</v>
      </c>
      <c r="F50" s="50">
        <f>VLOOKUP($A50,'Data shares'!$C:$FB,69)*100</f>
        <v>455.87</v>
      </c>
      <c r="G50" s="49">
        <f>VLOOKUP($A50,'Data shares'!$C:$FB,42)</f>
        <v>6790125</v>
      </c>
      <c r="H50" s="49">
        <f>VLOOKUP($A50,'Data shares'!$C:$FB,43)</f>
        <v>1677000</v>
      </c>
      <c r="I50" s="50">
        <f>VLOOKUP($A50,'Data shares'!$C:$FB,45)*100</f>
        <v>304.89999999999998</v>
      </c>
      <c r="J50" s="49">
        <f>VLOOKUP($A50,'Data shares'!$C:$FB,58)</f>
        <v>27893625</v>
      </c>
      <c r="K50" s="49">
        <f>VLOOKUP($A50,'Data shares'!$C:$FB,59)</f>
        <v>7629750</v>
      </c>
      <c r="L50" s="50">
        <f>VLOOKUP($A50,'Data shares'!$C:$FB,61)*100</f>
        <v>265.58999999999997</v>
      </c>
      <c r="M50" s="49">
        <f>VLOOKUP($A50,'Data shares'!$C:$FB,62)</f>
        <v>32335500</v>
      </c>
      <c r="N50" s="49">
        <f>VLOOKUP($A50,'Data shares'!$C:$FB,63)</f>
        <v>2749875</v>
      </c>
      <c r="O50" s="140">
        <f>VLOOKUP($A50,'Data shares'!$C:$FB,65)*100</f>
        <v>1075.8900000000001</v>
      </c>
    </row>
    <row r="51" spans="1:15" x14ac:dyDescent="0.25">
      <c r="A51" s="101" t="str">
        <f>'Data shares'!C46</f>
        <v>COALINDIA</v>
      </c>
      <c r="B51" s="50">
        <f>VLOOKUP($A51,'Data shares'!$C:$FB,7)</f>
        <v>431.65</v>
      </c>
      <c r="C51" s="50">
        <f>VLOOKUP($A51,'Data shares'!$C:$FB,10)*100</f>
        <v>1.08</v>
      </c>
      <c r="D51" s="49">
        <f>VLOOKUP($A51,'Data shares'!$C:$FB,66)</f>
        <v>82944000</v>
      </c>
      <c r="E51" s="49">
        <f>VLOOKUP($A51,'Data shares'!$C:$FB,67)</f>
        <v>76810950</v>
      </c>
      <c r="F51" s="50">
        <f>VLOOKUP($A51,'Data shares'!$C:$FB,69)*100</f>
        <v>7.9799999999999995</v>
      </c>
      <c r="G51" s="49">
        <f>VLOOKUP($A51,'Data shares'!$C:$FB,42)</f>
        <v>10118250</v>
      </c>
      <c r="H51" s="49">
        <f>VLOOKUP($A51,'Data shares'!$C:$FB,43)</f>
        <v>10197900</v>
      </c>
      <c r="I51" s="50">
        <f>VLOOKUP($A51,'Data shares'!$C:$FB,45)*100</f>
        <v>-0.77999999999999992</v>
      </c>
      <c r="J51" s="49">
        <f>VLOOKUP($A51,'Data shares'!$C:$FB,58)</f>
        <v>55294650</v>
      </c>
      <c r="K51" s="49">
        <f>VLOOKUP($A51,'Data shares'!$C:$FB,59)</f>
        <v>46579050</v>
      </c>
      <c r="L51" s="50">
        <f>VLOOKUP($A51,'Data shares'!$C:$FB,61)*100</f>
        <v>18.709999999999997</v>
      </c>
      <c r="M51" s="49">
        <f>VLOOKUP($A51,'Data shares'!$C:$FB,62)</f>
        <v>17531100</v>
      </c>
      <c r="N51" s="49">
        <f>VLOOKUP($A51,'Data shares'!$C:$FB,63)</f>
        <v>20034000</v>
      </c>
      <c r="O51" s="140">
        <f>VLOOKUP($A51,'Data shares'!$C:$FB,65)*100</f>
        <v>-12.49</v>
      </c>
    </row>
    <row r="52" spans="1:15" x14ac:dyDescent="0.25">
      <c r="A52" s="101" t="str">
        <f>'Data shares'!C47</f>
        <v>COFORGE</v>
      </c>
      <c r="B52" s="50">
        <f>VLOOKUP($A52,'Data shares'!$C:$FB,7)</f>
        <v>1701.5</v>
      </c>
      <c r="C52" s="50">
        <f>VLOOKUP($A52,'Data shares'!$C:$FB,10)*100</f>
        <v>2.68</v>
      </c>
      <c r="D52" s="49">
        <f>VLOOKUP($A52,'Data shares'!$C:$FB,66)</f>
        <v>26512500</v>
      </c>
      <c r="E52" s="49">
        <f>VLOOKUP($A52,'Data shares'!$C:$FB,67)</f>
        <v>12943875</v>
      </c>
      <c r="F52" s="50">
        <f>VLOOKUP($A52,'Data shares'!$C:$FB,69)*100</f>
        <v>104.83</v>
      </c>
      <c r="G52" s="49">
        <f>VLOOKUP($A52,'Data shares'!$C:$FB,42)</f>
        <v>4288500</v>
      </c>
      <c r="H52" s="49">
        <f>VLOOKUP($A52,'Data shares'!$C:$FB,43)</f>
        <v>2687625</v>
      </c>
      <c r="I52" s="50">
        <f>VLOOKUP($A52,'Data shares'!$C:$FB,45)*100</f>
        <v>59.56</v>
      </c>
      <c r="J52" s="49">
        <f>VLOOKUP($A52,'Data shares'!$C:$FB,58)</f>
        <v>16908375</v>
      </c>
      <c r="K52" s="49">
        <f>VLOOKUP($A52,'Data shares'!$C:$FB,59)</f>
        <v>7968375</v>
      </c>
      <c r="L52" s="50">
        <f>VLOOKUP($A52,'Data shares'!$C:$FB,61)*100</f>
        <v>112.18999999999998</v>
      </c>
      <c r="M52" s="49">
        <f>VLOOKUP($A52,'Data shares'!$C:$FB,62)</f>
        <v>5315625</v>
      </c>
      <c r="N52" s="49">
        <f>VLOOKUP($A52,'Data shares'!$C:$FB,63)</f>
        <v>2287875</v>
      </c>
      <c r="O52" s="140">
        <f>VLOOKUP($A52,'Data shares'!$C:$FB,65)*100</f>
        <v>132.34</v>
      </c>
    </row>
    <row r="53" spans="1:15" x14ac:dyDescent="0.25">
      <c r="A53" s="101" t="str">
        <f>'Data shares'!C48</f>
        <v>COLPAL</v>
      </c>
      <c r="B53" s="50">
        <f>VLOOKUP($A53,'Data shares'!$C:$FB,7)</f>
        <v>2076.6</v>
      </c>
      <c r="C53" s="50">
        <f>VLOOKUP($A53,'Data shares'!$C:$FB,10)*100</f>
        <v>-0.6</v>
      </c>
      <c r="D53" s="49">
        <f>VLOOKUP($A53,'Data shares'!$C:$FB,66)</f>
        <v>2560050</v>
      </c>
      <c r="E53" s="49">
        <f>VLOOKUP($A53,'Data shares'!$C:$FB,67)</f>
        <v>4335975</v>
      </c>
      <c r="F53" s="50">
        <f>VLOOKUP($A53,'Data shares'!$C:$FB,69)*100</f>
        <v>-40.96</v>
      </c>
      <c r="G53" s="49">
        <f>VLOOKUP($A53,'Data shares'!$C:$FB,42)</f>
        <v>645300</v>
      </c>
      <c r="H53" s="49">
        <f>VLOOKUP($A53,'Data shares'!$C:$FB,43)</f>
        <v>1456650</v>
      </c>
      <c r="I53" s="50">
        <f>VLOOKUP($A53,'Data shares'!$C:$FB,45)*100</f>
        <v>-55.7</v>
      </c>
      <c r="J53" s="49">
        <f>VLOOKUP($A53,'Data shares'!$C:$FB,58)</f>
        <v>1445850</v>
      </c>
      <c r="K53" s="49">
        <f>VLOOKUP($A53,'Data shares'!$C:$FB,59)</f>
        <v>2116350</v>
      </c>
      <c r="L53" s="50">
        <f>VLOOKUP($A53,'Data shares'!$C:$FB,61)*100</f>
        <v>-31.680000000000003</v>
      </c>
      <c r="M53" s="49">
        <f>VLOOKUP($A53,'Data shares'!$C:$FB,62)</f>
        <v>468900</v>
      </c>
      <c r="N53" s="49">
        <f>VLOOKUP($A53,'Data shares'!$C:$FB,63)</f>
        <v>762975</v>
      </c>
      <c r="O53" s="140">
        <f>VLOOKUP($A53,'Data shares'!$C:$FB,65)*100</f>
        <v>-38.54</v>
      </c>
    </row>
    <row r="54" spans="1:15" x14ac:dyDescent="0.25">
      <c r="A54" s="101" t="str">
        <f>'Data shares'!C49</f>
        <v>CONCOR</v>
      </c>
      <c r="B54" s="50">
        <f>VLOOKUP($A54,'Data shares'!$C:$FB,7)</f>
        <v>532.79999999999995</v>
      </c>
      <c r="C54" s="50">
        <f>VLOOKUP($A54,'Data shares'!$C:$FB,10)*100</f>
        <v>0.54</v>
      </c>
      <c r="D54" s="49">
        <f>VLOOKUP($A54,'Data shares'!$C:$FB,66)</f>
        <v>11077500</v>
      </c>
      <c r="E54" s="49">
        <f>VLOOKUP($A54,'Data shares'!$C:$FB,67)</f>
        <v>10635000</v>
      </c>
      <c r="F54" s="50">
        <f>VLOOKUP($A54,'Data shares'!$C:$FB,69)*100</f>
        <v>4.16</v>
      </c>
      <c r="G54" s="49">
        <f>VLOOKUP($A54,'Data shares'!$C:$FB,42)</f>
        <v>2846250</v>
      </c>
      <c r="H54" s="49">
        <f>VLOOKUP($A54,'Data shares'!$C:$FB,43)</f>
        <v>3050000</v>
      </c>
      <c r="I54" s="50">
        <f>VLOOKUP($A54,'Data shares'!$C:$FB,45)*100</f>
        <v>-6.68</v>
      </c>
      <c r="J54" s="49">
        <f>VLOOKUP($A54,'Data shares'!$C:$FB,58)</f>
        <v>6170000</v>
      </c>
      <c r="K54" s="49">
        <f>VLOOKUP($A54,'Data shares'!$C:$FB,59)</f>
        <v>5833750</v>
      </c>
      <c r="L54" s="50">
        <f>VLOOKUP($A54,'Data shares'!$C:$FB,61)*100</f>
        <v>5.76</v>
      </c>
      <c r="M54" s="49">
        <f>VLOOKUP($A54,'Data shares'!$C:$FB,62)</f>
        <v>2061250</v>
      </c>
      <c r="N54" s="49">
        <f>VLOOKUP($A54,'Data shares'!$C:$FB,63)</f>
        <v>1751250</v>
      </c>
      <c r="O54" s="140">
        <f>VLOOKUP($A54,'Data shares'!$C:$FB,65)*100</f>
        <v>17.7</v>
      </c>
    </row>
    <row r="55" spans="1:15" x14ac:dyDescent="0.25">
      <c r="A55" s="101" t="str">
        <f>'Data shares'!C50</f>
        <v>CROMPTON</v>
      </c>
      <c r="B55" s="50">
        <f>VLOOKUP($A55,'Data shares'!$C:$FB,7)</f>
        <v>263.45</v>
      </c>
      <c r="C55" s="50">
        <f>VLOOKUP($A55,'Data shares'!$C:$FB,10)*100</f>
        <v>1.37</v>
      </c>
      <c r="D55" s="49">
        <f>VLOOKUP($A55,'Data shares'!$C:$FB,66)</f>
        <v>41774400</v>
      </c>
      <c r="E55" s="49">
        <f>VLOOKUP($A55,'Data shares'!$C:$FB,67)</f>
        <v>38881800</v>
      </c>
      <c r="F55" s="50">
        <f>VLOOKUP($A55,'Data shares'!$C:$FB,69)*100</f>
        <v>7.4399999999999995</v>
      </c>
      <c r="G55" s="49">
        <f>VLOOKUP($A55,'Data shares'!$C:$FB,42)</f>
        <v>8416800</v>
      </c>
      <c r="H55" s="49">
        <f>VLOOKUP($A55,'Data shares'!$C:$FB,43)</f>
        <v>9685800</v>
      </c>
      <c r="I55" s="50">
        <f>VLOOKUP($A55,'Data shares'!$C:$FB,45)*100</f>
        <v>-13.100000000000001</v>
      </c>
      <c r="J55" s="49">
        <f>VLOOKUP($A55,'Data shares'!$C:$FB,58)</f>
        <v>26753400</v>
      </c>
      <c r="K55" s="49">
        <f>VLOOKUP($A55,'Data shares'!$C:$FB,59)</f>
        <v>24487200</v>
      </c>
      <c r="L55" s="50">
        <f>VLOOKUP($A55,'Data shares'!$C:$FB,61)*100</f>
        <v>9.25</v>
      </c>
      <c r="M55" s="49">
        <f>VLOOKUP($A55,'Data shares'!$C:$FB,62)</f>
        <v>6604200</v>
      </c>
      <c r="N55" s="49">
        <f>VLOOKUP($A55,'Data shares'!$C:$FB,63)</f>
        <v>4708800</v>
      </c>
      <c r="O55" s="140">
        <f>VLOOKUP($A55,'Data shares'!$C:$FB,65)*100</f>
        <v>40.25</v>
      </c>
    </row>
    <row r="56" spans="1:15" x14ac:dyDescent="0.25">
      <c r="A56" s="101" t="str">
        <f>'Data shares'!C51</f>
        <v>CUMMINSIND</v>
      </c>
      <c r="B56" s="50">
        <f>VLOOKUP($A56,'Data shares'!$C:$FB,7)</f>
        <v>4147.8999999999996</v>
      </c>
      <c r="C56" s="50">
        <f>VLOOKUP($A56,'Data shares'!$C:$FB,10)*100</f>
        <v>0.43</v>
      </c>
      <c r="D56" s="49">
        <f>VLOOKUP($A56,'Data shares'!$C:$FB,66)</f>
        <v>3408800</v>
      </c>
      <c r="E56" s="49">
        <f>VLOOKUP($A56,'Data shares'!$C:$FB,67)</f>
        <v>8735200</v>
      </c>
      <c r="F56" s="50">
        <f>VLOOKUP($A56,'Data shares'!$C:$FB,69)*100</f>
        <v>-60.980000000000004</v>
      </c>
      <c r="G56" s="49">
        <f>VLOOKUP($A56,'Data shares'!$C:$FB,42)</f>
        <v>875200</v>
      </c>
      <c r="H56" s="49">
        <f>VLOOKUP($A56,'Data shares'!$C:$FB,43)</f>
        <v>1526600</v>
      </c>
      <c r="I56" s="50">
        <f>VLOOKUP($A56,'Data shares'!$C:$FB,45)*100</f>
        <v>-42.67</v>
      </c>
      <c r="J56" s="49">
        <f>VLOOKUP($A56,'Data shares'!$C:$FB,58)</f>
        <v>1514400</v>
      </c>
      <c r="K56" s="49">
        <f>VLOOKUP($A56,'Data shares'!$C:$FB,59)</f>
        <v>3639400</v>
      </c>
      <c r="L56" s="50">
        <f>VLOOKUP($A56,'Data shares'!$C:$FB,61)*100</f>
        <v>-58.39</v>
      </c>
      <c r="M56" s="49">
        <f>VLOOKUP($A56,'Data shares'!$C:$FB,62)</f>
        <v>1019200</v>
      </c>
      <c r="N56" s="49">
        <f>VLOOKUP($A56,'Data shares'!$C:$FB,63)</f>
        <v>3569200</v>
      </c>
      <c r="O56" s="140">
        <f>VLOOKUP($A56,'Data shares'!$C:$FB,65)*100</f>
        <v>-71.44</v>
      </c>
    </row>
    <row r="57" spans="1:15" x14ac:dyDescent="0.25">
      <c r="A57" s="101" t="str">
        <f>'Data shares'!C52</f>
        <v>DABUR</v>
      </c>
      <c r="B57" s="50">
        <f>VLOOKUP($A57,'Data shares'!$C:$FB,7)</f>
        <v>520.9</v>
      </c>
      <c r="C57" s="50">
        <f>VLOOKUP($A57,'Data shares'!$C:$FB,10)*100</f>
        <v>0.11</v>
      </c>
      <c r="D57" s="49">
        <f>VLOOKUP($A57,'Data shares'!$C:$FB,66)</f>
        <v>17687500</v>
      </c>
      <c r="E57" s="49">
        <f>VLOOKUP($A57,'Data shares'!$C:$FB,67)</f>
        <v>70788750</v>
      </c>
      <c r="F57" s="50">
        <f>VLOOKUP($A57,'Data shares'!$C:$FB,69)*100</f>
        <v>-75.010000000000005</v>
      </c>
      <c r="G57" s="49">
        <f>VLOOKUP($A57,'Data shares'!$C:$FB,42)</f>
        <v>3343750</v>
      </c>
      <c r="H57" s="49">
        <f>VLOOKUP($A57,'Data shares'!$C:$FB,43)</f>
        <v>9800000</v>
      </c>
      <c r="I57" s="50">
        <f>VLOOKUP($A57,'Data shares'!$C:$FB,45)*100</f>
        <v>-65.88000000000001</v>
      </c>
      <c r="J57" s="49">
        <f>VLOOKUP($A57,'Data shares'!$C:$FB,58)</f>
        <v>9735000</v>
      </c>
      <c r="K57" s="49">
        <f>VLOOKUP($A57,'Data shares'!$C:$FB,59)</f>
        <v>40710000</v>
      </c>
      <c r="L57" s="50">
        <f>VLOOKUP($A57,'Data shares'!$C:$FB,61)*100</f>
        <v>-76.09</v>
      </c>
      <c r="M57" s="49">
        <f>VLOOKUP($A57,'Data shares'!$C:$FB,62)</f>
        <v>4608750</v>
      </c>
      <c r="N57" s="49">
        <f>VLOOKUP($A57,'Data shares'!$C:$FB,63)</f>
        <v>20278750</v>
      </c>
      <c r="O57" s="140">
        <f>VLOOKUP($A57,'Data shares'!$C:$FB,65)*100</f>
        <v>-77.27000000000001</v>
      </c>
    </row>
    <row r="58" spans="1:15" x14ac:dyDescent="0.25">
      <c r="A58" s="101" t="str">
        <f>'Data shares'!C53</f>
        <v>DALBHARAT</v>
      </c>
      <c r="B58" s="50">
        <f>VLOOKUP($A58,'Data shares'!$C:$FB,7)</f>
        <v>2121.1999999999998</v>
      </c>
      <c r="C58" s="50">
        <f>VLOOKUP($A58,'Data shares'!$C:$FB,10)*100</f>
        <v>0.26</v>
      </c>
      <c r="D58" s="49">
        <f>VLOOKUP($A58,'Data shares'!$C:$FB,66)</f>
        <v>1421875</v>
      </c>
      <c r="E58" s="49">
        <f>VLOOKUP($A58,'Data shares'!$C:$FB,67)</f>
        <v>996450</v>
      </c>
      <c r="F58" s="50">
        <f>VLOOKUP($A58,'Data shares'!$C:$FB,69)*100</f>
        <v>42.69</v>
      </c>
      <c r="G58" s="49">
        <f>VLOOKUP($A58,'Data shares'!$C:$FB,42)</f>
        <v>483275</v>
      </c>
      <c r="H58" s="49">
        <f>VLOOKUP($A58,'Data shares'!$C:$FB,43)</f>
        <v>334750</v>
      </c>
      <c r="I58" s="50">
        <f>VLOOKUP($A58,'Data shares'!$C:$FB,45)*100</f>
        <v>44.37</v>
      </c>
      <c r="J58" s="49">
        <f>VLOOKUP($A58,'Data shares'!$C:$FB,58)</f>
        <v>724425</v>
      </c>
      <c r="K58" s="49">
        <f>VLOOKUP($A58,'Data shares'!$C:$FB,59)</f>
        <v>462150</v>
      </c>
      <c r="L58" s="50">
        <f>VLOOKUP($A58,'Data shares'!$C:$FB,61)*100</f>
        <v>56.75</v>
      </c>
      <c r="M58" s="49">
        <f>VLOOKUP($A58,'Data shares'!$C:$FB,62)</f>
        <v>214175</v>
      </c>
      <c r="N58" s="49">
        <f>VLOOKUP($A58,'Data shares'!$C:$FB,63)</f>
        <v>199550</v>
      </c>
      <c r="O58" s="140">
        <f>VLOOKUP($A58,'Data shares'!$C:$FB,65)*100</f>
        <v>7.33</v>
      </c>
    </row>
    <row r="59" spans="1:15" x14ac:dyDescent="0.25">
      <c r="A59" s="101" t="str">
        <f>'Data shares'!C54</f>
        <v>DELHIVERY</v>
      </c>
      <c r="B59" s="50">
        <f>VLOOKUP($A59,'Data shares'!$C:$FB,7)</f>
        <v>422.25</v>
      </c>
      <c r="C59" s="50">
        <f>VLOOKUP($A59,'Data shares'!$C:$FB,10)*100</f>
        <v>1.9300000000000002</v>
      </c>
      <c r="D59" s="49">
        <f>VLOOKUP($A59,'Data shares'!$C:$FB,66)</f>
        <v>41363050</v>
      </c>
      <c r="E59" s="49">
        <f>VLOOKUP($A59,'Data shares'!$C:$FB,67)</f>
        <v>22594675</v>
      </c>
      <c r="F59" s="50">
        <f>VLOOKUP($A59,'Data shares'!$C:$FB,69)*100</f>
        <v>83.07</v>
      </c>
      <c r="G59" s="49">
        <f>VLOOKUP($A59,'Data shares'!$C:$FB,42)</f>
        <v>9603100</v>
      </c>
      <c r="H59" s="49">
        <f>VLOOKUP($A59,'Data shares'!$C:$FB,43)</f>
        <v>5312000</v>
      </c>
      <c r="I59" s="50">
        <f>VLOOKUP($A59,'Data shares'!$C:$FB,45)*100</f>
        <v>80.78</v>
      </c>
      <c r="J59" s="49">
        <f>VLOOKUP($A59,'Data shares'!$C:$FB,58)</f>
        <v>22710875</v>
      </c>
      <c r="K59" s="49">
        <f>VLOOKUP($A59,'Data shares'!$C:$FB,59)</f>
        <v>12821425</v>
      </c>
      <c r="L59" s="50">
        <f>VLOOKUP($A59,'Data shares'!$C:$FB,61)*100</f>
        <v>77.13</v>
      </c>
      <c r="M59" s="49">
        <f>VLOOKUP($A59,'Data shares'!$C:$FB,62)</f>
        <v>9049075</v>
      </c>
      <c r="N59" s="49">
        <f>VLOOKUP($A59,'Data shares'!$C:$FB,63)</f>
        <v>4461250</v>
      </c>
      <c r="O59" s="140">
        <f>VLOOKUP($A59,'Data shares'!$C:$FB,65)*100</f>
        <v>102.84</v>
      </c>
    </row>
    <row r="60" spans="1:15" x14ac:dyDescent="0.25">
      <c r="A60" s="101" t="str">
        <f>'Data shares'!C55</f>
        <v>DIVISLAB</v>
      </c>
      <c r="B60" s="50">
        <f>VLOOKUP($A60,'Data shares'!$C:$FB,7)</f>
        <v>6642.5</v>
      </c>
      <c r="C60" s="50">
        <f>VLOOKUP($A60,'Data shares'!$C:$FB,10)*100</f>
        <v>0</v>
      </c>
      <c r="D60" s="49">
        <f>VLOOKUP($A60,'Data shares'!$C:$FB,66)</f>
        <v>4762300</v>
      </c>
      <c r="E60" s="49">
        <f>VLOOKUP($A60,'Data shares'!$C:$FB,67)</f>
        <v>12963900</v>
      </c>
      <c r="F60" s="50">
        <f>VLOOKUP($A60,'Data shares'!$C:$FB,69)*100</f>
        <v>-63.260000000000005</v>
      </c>
      <c r="G60" s="49">
        <f>VLOOKUP($A60,'Data shares'!$C:$FB,42)</f>
        <v>477100</v>
      </c>
      <c r="H60" s="49">
        <f>VLOOKUP($A60,'Data shares'!$C:$FB,43)</f>
        <v>940500</v>
      </c>
      <c r="I60" s="50">
        <f>VLOOKUP($A60,'Data shares'!$C:$FB,45)*100</f>
        <v>-49.27</v>
      </c>
      <c r="J60" s="49">
        <f>VLOOKUP($A60,'Data shares'!$C:$FB,58)</f>
        <v>3326000</v>
      </c>
      <c r="K60" s="49">
        <f>VLOOKUP($A60,'Data shares'!$C:$FB,59)</f>
        <v>9831700</v>
      </c>
      <c r="L60" s="50">
        <f>VLOOKUP($A60,'Data shares'!$C:$FB,61)*100</f>
        <v>-66.17</v>
      </c>
      <c r="M60" s="49">
        <f>VLOOKUP($A60,'Data shares'!$C:$FB,62)</f>
        <v>959200</v>
      </c>
      <c r="N60" s="49">
        <f>VLOOKUP($A60,'Data shares'!$C:$FB,63)</f>
        <v>2191700</v>
      </c>
      <c r="O60" s="140">
        <f>VLOOKUP($A60,'Data shares'!$C:$FB,65)*100</f>
        <v>-56.230000000000004</v>
      </c>
    </row>
    <row r="61" spans="1:15" x14ac:dyDescent="0.25">
      <c r="A61" s="101" t="str">
        <f>'Data shares'!C56</f>
        <v>DIXON</v>
      </c>
      <c r="B61" s="50">
        <f>VLOOKUP($A61,'Data shares'!$C:$FB,7)</f>
        <v>11770</v>
      </c>
      <c r="C61" s="50">
        <f>VLOOKUP($A61,'Data shares'!$C:$FB,10)*100</f>
        <v>0.38</v>
      </c>
      <c r="D61" s="49">
        <f>VLOOKUP($A61,'Data shares'!$C:$FB,66)</f>
        <v>9449700</v>
      </c>
      <c r="E61" s="49">
        <f>VLOOKUP($A61,'Data shares'!$C:$FB,67)</f>
        <v>6764750</v>
      </c>
      <c r="F61" s="50">
        <f>VLOOKUP($A61,'Data shares'!$C:$FB,69)*100</f>
        <v>39.69</v>
      </c>
      <c r="G61" s="49">
        <f>VLOOKUP($A61,'Data shares'!$C:$FB,42)</f>
        <v>1104200</v>
      </c>
      <c r="H61" s="49">
        <f>VLOOKUP($A61,'Data shares'!$C:$FB,43)</f>
        <v>962400</v>
      </c>
      <c r="I61" s="50">
        <f>VLOOKUP($A61,'Data shares'!$C:$FB,45)*100</f>
        <v>14.729999999999999</v>
      </c>
      <c r="J61" s="49">
        <f>VLOOKUP($A61,'Data shares'!$C:$FB,58)</f>
        <v>4899150</v>
      </c>
      <c r="K61" s="49">
        <f>VLOOKUP($A61,'Data shares'!$C:$FB,59)</f>
        <v>3227500</v>
      </c>
      <c r="L61" s="50">
        <f>VLOOKUP($A61,'Data shares'!$C:$FB,61)*100</f>
        <v>51.790000000000006</v>
      </c>
      <c r="M61" s="49">
        <f>VLOOKUP($A61,'Data shares'!$C:$FB,62)</f>
        <v>3446350</v>
      </c>
      <c r="N61" s="49">
        <f>VLOOKUP($A61,'Data shares'!$C:$FB,63)</f>
        <v>2574850</v>
      </c>
      <c r="O61" s="140">
        <f>VLOOKUP($A61,'Data shares'!$C:$FB,65)*100</f>
        <v>33.85</v>
      </c>
    </row>
    <row r="62" spans="1:15" x14ac:dyDescent="0.25">
      <c r="A62" s="101" t="str">
        <f>'Data shares'!C57</f>
        <v>DLF</v>
      </c>
      <c r="B62" s="50">
        <f>VLOOKUP($A62,'Data shares'!$C:$FB,7)</f>
        <v>703.25</v>
      </c>
      <c r="C62" s="50">
        <f>VLOOKUP($A62,'Data shares'!$C:$FB,10)*100</f>
        <v>-0.43</v>
      </c>
      <c r="D62" s="49">
        <f>VLOOKUP($A62,'Data shares'!$C:$FB,66)</f>
        <v>28648125</v>
      </c>
      <c r="E62" s="49">
        <f>VLOOKUP($A62,'Data shares'!$C:$FB,67)</f>
        <v>30640500</v>
      </c>
      <c r="F62" s="50">
        <f>VLOOKUP($A62,'Data shares'!$C:$FB,69)*100</f>
        <v>-6.5</v>
      </c>
      <c r="G62" s="49">
        <f>VLOOKUP($A62,'Data shares'!$C:$FB,42)</f>
        <v>5820375</v>
      </c>
      <c r="H62" s="49">
        <f>VLOOKUP($A62,'Data shares'!$C:$FB,43)</f>
        <v>5978775</v>
      </c>
      <c r="I62" s="50">
        <f>VLOOKUP($A62,'Data shares'!$C:$FB,45)*100</f>
        <v>-2.65</v>
      </c>
      <c r="J62" s="49">
        <f>VLOOKUP($A62,'Data shares'!$C:$FB,58)</f>
        <v>16495875</v>
      </c>
      <c r="K62" s="49">
        <f>VLOOKUP($A62,'Data shares'!$C:$FB,59)</f>
        <v>19182075</v>
      </c>
      <c r="L62" s="50">
        <f>VLOOKUP($A62,'Data shares'!$C:$FB,61)*100</f>
        <v>-14.000000000000002</v>
      </c>
      <c r="M62" s="49">
        <f>VLOOKUP($A62,'Data shares'!$C:$FB,62)</f>
        <v>6331875</v>
      </c>
      <c r="N62" s="49">
        <f>VLOOKUP($A62,'Data shares'!$C:$FB,63)</f>
        <v>5479650</v>
      </c>
      <c r="O62" s="140">
        <f>VLOOKUP($A62,'Data shares'!$C:$FB,65)*100</f>
        <v>15.55</v>
      </c>
    </row>
    <row r="63" spans="1:15" x14ac:dyDescent="0.25">
      <c r="A63" s="101" t="str">
        <f>'Data shares'!C58</f>
        <v>DMART</v>
      </c>
      <c r="B63" s="50">
        <f>VLOOKUP($A63,'Data shares'!$C:$FB,7)</f>
        <v>3841.6</v>
      </c>
      <c r="C63" s="50">
        <f>VLOOKUP($A63,'Data shares'!$C:$FB,10)*100</f>
        <v>4.8599999999999994</v>
      </c>
      <c r="D63" s="49">
        <f>VLOOKUP($A63,'Data shares'!$C:$FB,66)</f>
        <v>17963850</v>
      </c>
      <c r="E63" s="49">
        <f>VLOOKUP($A63,'Data shares'!$C:$FB,67)</f>
        <v>5418600</v>
      </c>
      <c r="F63" s="50">
        <f>VLOOKUP($A63,'Data shares'!$C:$FB,69)*100</f>
        <v>231.51999999999998</v>
      </c>
      <c r="G63" s="49">
        <f>VLOOKUP($A63,'Data shares'!$C:$FB,42)</f>
        <v>2152200</v>
      </c>
      <c r="H63" s="49">
        <f>VLOOKUP($A63,'Data shares'!$C:$FB,43)</f>
        <v>913650</v>
      </c>
      <c r="I63" s="50">
        <f>VLOOKUP($A63,'Data shares'!$C:$FB,45)*100</f>
        <v>135.56</v>
      </c>
      <c r="J63" s="49">
        <f>VLOOKUP($A63,'Data shares'!$C:$FB,58)</f>
        <v>12336000</v>
      </c>
      <c r="K63" s="49">
        <f>VLOOKUP($A63,'Data shares'!$C:$FB,59)</f>
        <v>2963250</v>
      </c>
      <c r="L63" s="50">
        <f>VLOOKUP($A63,'Data shares'!$C:$FB,61)*100</f>
        <v>316.29999999999995</v>
      </c>
      <c r="M63" s="49">
        <f>VLOOKUP($A63,'Data shares'!$C:$FB,62)</f>
        <v>3475650</v>
      </c>
      <c r="N63" s="49">
        <f>VLOOKUP($A63,'Data shares'!$C:$FB,63)</f>
        <v>1541700</v>
      </c>
      <c r="O63" s="140">
        <f>VLOOKUP($A63,'Data shares'!$C:$FB,65)*100</f>
        <v>125.44</v>
      </c>
    </row>
    <row r="64" spans="1:15" x14ac:dyDescent="0.25">
      <c r="A64" s="101" t="str">
        <f>'Data shares'!C59</f>
        <v>DRREDDY</v>
      </c>
      <c r="B64" s="50">
        <f>VLOOKUP($A64,'Data shares'!$C:$FB,7)</f>
        <v>1242.8</v>
      </c>
      <c r="C64" s="50">
        <f>VLOOKUP($A64,'Data shares'!$C:$FB,10)*100</f>
        <v>-1.0699999999999998</v>
      </c>
      <c r="D64" s="49">
        <f>VLOOKUP($A64,'Data shares'!$C:$FB,66)</f>
        <v>12530000</v>
      </c>
      <c r="E64" s="49">
        <f>VLOOKUP($A64,'Data shares'!$C:$FB,67)</f>
        <v>5915000</v>
      </c>
      <c r="F64" s="50">
        <f>VLOOKUP($A64,'Data shares'!$C:$FB,69)*100</f>
        <v>111.83000000000001</v>
      </c>
      <c r="G64" s="49">
        <f>VLOOKUP($A64,'Data shares'!$C:$FB,42)</f>
        <v>2833750</v>
      </c>
      <c r="H64" s="49">
        <f>VLOOKUP($A64,'Data shares'!$C:$FB,43)</f>
        <v>1346250</v>
      </c>
      <c r="I64" s="50">
        <f>VLOOKUP($A64,'Data shares'!$C:$FB,45)*100</f>
        <v>110.49</v>
      </c>
      <c r="J64" s="49">
        <f>VLOOKUP($A64,'Data shares'!$C:$FB,58)</f>
        <v>6950000</v>
      </c>
      <c r="K64" s="49">
        <f>VLOOKUP($A64,'Data shares'!$C:$FB,59)</f>
        <v>3386875</v>
      </c>
      <c r="L64" s="50">
        <f>VLOOKUP($A64,'Data shares'!$C:$FB,61)*100</f>
        <v>105.2</v>
      </c>
      <c r="M64" s="49">
        <f>VLOOKUP($A64,'Data shares'!$C:$FB,62)</f>
        <v>2746250</v>
      </c>
      <c r="N64" s="49">
        <f>VLOOKUP($A64,'Data shares'!$C:$FB,63)</f>
        <v>1181875</v>
      </c>
      <c r="O64" s="140">
        <f>VLOOKUP($A64,'Data shares'!$C:$FB,65)*100</f>
        <v>132.36000000000001</v>
      </c>
    </row>
    <row r="65" spans="1:15" x14ac:dyDescent="0.25">
      <c r="A65" s="101" t="str">
        <f>'Data shares'!C60</f>
        <v>EICHERMOT</v>
      </c>
      <c r="B65" s="50">
        <f>VLOOKUP($A65,'Data shares'!$C:$FB,7)</f>
        <v>7582.5</v>
      </c>
      <c r="C65" s="50">
        <f>VLOOKUP($A65,'Data shares'!$C:$FB,10)*100</f>
        <v>0.8</v>
      </c>
      <c r="D65" s="49">
        <f>VLOOKUP($A65,'Data shares'!$C:$FB,66)</f>
        <v>3463500</v>
      </c>
      <c r="E65" s="49">
        <f>VLOOKUP($A65,'Data shares'!$C:$FB,67)</f>
        <v>4861900</v>
      </c>
      <c r="F65" s="50">
        <f>VLOOKUP($A65,'Data shares'!$C:$FB,69)*100</f>
        <v>-28.76</v>
      </c>
      <c r="G65" s="49">
        <f>VLOOKUP($A65,'Data shares'!$C:$FB,42)</f>
        <v>383500</v>
      </c>
      <c r="H65" s="49">
        <f>VLOOKUP($A65,'Data shares'!$C:$FB,43)</f>
        <v>450600</v>
      </c>
      <c r="I65" s="50">
        <f>VLOOKUP($A65,'Data shares'!$C:$FB,45)*100</f>
        <v>-14.89</v>
      </c>
      <c r="J65" s="49">
        <f>VLOOKUP($A65,'Data shares'!$C:$FB,58)</f>
        <v>1686500</v>
      </c>
      <c r="K65" s="49">
        <f>VLOOKUP($A65,'Data shares'!$C:$FB,59)</f>
        <v>2646000</v>
      </c>
      <c r="L65" s="50">
        <f>VLOOKUP($A65,'Data shares'!$C:$FB,61)*100</f>
        <v>-36.26</v>
      </c>
      <c r="M65" s="49">
        <f>VLOOKUP($A65,'Data shares'!$C:$FB,62)</f>
        <v>1393500</v>
      </c>
      <c r="N65" s="49">
        <f>VLOOKUP($A65,'Data shares'!$C:$FB,63)</f>
        <v>1765300</v>
      </c>
      <c r="O65" s="140">
        <f>VLOOKUP($A65,'Data shares'!$C:$FB,65)*100</f>
        <v>-21.060000000000002</v>
      </c>
    </row>
    <row r="66" spans="1:15" x14ac:dyDescent="0.25">
      <c r="A66" s="101" t="str">
        <f>'Data shares'!C61</f>
        <v>ETERNAL</v>
      </c>
      <c r="B66" s="50">
        <f>VLOOKUP($A66,'Data shares'!$C:$FB,7)</f>
        <v>280.95</v>
      </c>
      <c r="C66" s="50">
        <f>VLOOKUP($A66,'Data shares'!$C:$FB,10)*100</f>
        <v>0.67999999999999994</v>
      </c>
      <c r="D66" s="49">
        <f>VLOOKUP($A66,'Data shares'!$C:$FB,66)</f>
        <v>167552950</v>
      </c>
      <c r="E66" s="49">
        <f>VLOOKUP($A66,'Data shares'!$C:$FB,67)</f>
        <v>107342625</v>
      </c>
      <c r="F66" s="50">
        <f>VLOOKUP($A66,'Data shares'!$C:$FB,69)*100</f>
        <v>56.089999999999996</v>
      </c>
      <c r="G66" s="49">
        <f>VLOOKUP($A66,'Data shares'!$C:$FB,42)</f>
        <v>35671750</v>
      </c>
      <c r="H66" s="49">
        <f>VLOOKUP($A66,'Data shares'!$C:$FB,43)</f>
        <v>19564900</v>
      </c>
      <c r="I66" s="50">
        <f>VLOOKUP($A66,'Data shares'!$C:$FB,45)*100</f>
        <v>82.33</v>
      </c>
      <c r="J66" s="49">
        <f>VLOOKUP($A66,'Data shares'!$C:$FB,58)</f>
        <v>82944700</v>
      </c>
      <c r="K66" s="49">
        <f>VLOOKUP($A66,'Data shares'!$C:$FB,59)</f>
        <v>51523975</v>
      </c>
      <c r="L66" s="50">
        <f>VLOOKUP($A66,'Data shares'!$C:$FB,61)*100</f>
        <v>60.980000000000004</v>
      </c>
      <c r="M66" s="49">
        <f>VLOOKUP($A66,'Data shares'!$C:$FB,62)</f>
        <v>48936500</v>
      </c>
      <c r="N66" s="49">
        <f>VLOOKUP($A66,'Data shares'!$C:$FB,63)</f>
        <v>36253750</v>
      </c>
      <c r="O66" s="140">
        <f>VLOOKUP($A66,'Data shares'!$C:$FB,65)*100</f>
        <v>34.979999999999997</v>
      </c>
    </row>
    <row r="67" spans="1:15" x14ac:dyDescent="0.25">
      <c r="A67" s="101" t="str">
        <f>'Data shares'!C62</f>
        <v>EXIDEIND</v>
      </c>
      <c r="B67" s="50">
        <f>VLOOKUP($A67,'Data shares'!$C:$FB,7)</f>
        <v>359.4</v>
      </c>
      <c r="C67" s="50">
        <f>VLOOKUP($A67,'Data shares'!$C:$FB,10)*100</f>
        <v>-1.21</v>
      </c>
      <c r="D67" s="49">
        <f>VLOOKUP($A67,'Data shares'!$C:$FB,66)</f>
        <v>21429000</v>
      </c>
      <c r="E67" s="49">
        <f>VLOOKUP($A67,'Data shares'!$C:$FB,67)</f>
        <v>19544400</v>
      </c>
      <c r="F67" s="50">
        <f>VLOOKUP($A67,'Data shares'!$C:$FB,69)*100</f>
        <v>9.64</v>
      </c>
      <c r="G67" s="49">
        <f>VLOOKUP($A67,'Data shares'!$C:$FB,42)</f>
        <v>5392800</v>
      </c>
      <c r="H67" s="49">
        <f>VLOOKUP($A67,'Data shares'!$C:$FB,43)</f>
        <v>3979800</v>
      </c>
      <c r="I67" s="50">
        <f>VLOOKUP($A67,'Data shares'!$C:$FB,45)*100</f>
        <v>35.5</v>
      </c>
      <c r="J67" s="49">
        <f>VLOOKUP($A67,'Data shares'!$C:$FB,58)</f>
        <v>11284200</v>
      </c>
      <c r="K67" s="49">
        <f>VLOOKUP($A67,'Data shares'!$C:$FB,59)</f>
        <v>11235600</v>
      </c>
      <c r="L67" s="50">
        <f>VLOOKUP($A67,'Data shares'!$C:$FB,61)*100</f>
        <v>0.43</v>
      </c>
      <c r="M67" s="49">
        <f>VLOOKUP($A67,'Data shares'!$C:$FB,62)</f>
        <v>4752000</v>
      </c>
      <c r="N67" s="49">
        <f>VLOOKUP($A67,'Data shares'!$C:$FB,63)</f>
        <v>4329000</v>
      </c>
      <c r="O67" s="140">
        <f>VLOOKUP($A67,'Data shares'!$C:$FB,65)*100</f>
        <v>9.77</v>
      </c>
    </row>
    <row r="68" spans="1:15" x14ac:dyDescent="0.25">
      <c r="A68" s="101" t="str">
        <f>'Data shares'!C63</f>
        <v>FEDERALBNK</v>
      </c>
      <c r="B68" s="50">
        <f>VLOOKUP($A68,'Data shares'!$C:$FB,7)</f>
        <v>258.55</v>
      </c>
      <c r="C68" s="50">
        <f>VLOOKUP($A68,'Data shares'!$C:$FB,10)*100</f>
        <v>0.72</v>
      </c>
      <c r="D68" s="49">
        <f>VLOOKUP($A68,'Data shares'!$C:$FB,66)</f>
        <v>90555000</v>
      </c>
      <c r="E68" s="49">
        <f>VLOOKUP($A68,'Data shares'!$C:$FB,67)</f>
        <v>151500000</v>
      </c>
      <c r="F68" s="50">
        <f>VLOOKUP($A68,'Data shares'!$C:$FB,69)*100</f>
        <v>-40.229999999999997</v>
      </c>
      <c r="G68" s="49">
        <f>VLOOKUP($A68,'Data shares'!$C:$FB,42)</f>
        <v>19245000</v>
      </c>
      <c r="H68" s="49">
        <f>VLOOKUP($A68,'Data shares'!$C:$FB,43)</f>
        <v>37700000</v>
      </c>
      <c r="I68" s="50">
        <f>VLOOKUP($A68,'Data shares'!$C:$FB,45)*100</f>
        <v>-48.949999999999996</v>
      </c>
      <c r="J68" s="49">
        <f>VLOOKUP($A68,'Data shares'!$C:$FB,58)</f>
        <v>49150000</v>
      </c>
      <c r="K68" s="49">
        <f>VLOOKUP($A68,'Data shares'!$C:$FB,59)</f>
        <v>72420000</v>
      </c>
      <c r="L68" s="50">
        <f>VLOOKUP($A68,'Data shares'!$C:$FB,61)*100</f>
        <v>-32.129999999999995</v>
      </c>
      <c r="M68" s="49">
        <f>VLOOKUP($A68,'Data shares'!$C:$FB,62)</f>
        <v>22160000</v>
      </c>
      <c r="N68" s="49">
        <f>VLOOKUP($A68,'Data shares'!$C:$FB,63)</f>
        <v>41380000</v>
      </c>
      <c r="O68" s="140">
        <f>VLOOKUP($A68,'Data shares'!$C:$FB,65)*100</f>
        <v>-46.45</v>
      </c>
    </row>
    <row r="69" spans="1:15" x14ac:dyDescent="0.25">
      <c r="A69" s="101" t="str">
        <f>'Data shares'!C64</f>
        <v>FINNIFTY</v>
      </c>
      <c r="B69" s="50">
        <f>VLOOKUP($A69,'Data shares'!$C:$FB,7)</f>
        <v>27853.35</v>
      </c>
      <c r="C69" s="50">
        <f>VLOOKUP($A69,'Data shares'!$C:$FB,10)*100</f>
        <v>-0.33</v>
      </c>
      <c r="D69" s="49">
        <f>VLOOKUP($A69,'Data shares'!$C:$FB,66)</f>
        <v>1648620</v>
      </c>
      <c r="E69" s="49">
        <f>VLOOKUP($A69,'Data shares'!$C:$FB,67)</f>
        <v>2987040</v>
      </c>
      <c r="F69" s="50">
        <f>VLOOKUP($A69,'Data shares'!$C:$FB,69)*100</f>
        <v>-44.81</v>
      </c>
      <c r="G69" s="49">
        <f>VLOOKUP($A69,'Data shares'!$C:$FB,42)</f>
        <v>12720</v>
      </c>
      <c r="H69" s="49">
        <f>VLOOKUP($A69,'Data shares'!$C:$FB,43)</f>
        <v>14820</v>
      </c>
      <c r="I69" s="50">
        <f>VLOOKUP($A69,'Data shares'!$C:$FB,45)*100</f>
        <v>-14.17</v>
      </c>
      <c r="J69" s="49">
        <f>VLOOKUP($A69,'Data shares'!$C:$FB,58)</f>
        <v>802440</v>
      </c>
      <c r="K69" s="49">
        <f>VLOOKUP($A69,'Data shares'!$C:$FB,59)</f>
        <v>1687560</v>
      </c>
      <c r="L69" s="50">
        <f>VLOOKUP($A69,'Data shares'!$C:$FB,61)*100</f>
        <v>-52.449999999999996</v>
      </c>
      <c r="M69" s="49">
        <f>VLOOKUP($A69,'Data shares'!$C:$FB,62)</f>
        <v>833460</v>
      </c>
      <c r="N69" s="49">
        <f>VLOOKUP($A69,'Data shares'!$C:$FB,63)</f>
        <v>1284660</v>
      </c>
      <c r="O69" s="140">
        <f>VLOOKUP($A69,'Data shares'!$C:$FB,65)*100</f>
        <v>-35.120000000000005</v>
      </c>
    </row>
    <row r="70" spans="1:15" x14ac:dyDescent="0.25">
      <c r="A70" s="101" t="str">
        <f>'Data shares'!C65</f>
        <v>FORTIS</v>
      </c>
      <c r="B70" s="50">
        <f>VLOOKUP($A70,'Data shares'!$C:$FB,7)</f>
        <v>940.85</v>
      </c>
      <c r="C70" s="50">
        <f>VLOOKUP($A70,'Data shares'!$C:$FB,10)*100</f>
        <v>-0.44</v>
      </c>
      <c r="D70" s="49">
        <f>VLOOKUP($A70,'Data shares'!$C:$FB,66)</f>
        <v>9196925</v>
      </c>
      <c r="E70" s="49">
        <f>VLOOKUP($A70,'Data shares'!$C:$FB,67)</f>
        <v>23462350</v>
      </c>
      <c r="F70" s="50">
        <f>VLOOKUP($A70,'Data shares'!$C:$FB,69)*100</f>
        <v>-60.8</v>
      </c>
      <c r="G70" s="49">
        <f>VLOOKUP($A70,'Data shares'!$C:$FB,42)</f>
        <v>2382350</v>
      </c>
      <c r="H70" s="49">
        <f>VLOOKUP($A70,'Data shares'!$C:$FB,43)</f>
        <v>5021225</v>
      </c>
      <c r="I70" s="50">
        <f>VLOOKUP($A70,'Data shares'!$C:$FB,45)*100</f>
        <v>-52.55</v>
      </c>
      <c r="J70" s="49">
        <f>VLOOKUP($A70,'Data shares'!$C:$FB,58)</f>
        <v>5191725</v>
      </c>
      <c r="K70" s="49">
        <f>VLOOKUP($A70,'Data shares'!$C:$FB,59)</f>
        <v>15462800</v>
      </c>
      <c r="L70" s="50">
        <f>VLOOKUP($A70,'Data shares'!$C:$FB,61)*100</f>
        <v>-66.42</v>
      </c>
      <c r="M70" s="49">
        <f>VLOOKUP($A70,'Data shares'!$C:$FB,62)</f>
        <v>1622850</v>
      </c>
      <c r="N70" s="49">
        <f>VLOOKUP($A70,'Data shares'!$C:$FB,63)</f>
        <v>2978325</v>
      </c>
      <c r="O70" s="140">
        <f>VLOOKUP($A70,'Data shares'!$C:$FB,65)*100</f>
        <v>-45.51</v>
      </c>
    </row>
    <row r="71" spans="1:15" x14ac:dyDescent="0.25">
      <c r="A71" s="101" t="str">
        <f>'Data shares'!C66</f>
        <v>GAIL</v>
      </c>
      <c r="B71" s="50">
        <f>VLOOKUP($A71,'Data shares'!$C:$FB,7)</f>
        <v>168.48</v>
      </c>
      <c r="C71" s="50">
        <f>VLOOKUP($A71,'Data shares'!$C:$FB,10)*100</f>
        <v>-0.54</v>
      </c>
      <c r="D71" s="49">
        <f>VLOOKUP($A71,'Data shares'!$C:$FB,66)</f>
        <v>52957800</v>
      </c>
      <c r="E71" s="49">
        <f>VLOOKUP($A71,'Data shares'!$C:$FB,67)</f>
        <v>54400500</v>
      </c>
      <c r="F71" s="50">
        <f>VLOOKUP($A71,'Data shares'!$C:$FB,69)*100</f>
        <v>-2.65</v>
      </c>
      <c r="G71" s="49">
        <f>VLOOKUP($A71,'Data shares'!$C:$FB,42)</f>
        <v>12483450</v>
      </c>
      <c r="H71" s="49">
        <f>VLOOKUP($A71,'Data shares'!$C:$FB,43)</f>
        <v>14256900</v>
      </c>
      <c r="I71" s="50">
        <f>VLOOKUP($A71,'Data shares'!$C:$FB,45)*100</f>
        <v>-12.44</v>
      </c>
      <c r="J71" s="49">
        <f>VLOOKUP($A71,'Data shares'!$C:$FB,58)</f>
        <v>26107200</v>
      </c>
      <c r="K71" s="49">
        <f>VLOOKUP($A71,'Data shares'!$C:$FB,59)</f>
        <v>25713450</v>
      </c>
      <c r="L71" s="50">
        <f>VLOOKUP($A71,'Data shares'!$C:$FB,61)*100</f>
        <v>1.53</v>
      </c>
      <c r="M71" s="49">
        <f>VLOOKUP($A71,'Data shares'!$C:$FB,62)</f>
        <v>14367150</v>
      </c>
      <c r="N71" s="49">
        <f>VLOOKUP($A71,'Data shares'!$C:$FB,63)</f>
        <v>14430150</v>
      </c>
      <c r="O71" s="140">
        <f>VLOOKUP($A71,'Data shares'!$C:$FB,65)*100</f>
        <v>-0.44</v>
      </c>
    </row>
    <row r="72" spans="1:15" x14ac:dyDescent="0.25">
      <c r="A72" s="101" t="str">
        <f>'Data shares'!C67</f>
        <v>GLENMARK</v>
      </c>
      <c r="B72" s="50">
        <f>VLOOKUP($A72,'Data shares'!$C:$FB,7)</f>
        <v>2113.1</v>
      </c>
      <c r="C72" s="50">
        <f>VLOOKUP($A72,'Data shares'!$C:$FB,10)*100</f>
        <v>1.8599999999999999</v>
      </c>
      <c r="D72" s="49">
        <f>VLOOKUP($A72,'Data shares'!$C:$FB,66)</f>
        <v>26317875</v>
      </c>
      <c r="E72" s="49">
        <f>VLOOKUP($A72,'Data shares'!$C:$FB,67)</f>
        <v>5246250</v>
      </c>
      <c r="F72" s="50">
        <f>VLOOKUP($A72,'Data shares'!$C:$FB,69)*100</f>
        <v>401.65</v>
      </c>
      <c r="G72" s="49">
        <f>VLOOKUP($A72,'Data shares'!$C:$FB,42)</f>
        <v>4146000</v>
      </c>
      <c r="H72" s="49">
        <f>VLOOKUP($A72,'Data shares'!$C:$FB,43)</f>
        <v>1312125</v>
      </c>
      <c r="I72" s="50">
        <f>VLOOKUP($A72,'Data shares'!$C:$FB,45)*100</f>
        <v>215.98000000000002</v>
      </c>
      <c r="J72" s="49">
        <f>VLOOKUP($A72,'Data shares'!$C:$FB,58)</f>
        <v>16692375</v>
      </c>
      <c r="K72" s="49">
        <f>VLOOKUP($A72,'Data shares'!$C:$FB,59)</f>
        <v>2728500</v>
      </c>
      <c r="L72" s="50">
        <f>VLOOKUP($A72,'Data shares'!$C:$FB,61)*100</f>
        <v>511.78</v>
      </c>
      <c r="M72" s="49">
        <f>VLOOKUP($A72,'Data shares'!$C:$FB,62)</f>
        <v>5479500</v>
      </c>
      <c r="N72" s="49">
        <f>VLOOKUP($A72,'Data shares'!$C:$FB,63)</f>
        <v>1205625</v>
      </c>
      <c r="O72" s="140">
        <f>VLOOKUP($A72,'Data shares'!$C:$FB,65)*100</f>
        <v>354.49</v>
      </c>
    </row>
    <row r="73" spans="1:15" x14ac:dyDescent="0.25">
      <c r="A73" s="101" t="str">
        <f>'Data shares'!C68</f>
        <v>GMRAIRPORT</v>
      </c>
      <c r="B73" s="50">
        <f>VLOOKUP($A73,'Data shares'!$C:$FB,7)</f>
        <v>104.51</v>
      </c>
      <c r="C73" s="50">
        <f>VLOOKUP($A73,'Data shares'!$C:$FB,10)*100</f>
        <v>-0.01</v>
      </c>
      <c r="D73" s="49">
        <f>VLOOKUP($A73,'Data shares'!$C:$FB,66)</f>
        <v>96031800</v>
      </c>
      <c r="E73" s="49">
        <f>VLOOKUP($A73,'Data shares'!$C:$FB,67)</f>
        <v>94790250</v>
      </c>
      <c r="F73" s="50">
        <f>VLOOKUP($A73,'Data shares'!$C:$FB,69)*100</f>
        <v>1.31</v>
      </c>
      <c r="G73" s="49">
        <f>VLOOKUP($A73,'Data shares'!$C:$FB,42)</f>
        <v>26128350</v>
      </c>
      <c r="H73" s="49">
        <f>VLOOKUP($A73,'Data shares'!$C:$FB,43)</f>
        <v>24914700</v>
      </c>
      <c r="I73" s="50">
        <f>VLOOKUP($A73,'Data shares'!$C:$FB,45)*100</f>
        <v>4.87</v>
      </c>
      <c r="J73" s="49">
        <f>VLOOKUP($A73,'Data shares'!$C:$FB,58)</f>
        <v>54495675</v>
      </c>
      <c r="K73" s="49">
        <f>VLOOKUP($A73,'Data shares'!$C:$FB,59)</f>
        <v>51887025</v>
      </c>
      <c r="L73" s="50">
        <f>VLOOKUP($A73,'Data shares'!$C:$FB,61)*100</f>
        <v>5.0299999999999994</v>
      </c>
      <c r="M73" s="49">
        <f>VLOOKUP($A73,'Data shares'!$C:$FB,62)</f>
        <v>15407775</v>
      </c>
      <c r="N73" s="49">
        <f>VLOOKUP($A73,'Data shares'!$C:$FB,63)</f>
        <v>17988525</v>
      </c>
      <c r="O73" s="140">
        <f>VLOOKUP($A73,'Data shares'!$C:$FB,65)*100</f>
        <v>-14.35</v>
      </c>
    </row>
    <row r="74" spans="1:15" x14ac:dyDescent="0.25">
      <c r="A74" s="101" t="str">
        <f>'Data shares'!C69</f>
        <v>GODREJCP</v>
      </c>
      <c r="B74" s="50">
        <f>VLOOKUP($A74,'Data shares'!$C:$FB,7)</f>
        <v>1247.7</v>
      </c>
      <c r="C74" s="50">
        <f>VLOOKUP($A74,'Data shares'!$C:$FB,10)*100</f>
        <v>-0.5</v>
      </c>
      <c r="D74" s="49">
        <f>VLOOKUP($A74,'Data shares'!$C:$FB,66)</f>
        <v>11302500</v>
      </c>
      <c r="E74" s="49">
        <f>VLOOKUP($A74,'Data shares'!$C:$FB,67)</f>
        <v>3442500</v>
      </c>
      <c r="F74" s="50">
        <f>VLOOKUP($A74,'Data shares'!$C:$FB,69)*100</f>
        <v>228.32</v>
      </c>
      <c r="G74" s="49">
        <f>VLOOKUP($A74,'Data shares'!$C:$FB,42)</f>
        <v>3191000</v>
      </c>
      <c r="H74" s="49">
        <f>VLOOKUP($A74,'Data shares'!$C:$FB,43)</f>
        <v>1153500</v>
      </c>
      <c r="I74" s="50">
        <f>VLOOKUP($A74,'Data shares'!$C:$FB,45)*100</f>
        <v>176.64</v>
      </c>
      <c r="J74" s="49">
        <f>VLOOKUP($A74,'Data shares'!$C:$FB,58)</f>
        <v>6250000</v>
      </c>
      <c r="K74" s="49">
        <f>VLOOKUP($A74,'Data shares'!$C:$FB,59)</f>
        <v>1627500</v>
      </c>
      <c r="L74" s="50">
        <f>VLOOKUP($A74,'Data shares'!$C:$FB,61)*100</f>
        <v>284.02</v>
      </c>
      <c r="M74" s="49">
        <f>VLOOKUP($A74,'Data shares'!$C:$FB,62)</f>
        <v>1861500</v>
      </c>
      <c r="N74" s="49">
        <f>VLOOKUP($A74,'Data shares'!$C:$FB,63)</f>
        <v>661500</v>
      </c>
      <c r="O74" s="140">
        <f>VLOOKUP($A74,'Data shares'!$C:$FB,65)*100</f>
        <v>181.41</v>
      </c>
    </row>
    <row r="75" spans="1:15" x14ac:dyDescent="0.25">
      <c r="A75" s="101" t="str">
        <f>'Data shares'!C70</f>
        <v>GODREJPROP</v>
      </c>
      <c r="B75" s="50">
        <f>VLOOKUP($A75,'Data shares'!$C:$FB,7)</f>
        <v>2138.1999999999998</v>
      </c>
      <c r="C75" s="50">
        <f>VLOOKUP($A75,'Data shares'!$C:$FB,10)*100</f>
        <v>0.48</v>
      </c>
      <c r="D75" s="49">
        <f>VLOOKUP($A75,'Data shares'!$C:$FB,66)</f>
        <v>5665275</v>
      </c>
      <c r="E75" s="49">
        <f>VLOOKUP($A75,'Data shares'!$C:$FB,67)</f>
        <v>3823600</v>
      </c>
      <c r="F75" s="50">
        <f>VLOOKUP($A75,'Data shares'!$C:$FB,69)*100</f>
        <v>48.17</v>
      </c>
      <c r="G75" s="49">
        <f>VLOOKUP($A75,'Data shares'!$C:$FB,42)</f>
        <v>1768525</v>
      </c>
      <c r="H75" s="49">
        <f>VLOOKUP($A75,'Data shares'!$C:$FB,43)</f>
        <v>844250</v>
      </c>
      <c r="I75" s="50">
        <f>VLOOKUP($A75,'Data shares'!$C:$FB,45)*100</f>
        <v>109.48</v>
      </c>
      <c r="J75" s="49">
        <f>VLOOKUP($A75,'Data shares'!$C:$FB,58)</f>
        <v>2767325</v>
      </c>
      <c r="K75" s="49">
        <f>VLOOKUP($A75,'Data shares'!$C:$FB,59)</f>
        <v>2080375</v>
      </c>
      <c r="L75" s="50">
        <f>VLOOKUP($A75,'Data shares'!$C:$FB,61)*100</f>
        <v>33.019999999999996</v>
      </c>
      <c r="M75" s="49">
        <f>VLOOKUP($A75,'Data shares'!$C:$FB,62)</f>
        <v>1129425</v>
      </c>
      <c r="N75" s="49">
        <f>VLOOKUP($A75,'Data shares'!$C:$FB,63)</f>
        <v>898975</v>
      </c>
      <c r="O75" s="140">
        <f>VLOOKUP($A75,'Data shares'!$C:$FB,65)*100</f>
        <v>25.629999999999995</v>
      </c>
    </row>
    <row r="76" spans="1:15" x14ac:dyDescent="0.25">
      <c r="A76" s="101" t="str">
        <f>'Data shares'!C71</f>
        <v>GRASIM</v>
      </c>
      <c r="B76" s="50">
        <f>VLOOKUP($A76,'Data shares'!$C:$FB,7)</f>
        <v>2837.1</v>
      </c>
      <c r="C76" s="50">
        <f>VLOOKUP($A76,'Data shares'!$C:$FB,10)*100</f>
        <v>-0.98</v>
      </c>
      <c r="D76" s="49">
        <f>VLOOKUP($A76,'Data shares'!$C:$FB,66)</f>
        <v>2529000</v>
      </c>
      <c r="E76" s="49">
        <f>VLOOKUP($A76,'Data shares'!$C:$FB,67)</f>
        <v>3694500</v>
      </c>
      <c r="F76" s="50">
        <f>VLOOKUP($A76,'Data shares'!$C:$FB,69)*100</f>
        <v>-31.55</v>
      </c>
      <c r="G76" s="49">
        <f>VLOOKUP($A76,'Data shares'!$C:$FB,42)</f>
        <v>707500</v>
      </c>
      <c r="H76" s="49">
        <f>VLOOKUP($A76,'Data shares'!$C:$FB,43)</f>
        <v>1308750</v>
      </c>
      <c r="I76" s="50">
        <f>VLOOKUP($A76,'Data shares'!$C:$FB,45)*100</f>
        <v>-45.94</v>
      </c>
      <c r="J76" s="49">
        <f>VLOOKUP($A76,'Data shares'!$C:$FB,58)</f>
        <v>962500</v>
      </c>
      <c r="K76" s="49">
        <f>VLOOKUP($A76,'Data shares'!$C:$FB,59)</f>
        <v>1574000</v>
      </c>
      <c r="L76" s="50">
        <f>VLOOKUP($A76,'Data shares'!$C:$FB,61)*100</f>
        <v>-38.85</v>
      </c>
      <c r="M76" s="49">
        <f>VLOOKUP($A76,'Data shares'!$C:$FB,62)</f>
        <v>859000</v>
      </c>
      <c r="N76" s="49">
        <f>VLOOKUP($A76,'Data shares'!$C:$FB,63)</f>
        <v>811750</v>
      </c>
      <c r="O76" s="140">
        <f>VLOOKUP($A76,'Data shares'!$C:$FB,65)*100</f>
        <v>5.82</v>
      </c>
    </row>
    <row r="77" spans="1:15" x14ac:dyDescent="0.25">
      <c r="A77" s="101" t="str">
        <f>'Data shares'!C72</f>
        <v>HAL</v>
      </c>
      <c r="B77" s="50">
        <f>VLOOKUP($A77,'Data shares'!$C:$FB,7)</f>
        <v>4525.1000000000004</v>
      </c>
      <c r="C77" s="50">
        <f>VLOOKUP($A77,'Data shares'!$C:$FB,10)*100</f>
        <v>0.2</v>
      </c>
      <c r="D77" s="49">
        <f>VLOOKUP($A77,'Data shares'!$C:$FB,66)</f>
        <v>5829450</v>
      </c>
      <c r="E77" s="49">
        <f>VLOOKUP($A77,'Data shares'!$C:$FB,67)</f>
        <v>8399250</v>
      </c>
      <c r="F77" s="50">
        <f>VLOOKUP($A77,'Data shares'!$C:$FB,69)*100</f>
        <v>-30.599999999999998</v>
      </c>
      <c r="G77" s="49">
        <f>VLOOKUP($A77,'Data shares'!$C:$FB,42)</f>
        <v>674850</v>
      </c>
      <c r="H77" s="49">
        <f>VLOOKUP($A77,'Data shares'!$C:$FB,43)</f>
        <v>964050</v>
      </c>
      <c r="I77" s="50">
        <f>VLOOKUP($A77,'Data shares'!$C:$FB,45)*100</f>
        <v>-30</v>
      </c>
      <c r="J77" s="49">
        <f>VLOOKUP($A77,'Data shares'!$C:$FB,58)</f>
        <v>3552900</v>
      </c>
      <c r="K77" s="49">
        <f>VLOOKUP($A77,'Data shares'!$C:$FB,59)</f>
        <v>4833300</v>
      </c>
      <c r="L77" s="50">
        <f>VLOOKUP($A77,'Data shares'!$C:$FB,61)*100</f>
        <v>-26.490000000000002</v>
      </c>
      <c r="M77" s="49">
        <f>VLOOKUP($A77,'Data shares'!$C:$FB,62)</f>
        <v>1601700</v>
      </c>
      <c r="N77" s="49">
        <f>VLOOKUP($A77,'Data shares'!$C:$FB,63)</f>
        <v>2601900</v>
      </c>
      <c r="O77" s="140">
        <f>VLOOKUP($A77,'Data shares'!$C:$FB,65)*100</f>
        <v>-38.440000000000005</v>
      </c>
    </row>
    <row r="78" spans="1:15" x14ac:dyDescent="0.25">
      <c r="A78" s="101" t="str">
        <f>'Data shares'!C73</f>
        <v>HAVELLS</v>
      </c>
      <c r="B78" s="50">
        <f>VLOOKUP($A78,'Data shares'!$C:$FB,7)</f>
        <v>1496.2</v>
      </c>
      <c r="C78" s="50">
        <f>VLOOKUP($A78,'Data shares'!$C:$FB,10)*100</f>
        <v>-0.37</v>
      </c>
      <c r="D78" s="49">
        <f>VLOOKUP($A78,'Data shares'!$C:$FB,66)</f>
        <v>7009500</v>
      </c>
      <c r="E78" s="49">
        <f>VLOOKUP($A78,'Data shares'!$C:$FB,67)</f>
        <v>17808000</v>
      </c>
      <c r="F78" s="50">
        <f>VLOOKUP($A78,'Data shares'!$C:$FB,69)*100</f>
        <v>-60.640000000000008</v>
      </c>
      <c r="G78" s="49">
        <f>VLOOKUP($A78,'Data shares'!$C:$FB,42)</f>
        <v>1621000</v>
      </c>
      <c r="H78" s="49">
        <f>VLOOKUP($A78,'Data shares'!$C:$FB,43)</f>
        <v>3524000</v>
      </c>
      <c r="I78" s="50">
        <f>VLOOKUP($A78,'Data shares'!$C:$FB,45)*100</f>
        <v>-54</v>
      </c>
      <c r="J78" s="49">
        <f>VLOOKUP($A78,'Data shares'!$C:$FB,58)</f>
        <v>3195500</v>
      </c>
      <c r="K78" s="49">
        <f>VLOOKUP($A78,'Data shares'!$C:$FB,59)</f>
        <v>10968000</v>
      </c>
      <c r="L78" s="50">
        <f>VLOOKUP($A78,'Data shares'!$C:$FB,61)*100</f>
        <v>-70.87</v>
      </c>
      <c r="M78" s="49">
        <f>VLOOKUP($A78,'Data shares'!$C:$FB,62)</f>
        <v>2193000</v>
      </c>
      <c r="N78" s="49">
        <f>VLOOKUP($A78,'Data shares'!$C:$FB,63)</f>
        <v>3316000</v>
      </c>
      <c r="O78" s="140">
        <f>VLOOKUP($A78,'Data shares'!$C:$FB,65)*100</f>
        <v>-33.869999999999997</v>
      </c>
    </row>
    <row r="79" spans="1:15" x14ac:dyDescent="0.25">
      <c r="A79" s="101" t="str">
        <f>'Data shares'!C74</f>
        <v>HCLTECH</v>
      </c>
      <c r="B79" s="50">
        <f>VLOOKUP($A79,'Data shares'!$C:$FB,7)</f>
        <v>1647.7</v>
      </c>
      <c r="C79" s="50">
        <f>VLOOKUP($A79,'Data shares'!$C:$FB,10)*100</f>
        <v>1.94</v>
      </c>
      <c r="D79" s="49">
        <f>VLOOKUP($A79,'Data shares'!$C:$FB,66)</f>
        <v>30650200</v>
      </c>
      <c r="E79" s="49">
        <f>VLOOKUP($A79,'Data shares'!$C:$FB,67)</f>
        <v>10834600</v>
      </c>
      <c r="F79" s="50">
        <f>VLOOKUP($A79,'Data shares'!$C:$FB,69)*100</f>
        <v>182.89</v>
      </c>
      <c r="G79" s="49">
        <f>VLOOKUP($A79,'Data shares'!$C:$FB,42)</f>
        <v>5303550</v>
      </c>
      <c r="H79" s="49">
        <f>VLOOKUP($A79,'Data shares'!$C:$FB,43)</f>
        <v>2091950</v>
      </c>
      <c r="I79" s="50">
        <f>VLOOKUP($A79,'Data shares'!$C:$FB,45)*100</f>
        <v>153.51999999999998</v>
      </c>
      <c r="J79" s="49">
        <f>VLOOKUP($A79,'Data shares'!$C:$FB,58)</f>
        <v>18884250</v>
      </c>
      <c r="K79" s="49">
        <f>VLOOKUP($A79,'Data shares'!$C:$FB,59)</f>
        <v>6195350</v>
      </c>
      <c r="L79" s="50">
        <f>VLOOKUP($A79,'Data shares'!$C:$FB,61)*100</f>
        <v>204.80999999999997</v>
      </c>
      <c r="M79" s="49">
        <f>VLOOKUP($A79,'Data shares'!$C:$FB,62)</f>
        <v>6462400</v>
      </c>
      <c r="N79" s="49">
        <f>VLOOKUP($A79,'Data shares'!$C:$FB,63)</f>
        <v>2547300</v>
      </c>
      <c r="O79" s="140">
        <f>VLOOKUP($A79,'Data shares'!$C:$FB,65)*100</f>
        <v>153.69999999999999</v>
      </c>
    </row>
    <row r="80" spans="1:15" x14ac:dyDescent="0.25">
      <c r="A80" s="101" t="str">
        <f>'Data shares'!C75</f>
        <v>HDFCAMC</v>
      </c>
      <c r="B80" s="50">
        <f>VLOOKUP($A80,'Data shares'!$C:$FB,7)</f>
        <v>2624.6</v>
      </c>
      <c r="C80" s="50">
        <f>VLOOKUP($A80,'Data shares'!$C:$FB,10)*100</f>
        <v>0.1</v>
      </c>
      <c r="D80" s="49">
        <f>VLOOKUP($A80,'Data shares'!$C:$FB,66)</f>
        <v>2902800</v>
      </c>
      <c r="E80" s="49">
        <f>VLOOKUP($A80,'Data shares'!$C:$FB,67)</f>
        <v>2925000</v>
      </c>
      <c r="F80" s="50">
        <f>VLOOKUP($A80,'Data shares'!$C:$FB,69)*100</f>
        <v>-0.76</v>
      </c>
      <c r="G80" s="49">
        <f>VLOOKUP($A80,'Data shares'!$C:$FB,42)</f>
        <v>576900</v>
      </c>
      <c r="H80" s="49">
        <f>VLOOKUP($A80,'Data shares'!$C:$FB,43)</f>
        <v>769800</v>
      </c>
      <c r="I80" s="50">
        <f>VLOOKUP($A80,'Data shares'!$C:$FB,45)*100</f>
        <v>-25.06</v>
      </c>
      <c r="J80" s="49">
        <f>VLOOKUP($A80,'Data shares'!$C:$FB,58)</f>
        <v>1569300</v>
      </c>
      <c r="K80" s="49">
        <f>VLOOKUP($A80,'Data shares'!$C:$FB,59)</f>
        <v>1457100</v>
      </c>
      <c r="L80" s="50">
        <f>VLOOKUP($A80,'Data shares'!$C:$FB,61)*100</f>
        <v>7.7</v>
      </c>
      <c r="M80" s="49">
        <f>VLOOKUP($A80,'Data shares'!$C:$FB,62)</f>
        <v>756600</v>
      </c>
      <c r="N80" s="49">
        <f>VLOOKUP($A80,'Data shares'!$C:$FB,63)</f>
        <v>698100</v>
      </c>
      <c r="O80" s="140">
        <f>VLOOKUP($A80,'Data shares'!$C:$FB,65)*100</f>
        <v>8.3800000000000008</v>
      </c>
    </row>
    <row r="81" spans="1:15" x14ac:dyDescent="0.25">
      <c r="A81" s="101" t="str">
        <f>'Data shares'!C76</f>
        <v>HDFCBANK</v>
      </c>
      <c r="B81" s="50">
        <f>VLOOKUP($A81,'Data shares'!$C:$FB,7)</f>
        <v>949.05</v>
      </c>
      <c r="C81" s="50">
        <f>VLOOKUP($A81,'Data shares'!$C:$FB,10)*100</f>
        <v>-1.37</v>
      </c>
      <c r="D81" s="49">
        <f>VLOOKUP($A81,'Data shares'!$C:$FB,66)</f>
        <v>166455300</v>
      </c>
      <c r="E81" s="49">
        <f>VLOOKUP($A81,'Data shares'!$C:$FB,67)</f>
        <v>145310550</v>
      </c>
      <c r="F81" s="50">
        <f>VLOOKUP($A81,'Data shares'!$C:$FB,69)*100</f>
        <v>14.549999999999999</v>
      </c>
      <c r="G81" s="49">
        <f>VLOOKUP($A81,'Data shares'!$C:$FB,42)</f>
        <v>35005850</v>
      </c>
      <c r="H81" s="49">
        <f>VLOOKUP($A81,'Data shares'!$C:$FB,43)</f>
        <v>28212800</v>
      </c>
      <c r="I81" s="50">
        <f>VLOOKUP($A81,'Data shares'!$C:$FB,45)*100</f>
        <v>24.08</v>
      </c>
      <c r="J81" s="49">
        <f>VLOOKUP($A81,'Data shares'!$C:$FB,58)</f>
        <v>81957700</v>
      </c>
      <c r="K81" s="49">
        <f>VLOOKUP($A81,'Data shares'!$C:$FB,59)</f>
        <v>74742250</v>
      </c>
      <c r="L81" s="50">
        <f>VLOOKUP($A81,'Data shares'!$C:$FB,61)*100</f>
        <v>9.65</v>
      </c>
      <c r="M81" s="49">
        <f>VLOOKUP($A81,'Data shares'!$C:$FB,62)</f>
        <v>49491750</v>
      </c>
      <c r="N81" s="49">
        <f>VLOOKUP($A81,'Data shares'!$C:$FB,63)</f>
        <v>42355500</v>
      </c>
      <c r="O81" s="140">
        <f>VLOOKUP($A81,'Data shares'!$C:$FB,65)*100</f>
        <v>16.850000000000001</v>
      </c>
    </row>
    <row r="82" spans="1:15" x14ac:dyDescent="0.25">
      <c r="A82" s="101" t="str">
        <f>'Data shares'!C77</f>
        <v>HDFCLIFE</v>
      </c>
      <c r="B82" s="50">
        <f>VLOOKUP($A82,'Data shares'!$C:$FB,7)</f>
        <v>772.35</v>
      </c>
      <c r="C82" s="50">
        <f>VLOOKUP($A82,'Data shares'!$C:$FB,10)*100</f>
        <v>-0.71000000000000008</v>
      </c>
      <c r="D82" s="49">
        <f>VLOOKUP($A82,'Data shares'!$C:$FB,66)</f>
        <v>12401400</v>
      </c>
      <c r="E82" s="49">
        <f>VLOOKUP($A82,'Data shares'!$C:$FB,67)</f>
        <v>38723300</v>
      </c>
      <c r="F82" s="50">
        <f>VLOOKUP($A82,'Data shares'!$C:$FB,69)*100</f>
        <v>-67.97</v>
      </c>
      <c r="G82" s="49">
        <f>VLOOKUP($A82,'Data shares'!$C:$FB,42)</f>
        <v>2558600</v>
      </c>
      <c r="H82" s="49">
        <f>VLOOKUP($A82,'Data shares'!$C:$FB,43)</f>
        <v>6004900</v>
      </c>
      <c r="I82" s="50">
        <f>VLOOKUP($A82,'Data shares'!$C:$FB,45)*100</f>
        <v>-57.389999999999993</v>
      </c>
      <c r="J82" s="49">
        <f>VLOOKUP($A82,'Data shares'!$C:$FB,58)</f>
        <v>6702300</v>
      </c>
      <c r="K82" s="49">
        <f>VLOOKUP($A82,'Data shares'!$C:$FB,59)</f>
        <v>24216500</v>
      </c>
      <c r="L82" s="50">
        <f>VLOOKUP($A82,'Data shares'!$C:$FB,61)*100</f>
        <v>-72.319999999999993</v>
      </c>
      <c r="M82" s="49">
        <f>VLOOKUP($A82,'Data shares'!$C:$FB,62)</f>
        <v>3140500</v>
      </c>
      <c r="N82" s="49">
        <f>VLOOKUP($A82,'Data shares'!$C:$FB,63)</f>
        <v>8501900</v>
      </c>
      <c r="O82" s="140">
        <f>VLOOKUP($A82,'Data shares'!$C:$FB,65)*100</f>
        <v>-63.06</v>
      </c>
    </row>
    <row r="83" spans="1:15" x14ac:dyDescent="0.25">
      <c r="A83" s="101" t="str">
        <f>'Data shares'!C78</f>
        <v>HEROMOTOCO</v>
      </c>
      <c r="B83" s="50">
        <f>VLOOKUP($A83,'Data shares'!$C:$FB,7)</f>
        <v>5981</v>
      </c>
      <c r="C83" s="50">
        <f>VLOOKUP($A83,'Data shares'!$C:$FB,10)*100</f>
        <v>-0.32</v>
      </c>
      <c r="D83" s="49">
        <f>VLOOKUP($A83,'Data shares'!$C:$FB,66)</f>
        <v>7336500</v>
      </c>
      <c r="E83" s="49">
        <f>VLOOKUP($A83,'Data shares'!$C:$FB,67)</f>
        <v>5483400</v>
      </c>
      <c r="F83" s="50">
        <f>VLOOKUP($A83,'Data shares'!$C:$FB,69)*100</f>
        <v>33.79</v>
      </c>
      <c r="G83" s="49">
        <f>VLOOKUP($A83,'Data shares'!$C:$FB,42)</f>
        <v>706800</v>
      </c>
      <c r="H83" s="49">
        <f>VLOOKUP($A83,'Data shares'!$C:$FB,43)</f>
        <v>745650</v>
      </c>
      <c r="I83" s="50">
        <f>VLOOKUP($A83,'Data shares'!$C:$FB,45)*100</f>
        <v>-5.21</v>
      </c>
      <c r="J83" s="49">
        <f>VLOOKUP($A83,'Data shares'!$C:$FB,58)</f>
        <v>3950700</v>
      </c>
      <c r="K83" s="49">
        <f>VLOOKUP($A83,'Data shares'!$C:$FB,59)</f>
        <v>3187200</v>
      </c>
      <c r="L83" s="50">
        <f>VLOOKUP($A83,'Data shares'!$C:$FB,61)*100</f>
        <v>23.96</v>
      </c>
      <c r="M83" s="49">
        <f>VLOOKUP($A83,'Data shares'!$C:$FB,62)</f>
        <v>2679000</v>
      </c>
      <c r="N83" s="49">
        <f>VLOOKUP($A83,'Data shares'!$C:$FB,63)</f>
        <v>1550550</v>
      </c>
      <c r="O83" s="140">
        <f>VLOOKUP($A83,'Data shares'!$C:$FB,65)*100</f>
        <v>72.78</v>
      </c>
    </row>
    <row r="84" spans="1:15" x14ac:dyDescent="0.25">
      <c r="A84" s="101" t="str">
        <f>'Data shares'!C79</f>
        <v>HINDALCO</v>
      </c>
      <c r="B84" s="50">
        <f>VLOOKUP($A84,'Data shares'!$C:$FB,7)</f>
        <v>938.45</v>
      </c>
      <c r="C84" s="50">
        <f>VLOOKUP($A84,'Data shares'!$C:$FB,10)*100</f>
        <v>-0.4</v>
      </c>
      <c r="D84" s="49">
        <f>VLOOKUP($A84,'Data shares'!$C:$FB,66)</f>
        <v>60690700</v>
      </c>
      <c r="E84" s="49">
        <f>VLOOKUP($A84,'Data shares'!$C:$FB,67)</f>
        <v>153426000</v>
      </c>
      <c r="F84" s="50">
        <f>VLOOKUP($A84,'Data shares'!$C:$FB,69)*100</f>
        <v>-60.440000000000005</v>
      </c>
      <c r="G84" s="49">
        <f>VLOOKUP($A84,'Data shares'!$C:$FB,42)</f>
        <v>10522400</v>
      </c>
      <c r="H84" s="49">
        <f>VLOOKUP($A84,'Data shares'!$C:$FB,43)</f>
        <v>17260600</v>
      </c>
      <c r="I84" s="50">
        <f>VLOOKUP($A84,'Data shares'!$C:$FB,45)*100</f>
        <v>-39.04</v>
      </c>
      <c r="J84" s="49">
        <f>VLOOKUP($A84,'Data shares'!$C:$FB,58)</f>
        <v>32689300</v>
      </c>
      <c r="K84" s="49">
        <f>VLOOKUP($A84,'Data shares'!$C:$FB,59)</f>
        <v>96849900</v>
      </c>
      <c r="L84" s="50">
        <f>VLOOKUP($A84,'Data shares'!$C:$FB,61)*100</f>
        <v>-66.25</v>
      </c>
      <c r="M84" s="49">
        <f>VLOOKUP($A84,'Data shares'!$C:$FB,62)</f>
        <v>17479000</v>
      </c>
      <c r="N84" s="49">
        <f>VLOOKUP($A84,'Data shares'!$C:$FB,63)</f>
        <v>39315500</v>
      </c>
      <c r="O84" s="140">
        <f>VLOOKUP($A84,'Data shares'!$C:$FB,65)*100</f>
        <v>-55.54</v>
      </c>
    </row>
    <row r="85" spans="1:15" x14ac:dyDescent="0.25">
      <c r="A85" s="101" t="str">
        <f>'Data shares'!C80</f>
        <v>HINDPETRO</v>
      </c>
      <c r="B85" s="50">
        <f>VLOOKUP($A85,'Data shares'!$C:$FB,7)</f>
        <v>476.45</v>
      </c>
      <c r="C85" s="50">
        <f>VLOOKUP($A85,'Data shares'!$C:$FB,10)*100</f>
        <v>-1.22</v>
      </c>
      <c r="D85" s="49">
        <f>VLOOKUP($A85,'Data shares'!$C:$FB,66)</f>
        <v>20254050</v>
      </c>
      <c r="E85" s="49">
        <f>VLOOKUP($A85,'Data shares'!$C:$FB,67)</f>
        <v>58550850</v>
      </c>
      <c r="F85" s="50">
        <f>VLOOKUP($A85,'Data shares'!$C:$FB,69)*100</f>
        <v>-65.41</v>
      </c>
      <c r="G85" s="49">
        <f>VLOOKUP($A85,'Data shares'!$C:$FB,42)</f>
        <v>5062500</v>
      </c>
      <c r="H85" s="49">
        <f>VLOOKUP($A85,'Data shares'!$C:$FB,43)</f>
        <v>12305925</v>
      </c>
      <c r="I85" s="50">
        <f>VLOOKUP($A85,'Data shares'!$C:$FB,45)*100</f>
        <v>-58.86</v>
      </c>
      <c r="J85" s="49">
        <f>VLOOKUP($A85,'Data shares'!$C:$FB,58)</f>
        <v>10357875</v>
      </c>
      <c r="K85" s="49">
        <f>VLOOKUP($A85,'Data shares'!$C:$FB,59)</f>
        <v>26936550</v>
      </c>
      <c r="L85" s="50">
        <f>VLOOKUP($A85,'Data shares'!$C:$FB,61)*100</f>
        <v>-61.550000000000004</v>
      </c>
      <c r="M85" s="49">
        <f>VLOOKUP($A85,'Data shares'!$C:$FB,62)</f>
        <v>4833675</v>
      </c>
      <c r="N85" s="49">
        <f>VLOOKUP($A85,'Data shares'!$C:$FB,63)</f>
        <v>19308375</v>
      </c>
      <c r="O85" s="140">
        <f>VLOOKUP($A85,'Data shares'!$C:$FB,65)*100</f>
        <v>-74.97</v>
      </c>
    </row>
    <row r="86" spans="1:15" x14ac:dyDescent="0.25">
      <c r="A86" s="101" t="str">
        <f>'Data shares'!C81</f>
        <v>HINDUNILVR</v>
      </c>
      <c r="B86" s="50">
        <f>VLOOKUP($A86,'Data shares'!$C:$FB,7)</f>
        <v>2399.4</v>
      </c>
      <c r="C86" s="50">
        <f>VLOOKUP($A86,'Data shares'!$C:$FB,10)*100</f>
        <v>-1.04</v>
      </c>
      <c r="D86" s="49">
        <f>VLOOKUP($A86,'Data shares'!$C:$FB,66)</f>
        <v>12129000</v>
      </c>
      <c r="E86" s="49">
        <f>VLOOKUP($A86,'Data shares'!$C:$FB,67)</f>
        <v>23322300</v>
      </c>
      <c r="F86" s="50">
        <f>VLOOKUP($A86,'Data shares'!$C:$FB,69)*100</f>
        <v>-47.99</v>
      </c>
      <c r="G86" s="49">
        <f>VLOOKUP($A86,'Data shares'!$C:$FB,42)</f>
        <v>2138400</v>
      </c>
      <c r="H86" s="49">
        <f>VLOOKUP($A86,'Data shares'!$C:$FB,43)</f>
        <v>2981400</v>
      </c>
      <c r="I86" s="50">
        <f>VLOOKUP($A86,'Data shares'!$C:$FB,45)*100</f>
        <v>-28.28</v>
      </c>
      <c r="J86" s="49">
        <f>VLOOKUP($A86,'Data shares'!$C:$FB,58)</f>
        <v>6461100</v>
      </c>
      <c r="K86" s="49">
        <f>VLOOKUP($A86,'Data shares'!$C:$FB,59)</f>
        <v>14254500</v>
      </c>
      <c r="L86" s="50">
        <f>VLOOKUP($A86,'Data shares'!$C:$FB,61)*100</f>
        <v>-54.669999999999995</v>
      </c>
      <c r="M86" s="49">
        <f>VLOOKUP($A86,'Data shares'!$C:$FB,62)</f>
        <v>3529500</v>
      </c>
      <c r="N86" s="49">
        <f>VLOOKUP($A86,'Data shares'!$C:$FB,63)</f>
        <v>6086400</v>
      </c>
      <c r="O86" s="140">
        <f>VLOOKUP($A86,'Data shares'!$C:$FB,65)*100</f>
        <v>-42.01</v>
      </c>
    </row>
    <row r="87" spans="1:15" x14ac:dyDescent="0.25">
      <c r="A87" s="101" t="str">
        <f>'Data shares'!C82</f>
        <v>HINDZINC</v>
      </c>
      <c r="B87" s="50">
        <f>VLOOKUP($A87,'Data shares'!$C:$FB,7)</f>
        <v>630</v>
      </c>
      <c r="C87" s="50">
        <f>VLOOKUP($A87,'Data shares'!$C:$FB,10)*100</f>
        <v>-2.04</v>
      </c>
      <c r="D87" s="49">
        <f>VLOOKUP($A87,'Data shares'!$C:$FB,66)</f>
        <v>80810800</v>
      </c>
      <c r="E87" s="49">
        <f>VLOOKUP($A87,'Data shares'!$C:$FB,67)</f>
        <v>110864950</v>
      </c>
      <c r="F87" s="50">
        <f>VLOOKUP($A87,'Data shares'!$C:$FB,69)*100</f>
        <v>-27.11</v>
      </c>
      <c r="G87" s="49">
        <f>VLOOKUP($A87,'Data shares'!$C:$FB,42)</f>
        <v>13385575</v>
      </c>
      <c r="H87" s="49">
        <f>VLOOKUP($A87,'Data shares'!$C:$FB,43)</f>
        <v>15572200</v>
      </c>
      <c r="I87" s="50">
        <f>VLOOKUP($A87,'Data shares'!$C:$FB,45)*100</f>
        <v>-14.04</v>
      </c>
      <c r="J87" s="49">
        <f>VLOOKUP($A87,'Data shares'!$C:$FB,58)</f>
        <v>45034675</v>
      </c>
      <c r="K87" s="49">
        <f>VLOOKUP($A87,'Data shares'!$C:$FB,59)</f>
        <v>65375800</v>
      </c>
      <c r="L87" s="50">
        <f>VLOOKUP($A87,'Data shares'!$C:$FB,61)*100</f>
        <v>-31.11</v>
      </c>
      <c r="M87" s="49">
        <f>VLOOKUP($A87,'Data shares'!$C:$FB,62)</f>
        <v>22390550</v>
      </c>
      <c r="N87" s="49">
        <f>VLOOKUP($A87,'Data shares'!$C:$FB,63)</f>
        <v>29916950</v>
      </c>
      <c r="O87" s="140">
        <f>VLOOKUP($A87,'Data shares'!$C:$FB,65)*100</f>
        <v>-25.16</v>
      </c>
    </row>
    <row r="88" spans="1:15" x14ac:dyDescent="0.25">
      <c r="A88" s="101" t="str">
        <f>'Data shares'!C83</f>
        <v>HUDCO</v>
      </c>
      <c r="B88" s="50">
        <f>VLOOKUP($A88,'Data shares'!$C:$FB,7)</f>
        <v>226.82</v>
      </c>
      <c r="C88" s="50">
        <f>VLOOKUP($A88,'Data shares'!$C:$FB,10)*100</f>
        <v>0.89</v>
      </c>
      <c r="D88" s="49">
        <f>VLOOKUP($A88,'Data shares'!$C:$FB,66)</f>
        <v>20784750</v>
      </c>
      <c r="E88" s="49">
        <f>VLOOKUP($A88,'Data shares'!$C:$FB,67)</f>
        <v>19888425</v>
      </c>
      <c r="F88" s="50">
        <f>VLOOKUP($A88,'Data shares'!$C:$FB,69)*100</f>
        <v>4.51</v>
      </c>
      <c r="G88" s="49">
        <f>VLOOKUP($A88,'Data shares'!$C:$FB,42)</f>
        <v>5264175</v>
      </c>
      <c r="H88" s="49">
        <f>VLOOKUP($A88,'Data shares'!$C:$FB,43)</f>
        <v>5350200</v>
      </c>
      <c r="I88" s="50">
        <f>VLOOKUP($A88,'Data shares'!$C:$FB,45)*100</f>
        <v>-1.6099999999999999</v>
      </c>
      <c r="J88" s="49">
        <f>VLOOKUP($A88,'Data shares'!$C:$FB,58)</f>
        <v>12309900</v>
      </c>
      <c r="K88" s="49">
        <f>VLOOKUP($A88,'Data shares'!$C:$FB,59)</f>
        <v>11083350</v>
      </c>
      <c r="L88" s="50">
        <f>VLOOKUP($A88,'Data shares'!$C:$FB,61)*100</f>
        <v>11.07</v>
      </c>
      <c r="M88" s="49">
        <f>VLOOKUP($A88,'Data shares'!$C:$FB,62)</f>
        <v>3210675</v>
      </c>
      <c r="N88" s="49">
        <f>VLOOKUP($A88,'Data shares'!$C:$FB,63)</f>
        <v>3454875</v>
      </c>
      <c r="O88" s="140">
        <f>VLOOKUP($A88,'Data shares'!$C:$FB,65)*100</f>
        <v>-7.07</v>
      </c>
    </row>
    <row r="89" spans="1:15" x14ac:dyDescent="0.25">
      <c r="A89" s="101" t="str">
        <f>'Data shares'!C84</f>
        <v>ICICIBANK</v>
      </c>
      <c r="B89" s="50">
        <f>VLOOKUP($A89,'Data shares'!$C:$FB,7)</f>
        <v>1427.7</v>
      </c>
      <c r="C89" s="50">
        <f>VLOOKUP($A89,'Data shares'!$C:$FB,10)*100</f>
        <v>1.17</v>
      </c>
      <c r="D89" s="49">
        <f>VLOOKUP($A89,'Data shares'!$C:$FB,66)</f>
        <v>130500300</v>
      </c>
      <c r="E89" s="49">
        <f>VLOOKUP($A89,'Data shares'!$C:$FB,67)</f>
        <v>179698400</v>
      </c>
      <c r="F89" s="50">
        <f>VLOOKUP($A89,'Data shares'!$C:$FB,69)*100</f>
        <v>-27.38</v>
      </c>
      <c r="G89" s="49">
        <f>VLOOKUP($A89,'Data shares'!$C:$FB,42)</f>
        <v>21971600</v>
      </c>
      <c r="H89" s="49">
        <f>VLOOKUP($A89,'Data shares'!$C:$FB,43)</f>
        <v>27323800</v>
      </c>
      <c r="I89" s="50">
        <f>VLOOKUP($A89,'Data shares'!$C:$FB,45)*100</f>
        <v>-19.59</v>
      </c>
      <c r="J89" s="49">
        <f>VLOOKUP($A89,'Data shares'!$C:$FB,58)</f>
        <v>64666000</v>
      </c>
      <c r="K89" s="49">
        <f>VLOOKUP($A89,'Data shares'!$C:$FB,59)</f>
        <v>96259800</v>
      </c>
      <c r="L89" s="50">
        <f>VLOOKUP($A89,'Data shares'!$C:$FB,61)*100</f>
        <v>-32.82</v>
      </c>
      <c r="M89" s="49">
        <f>VLOOKUP($A89,'Data shares'!$C:$FB,62)</f>
        <v>43862700</v>
      </c>
      <c r="N89" s="49">
        <f>VLOOKUP($A89,'Data shares'!$C:$FB,63)</f>
        <v>56114800</v>
      </c>
      <c r="O89" s="140">
        <f>VLOOKUP($A89,'Data shares'!$C:$FB,65)*100</f>
        <v>-21.83</v>
      </c>
    </row>
    <row r="90" spans="1:15" x14ac:dyDescent="0.25">
      <c r="A90" s="101" t="str">
        <f>'Data shares'!C85</f>
        <v>ICICIGI</v>
      </c>
      <c r="B90" s="50">
        <f>VLOOKUP($A90,'Data shares'!$C:$FB,7)</f>
        <v>1966.2</v>
      </c>
      <c r="C90" s="50">
        <f>VLOOKUP($A90,'Data shares'!$C:$FB,10)*100</f>
        <v>-2.1800000000000002</v>
      </c>
      <c r="D90" s="49">
        <f>VLOOKUP($A90,'Data shares'!$C:$FB,66)</f>
        <v>2968550</v>
      </c>
      <c r="E90" s="49">
        <f>VLOOKUP($A90,'Data shares'!$C:$FB,67)</f>
        <v>2986100</v>
      </c>
      <c r="F90" s="50">
        <f>VLOOKUP($A90,'Data shares'!$C:$FB,69)*100</f>
        <v>-0.59</v>
      </c>
      <c r="G90" s="49">
        <f>VLOOKUP($A90,'Data shares'!$C:$FB,42)</f>
        <v>627900</v>
      </c>
      <c r="H90" s="49">
        <f>VLOOKUP($A90,'Data shares'!$C:$FB,43)</f>
        <v>560300</v>
      </c>
      <c r="I90" s="50">
        <f>VLOOKUP($A90,'Data shares'!$C:$FB,45)*100</f>
        <v>12.06</v>
      </c>
      <c r="J90" s="49">
        <f>VLOOKUP($A90,'Data shares'!$C:$FB,58)</f>
        <v>1383850</v>
      </c>
      <c r="K90" s="49">
        <f>VLOOKUP($A90,'Data shares'!$C:$FB,59)</f>
        <v>1790750</v>
      </c>
      <c r="L90" s="50">
        <f>VLOOKUP($A90,'Data shares'!$C:$FB,61)*100</f>
        <v>-22.720000000000002</v>
      </c>
      <c r="M90" s="49">
        <f>VLOOKUP($A90,'Data shares'!$C:$FB,62)</f>
        <v>956800</v>
      </c>
      <c r="N90" s="49">
        <f>VLOOKUP($A90,'Data shares'!$C:$FB,63)</f>
        <v>635050</v>
      </c>
      <c r="O90" s="140">
        <f>VLOOKUP($A90,'Data shares'!$C:$FB,65)*100</f>
        <v>50.67</v>
      </c>
    </row>
    <row r="91" spans="1:15" x14ac:dyDescent="0.25">
      <c r="A91" s="101" t="str">
        <f>'Data shares'!C86</f>
        <v>ICICIPRULI</v>
      </c>
      <c r="B91" s="50">
        <f>VLOOKUP($A91,'Data shares'!$C:$FB,7)</f>
        <v>684.6</v>
      </c>
      <c r="C91" s="50">
        <f>VLOOKUP($A91,'Data shares'!$C:$FB,10)*100</f>
        <v>-0.55999999999999994</v>
      </c>
      <c r="D91" s="49">
        <f>VLOOKUP($A91,'Data shares'!$C:$FB,66)</f>
        <v>7439775</v>
      </c>
      <c r="E91" s="49">
        <f>VLOOKUP($A91,'Data shares'!$C:$FB,67)</f>
        <v>7158575</v>
      </c>
      <c r="F91" s="50">
        <f>VLOOKUP($A91,'Data shares'!$C:$FB,69)*100</f>
        <v>3.93</v>
      </c>
      <c r="G91" s="49">
        <f>VLOOKUP($A91,'Data shares'!$C:$FB,42)</f>
        <v>4082950</v>
      </c>
      <c r="H91" s="49">
        <f>VLOOKUP($A91,'Data shares'!$C:$FB,43)</f>
        <v>3145925</v>
      </c>
      <c r="I91" s="50">
        <f>VLOOKUP($A91,'Data shares'!$C:$FB,45)*100</f>
        <v>29.79</v>
      </c>
      <c r="J91" s="49">
        <f>VLOOKUP($A91,'Data shares'!$C:$FB,58)</f>
        <v>2169125</v>
      </c>
      <c r="K91" s="49">
        <f>VLOOKUP($A91,'Data shares'!$C:$FB,59)</f>
        <v>2497500</v>
      </c>
      <c r="L91" s="50">
        <f>VLOOKUP($A91,'Data shares'!$C:$FB,61)*100</f>
        <v>-13.15</v>
      </c>
      <c r="M91" s="49">
        <f>VLOOKUP($A91,'Data shares'!$C:$FB,62)</f>
        <v>1187700</v>
      </c>
      <c r="N91" s="49">
        <f>VLOOKUP($A91,'Data shares'!$C:$FB,63)</f>
        <v>1515150</v>
      </c>
      <c r="O91" s="140">
        <f>VLOOKUP($A91,'Data shares'!$C:$FB,65)*100</f>
        <v>-21.61</v>
      </c>
    </row>
    <row r="92" spans="1:15" x14ac:dyDescent="0.25">
      <c r="A92" s="101" t="str">
        <f>'Data shares'!C87</f>
        <v>IDEA</v>
      </c>
      <c r="B92" s="50">
        <f>VLOOKUP($A92,'Data shares'!$C:$FB,7)</f>
        <v>11.46</v>
      </c>
      <c r="C92" s="50">
        <f>VLOOKUP($A92,'Data shares'!$C:$FB,10)*100</f>
        <v>-1.1199999999999999</v>
      </c>
      <c r="D92" s="49">
        <f>VLOOKUP($A92,'Data shares'!$C:$FB,66)</f>
        <v>1749422100</v>
      </c>
      <c r="E92" s="49">
        <f>VLOOKUP($A92,'Data shares'!$C:$FB,67)</f>
        <v>2652437250</v>
      </c>
      <c r="F92" s="50">
        <f>VLOOKUP($A92,'Data shares'!$C:$FB,69)*100</f>
        <v>-34.04</v>
      </c>
      <c r="G92" s="49">
        <f>VLOOKUP($A92,'Data shares'!$C:$FB,42)</f>
        <v>439499775</v>
      </c>
      <c r="H92" s="49">
        <f>VLOOKUP($A92,'Data shares'!$C:$FB,43)</f>
        <v>639558300</v>
      </c>
      <c r="I92" s="50">
        <f>VLOOKUP($A92,'Data shares'!$C:$FB,45)*100</f>
        <v>-31.28</v>
      </c>
      <c r="J92" s="49">
        <f>VLOOKUP($A92,'Data shares'!$C:$FB,58)</f>
        <v>956549925</v>
      </c>
      <c r="K92" s="49">
        <f>VLOOKUP($A92,'Data shares'!$C:$FB,59)</f>
        <v>1437862575</v>
      </c>
      <c r="L92" s="50">
        <f>VLOOKUP($A92,'Data shares'!$C:$FB,61)*100</f>
        <v>-33.47</v>
      </c>
      <c r="M92" s="49">
        <f>VLOOKUP($A92,'Data shares'!$C:$FB,62)</f>
        <v>353372400</v>
      </c>
      <c r="N92" s="49">
        <f>VLOOKUP($A92,'Data shares'!$C:$FB,63)</f>
        <v>575016375</v>
      </c>
      <c r="O92" s="140">
        <f>VLOOKUP($A92,'Data shares'!$C:$FB,65)*100</f>
        <v>-38.550000000000004</v>
      </c>
    </row>
    <row r="93" spans="1:15" x14ac:dyDescent="0.25">
      <c r="A93" s="101" t="str">
        <f>'Data shares'!C88</f>
        <v>IDFCFIRSTB</v>
      </c>
      <c r="B93" s="50">
        <f>VLOOKUP($A93,'Data shares'!$C:$FB,7)</f>
        <v>84.4</v>
      </c>
      <c r="C93" s="50">
        <f>VLOOKUP($A93,'Data shares'!$C:$FB,10)*100</f>
        <v>-0.38999999999999996</v>
      </c>
      <c r="D93" s="49">
        <f>VLOOKUP($A93,'Data shares'!$C:$FB,66)</f>
        <v>226671725</v>
      </c>
      <c r="E93" s="49">
        <f>VLOOKUP($A93,'Data shares'!$C:$FB,67)</f>
        <v>184897125</v>
      </c>
      <c r="F93" s="50">
        <f>VLOOKUP($A93,'Data shares'!$C:$FB,69)*100</f>
        <v>22.59</v>
      </c>
      <c r="G93" s="49">
        <f>VLOOKUP($A93,'Data shares'!$C:$FB,42)</f>
        <v>68069225</v>
      </c>
      <c r="H93" s="49">
        <f>VLOOKUP($A93,'Data shares'!$C:$FB,43)</f>
        <v>51791600</v>
      </c>
      <c r="I93" s="50">
        <f>VLOOKUP($A93,'Data shares'!$C:$FB,45)*100</f>
        <v>31.430000000000003</v>
      </c>
      <c r="J93" s="49">
        <f>VLOOKUP($A93,'Data shares'!$C:$FB,58)</f>
        <v>119248675</v>
      </c>
      <c r="K93" s="49">
        <f>VLOOKUP($A93,'Data shares'!$C:$FB,59)</f>
        <v>93250850</v>
      </c>
      <c r="L93" s="50">
        <f>VLOOKUP($A93,'Data shares'!$C:$FB,61)*100</f>
        <v>27.88</v>
      </c>
      <c r="M93" s="49">
        <f>VLOOKUP($A93,'Data shares'!$C:$FB,62)</f>
        <v>39353825</v>
      </c>
      <c r="N93" s="49">
        <f>VLOOKUP($A93,'Data shares'!$C:$FB,63)</f>
        <v>39854675</v>
      </c>
      <c r="O93" s="140">
        <f>VLOOKUP($A93,'Data shares'!$C:$FB,65)*100</f>
        <v>-1.26</v>
      </c>
    </row>
    <row r="94" spans="1:15" x14ac:dyDescent="0.25">
      <c r="A94" s="101" t="str">
        <f>'Data shares'!C89</f>
        <v>IEX</v>
      </c>
      <c r="B94" s="50">
        <f>VLOOKUP($A94,'Data shares'!$C:$FB,7)</f>
        <v>154.78</v>
      </c>
      <c r="C94" s="50">
        <f>VLOOKUP($A94,'Data shares'!$C:$FB,10)*100</f>
        <v>4.1099999999999994</v>
      </c>
      <c r="D94" s="49">
        <f>VLOOKUP($A94,'Data shares'!$C:$FB,66)</f>
        <v>615558750</v>
      </c>
      <c r="E94" s="49">
        <f>VLOOKUP($A94,'Data shares'!$C:$FB,67)</f>
        <v>798600000</v>
      </c>
      <c r="F94" s="50">
        <f>VLOOKUP($A94,'Data shares'!$C:$FB,69)*100</f>
        <v>-22.919999999999998</v>
      </c>
      <c r="G94" s="49">
        <f>VLOOKUP($A94,'Data shares'!$C:$FB,42)</f>
        <v>88293750</v>
      </c>
      <c r="H94" s="49">
        <f>VLOOKUP($A94,'Data shares'!$C:$FB,43)</f>
        <v>145245000</v>
      </c>
      <c r="I94" s="50">
        <f>VLOOKUP($A94,'Data shares'!$C:$FB,45)*100</f>
        <v>-39.21</v>
      </c>
      <c r="J94" s="49">
        <f>VLOOKUP($A94,'Data shares'!$C:$FB,58)</f>
        <v>397335000</v>
      </c>
      <c r="K94" s="49">
        <f>VLOOKUP($A94,'Data shares'!$C:$FB,59)</f>
        <v>488216250</v>
      </c>
      <c r="L94" s="50">
        <f>VLOOKUP($A94,'Data shares'!$C:$FB,61)*100</f>
        <v>-18.61</v>
      </c>
      <c r="M94" s="49">
        <f>VLOOKUP($A94,'Data shares'!$C:$FB,62)</f>
        <v>129930000</v>
      </c>
      <c r="N94" s="49">
        <f>VLOOKUP($A94,'Data shares'!$C:$FB,63)</f>
        <v>165138750</v>
      </c>
      <c r="O94" s="140">
        <f>VLOOKUP($A94,'Data shares'!$C:$FB,65)*100</f>
        <v>-21.32</v>
      </c>
    </row>
    <row r="95" spans="1:15" x14ac:dyDescent="0.25">
      <c r="A95" s="101" t="str">
        <f>'Data shares'!C90</f>
        <v>IIFL</v>
      </c>
      <c r="B95" s="50">
        <f>VLOOKUP($A95,'Data shares'!$C:$FB,7)</f>
        <v>656.95</v>
      </c>
      <c r="C95" s="50">
        <f>VLOOKUP($A95,'Data shares'!$C:$FB,10)*100</f>
        <v>-1.23</v>
      </c>
      <c r="D95" s="49">
        <f>VLOOKUP($A95,'Data shares'!$C:$FB,66)</f>
        <v>15701400</v>
      </c>
      <c r="E95" s="49">
        <f>VLOOKUP($A95,'Data shares'!$C:$FB,67)</f>
        <v>42748200</v>
      </c>
      <c r="F95" s="50">
        <f>VLOOKUP($A95,'Data shares'!$C:$FB,69)*100</f>
        <v>-63.27</v>
      </c>
      <c r="G95" s="49">
        <f>VLOOKUP($A95,'Data shares'!$C:$FB,42)</f>
        <v>3201000</v>
      </c>
      <c r="H95" s="49">
        <f>VLOOKUP($A95,'Data shares'!$C:$FB,43)</f>
        <v>5910300</v>
      </c>
      <c r="I95" s="50">
        <f>VLOOKUP($A95,'Data shares'!$C:$FB,45)*100</f>
        <v>-45.839999999999996</v>
      </c>
      <c r="J95" s="49">
        <f>VLOOKUP($A95,'Data shares'!$C:$FB,58)</f>
        <v>7197300</v>
      </c>
      <c r="K95" s="49">
        <f>VLOOKUP($A95,'Data shares'!$C:$FB,59)</f>
        <v>26571600</v>
      </c>
      <c r="L95" s="50">
        <f>VLOOKUP($A95,'Data shares'!$C:$FB,61)*100</f>
        <v>-72.91</v>
      </c>
      <c r="M95" s="49">
        <f>VLOOKUP($A95,'Data shares'!$C:$FB,62)</f>
        <v>5303100</v>
      </c>
      <c r="N95" s="49">
        <f>VLOOKUP($A95,'Data shares'!$C:$FB,63)</f>
        <v>10266300</v>
      </c>
      <c r="O95" s="140">
        <f>VLOOKUP($A95,'Data shares'!$C:$FB,65)*100</f>
        <v>-48.339999999999996</v>
      </c>
    </row>
    <row r="96" spans="1:15" x14ac:dyDescent="0.25">
      <c r="A96" s="101" t="str">
        <f>'Data shares'!C91</f>
        <v>INDHOTEL</v>
      </c>
      <c r="B96" s="50">
        <f>VLOOKUP($A96,'Data shares'!$C:$FB,7)</f>
        <v>715.35</v>
      </c>
      <c r="C96" s="50">
        <f>VLOOKUP($A96,'Data shares'!$C:$FB,10)*100</f>
        <v>-1.52</v>
      </c>
      <c r="D96" s="49">
        <f>VLOOKUP($A96,'Data shares'!$C:$FB,66)</f>
        <v>42456000</v>
      </c>
      <c r="E96" s="49">
        <f>VLOOKUP($A96,'Data shares'!$C:$FB,67)</f>
        <v>22124000</v>
      </c>
      <c r="F96" s="50">
        <f>VLOOKUP($A96,'Data shares'!$C:$FB,69)*100</f>
        <v>91.9</v>
      </c>
      <c r="G96" s="49">
        <f>VLOOKUP($A96,'Data shares'!$C:$FB,42)</f>
        <v>9951000</v>
      </c>
      <c r="H96" s="49">
        <f>VLOOKUP($A96,'Data shares'!$C:$FB,43)</f>
        <v>6179000</v>
      </c>
      <c r="I96" s="50">
        <f>VLOOKUP($A96,'Data shares'!$C:$FB,45)*100</f>
        <v>61.050000000000004</v>
      </c>
      <c r="J96" s="49">
        <f>VLOOKUP($A96,'Data shares'!$C:$FB,58)</f>
        <v>19444000</v>
      </c>
      <c r="K96" s="49">
        <f>VLOOKUP($A96,'Data shares'!$C:$FB,59)</f>
        <v>10633000</v>
      </c>
      <c r="L96" s="50">
        <f>VLOOKUP($A96,'Data shares'!$C:$FB,61)*100</f>
        <v>82.86</v>
      </c>
      <c r="M96" s="49">
        <f>VLOOKUP($A96,'Data shares'!$C:$FB,62)</f>
        <v>13061000</v>
      </c>
      <c r="N96" s="49">
        <f>VLOOKUP($A96,'Data shares'!$C:$FB,63)</f>
        <v>5312000</v>
      </c>
      <c r="O96" s="140">
        <f>VLOOKUP($A96,'Data shares'!$C:$FB,65)*100</f>
        <v>145.88</v>
      </c>
    </row>
    <row r="97" spans="1:15" x14ac:dyDescent="0.25">
      <c r="A97" s="101" t="str">
        <f>'Data shares'!C92</f>
        <v>INDIANB</v>
      </c>
      <c r="B97" s="50">
        <f>VLOOKUP($A97,'Data shares'!$C:$FB,7)</f>
        <v>864.6</v>
      </c>
      <c r="C97" s="50">
        <f>VLOOKUP($A97,'Data shares'!$C:$FB,10)*100</f>
        <v>0.36</v>
      </c>
      <c r="D97" s="49">
        <f>VLOOKUP($A97,'Data shares'!$C:$FB,66)</f>
        <v>6406000</v>
      </c>
      <c r="E97" s="49">
        <f>VLOOKUP($A97,'Data shares'!$C:$FB,67)</f>
        <v>10125000</v>
      </c>
      <c r="F97" s="50">
        <f>VLOOKUP($A97,'Data shares'!$C:$FB,69)*100</f>
        <v>-36.730000000000004</v>
      </c>
      <c r="G97" s="49">
        <f>VLOOKUP($A97,'Data shares'!$C:$FB,42)</f>
        <v>2123000</v>
      </c>
      <c r="H97" s="49">
        <f>VLOOKUP($A97,'Data shares'!$C:$FB,43)</f>
        <v>2276000</v>
      </c>
      <c r="I97" s="50">
        <f>VLOOKUP($A97,'Data shares'!$C:$FB,45)*100</f>
        <v>-6.72</v>
      </c>
      <c r="J97" s="49">
        <f>VLOOKUP($A97,'Data shares'!$C:$FB,58)</f>
        <v>3069000</v>
      </c>
      <c r="K97" s="49">
        <f>VLOOKUP($A97,'Data shares'!$C:$FB,59)</f>
        <v>5766000</v>
      </c>
      <c r="L97" s="50">
        <f>VLOOKUP($A97,'Data shares'!$C:$FB,61)*100</f>
        <v>-46.77</v>
      </c>
      <c r="M97" s="49">
        <f>VLOOKUP($A97,'Data shares'!$C:$FB,62)</f>
        <v>1214000</v>
      </c>
      <c r="N97" s="49">
        <f>VLOOKUP($A97,'Data shares'!$C:$FB,63)</f>
        <v>2083000</v>
      </c>
      <c r="O97" s="140">
        <f>VLOOKUP($A97,'Data shares'!$C:$FB,65)*100</f>
        <v>-41.72</v>
      </c>
    </row>
    <row r="98" spans="1:15" x14ac:dyDescent="0.25">
      <c r="A98" s="101" t="str">
        <f>'Data shares'!C93</f>
        <v>INDIAVIX</v>
      </c>
      <c r="B98" s="50">
        <f>VLOOKUP($A98,'Data shares'!$C:$FB,7)</f>
        <v>9.9499999999999993</v>
      </c>
      <c r="C98" s="50">
        <f>VLOOKUP($A98,'Data shares'!$C:$FB,10)*100</f>
        <v>-0.70000000000000007</v>
      </c>
      <c r="D98" s="49">
        <f>VLOOKUP($A98,'Data shares'!$C:$FB,66)</f>
        <v>0</v>
      </c>
      <c r="E98" s="49">
        <f>VLOOKUP($A98,'Data shares'!$C:$FB,67)</f>
        <v>0</v>
      </c>
      <c r="F98" s="50">
        <f>VLOOKUP($A98,'Data shares'!$C:$FB,69)*100</f>
        <v>0</v>
      </c>
      <c r="G98" s="49">
        <f>VLOOKUP($A98,'Data shares'!$C:$FB,42)</f>
        <v>0</v>
      </c>
      <c r="H98" s="49">
        <f>VLOOKUP($A98,'Data shares'!$C:$FB,43)</f>
        <v>0</v>
      </c>
      <c r="I98" s="50">
        <f>VLOOKUP($A98,'Data shares'!$C:$FB,45)*100</f>
        <v>0</v>
      </c>
      <c r="J98" s="49">
        <f>VLOOKUP($A98,'Data shares'!$C:$FB,58)</f>
        <v>0</v>
      </c>
      <c r="K98" s="49">
        <f>VLOOKUP($A98,'Data shares'!$C:$FB,59)</f>
        <v>0</v>
      </c>
      <c r="L98" s="50">
        <f>VLOOKUP($A98,'Data shares'!$C:$FB,61)*100</f>
        <v>0</v>
      </c>
      <c r="M98" s="49">
        <f>VLOOKUP($A98,'Data shares'!$C:$FB,62)</f>
        <v>0</v>
      </c>
      <c r="N98" s="49">
        <f>VLOOKUP($A98,'Data shares'!$C:$FB,63)</f>
        <v>0</v>
      </c>
      <c r="O98" s="140">
        <f>VLOOKUP($A98,'Data shares'!$C:$FB,65)*100</f>
        <v>0</v>
      </c>
    </row>
    <row r="99" spans="1:15" x14ac:dyDescent="0.25">
      <c r="A99" s="101" t="str">
        <f>'Data shares'!C94</f>
        <v>INDIGO</v>
      </c>
      <c r="B99" s="50">
        <f>VLOOKUP($A99,'Data shares'!$C:$FB,7)</f>
        <v>4951</v>
      </c>
      <c r="C99" s="50">
        <f>VLOOKUP($A99,'Data shares'!$C:$FB,10)*100</f>
        <v>-1.03</v>
      </c>
      <c r="D99" s="49">
        <f>VLOOKUP($A99,'Data shares'!$C:$FB,66)</f>
        <v>12618150</v>
      </c>
      <c r="E99" s="49">
        <f>VLOOKUP($A99,'Data shares'!$C:$FB,67)</f>
        <v>9358650</v>
      </c>
      <c r="F99" s="50">
        <f>VLOOKUP($A99,'Data shares'!$C:$FB,69)*100</f>
        <v>34.83</v>
      </c>
      <c r="G99" s="49">
        <f>VLOOKUP($A99,'Data shares'!$C:$FB,42)</f>
        <v>1311900</v>
      </c>
      <c r="H99" s="49">
        <f>VLOOKUP($A99,'Data shares'!$C:$FB,43)</f>
        <v>1080300</v>
      </c>
      <c r="I99" s="50">
        <f>VLOOKUP($A99,'Data shares'!$C:$FB,45)*100</f>
        <v>21.44</v>
      </c>
      <c r="J99" s="49">
        <f>VLOOKUP($A99,'Data shares'!$C:$FB,58)</f>
        <v>6109800</v>
      </c>
      <c r="K99" s="49">
        <f>VLOOKUP($A99,'Data shares'!$C:$FB,59)</f>
        <v>4963950</v>
      </c>
      <c r="L99" s="50">
        <f>VLOOKUP($A99,'Data shares'!$C:$FB,61)*100</f>
        <v>23.080000000000002</v>
      </c>
      <c r="M99" s="49">
        <f>VLOOKUP($A99,'Data shares'!$C:$FB,62)</f>
        <v>5196450</v>
      </c>
      <c r="N99" s="49">
        <f>VLOOKUP($A99,'Data shares'!$C:$FB,63)</f>
        <v>3314400</v>
      </c>
      <c r="O99" s="140">
        <f>VLOOKUP($A99,'Data shares'!$C:$FB,65)*100</f>
        <v>56.779999999999994</v>
      </c>
    </row>
    <row r="100" spans="1:15" x14ac:dyDescent="0.25">
      <c r="A100" s="101" t="str">
        <f>'Data shares'!C95</f>
        <v>INDUSINDBK</v>
      </c>
      <c r="B100" s="50">
        <f>VLOOKUP($A100,'Data shares'!$C:$FB,7)</f>
        <v>897.85</v>
      </c>
      <c r="C100" s="50">
        <f>VLOOKUP($A100,'Data shares'!$C:$FB,10)*100</f>
        <v>-1.79</v>
      </c>
      <c r="D100" s="49">
        <f>VLOOKUP($A100,'Data shares'!$C:$FB,66)</f>
        <v>35718900</v>
      </c>
      <c r="E100" s="49">
        <f>VLOOKUP($A100,'Data shares'!$C:$FB,67)</f>
        <v>70023800</v>
      </c>
      <c r="F100" s="50">
        <f>VLOOKUP($A100,'Data shares'!$C:$FB,69)*100</f>
        <v>-48.99</v>
      </c>
      <c r="G100" s="49">
        <f>VLOOKUP($A100,'Data shares'!$C:$FB,42)</f>
        <v>10896900</v>
      </c>
      <c r="H100" s="49">
        <f>VLOOKUP($A100,'Data shares'!$C:$FB,43)</f>
        <v>15799000</v>
      </c>
      <c r="I100" s="50">
        <f>VLOOKUP($A100,'Data shares'!$C:$FB,45)*100</f>
        <v>-31.03</v>
      </c>
      <c r="J100" s="49">
        <f>VLOOKUP($A100,'Data shares'!$C:$FB,58)</f>
        <v>14798700</v>
      </c>
      <c r="K100" s="49">
        <f>VLOOKUP($A100,'Data shares'!$C:$FB,59)</f>
        <v>32635400</v>
      </c>
      <c r="L100" s="50">
        <f>VLOOKUP($A100,'Data shares'!$C:$FB,61)*100</f>
        <v>-54.65</v>
      </c>
      <c r="M100" s="49">
        <f>VLOOKUP($A100,'Data shares'!$C:$FB,62)</f>
        <v>10023300</v>
      </c>
      <c r="N100" s="49">
        <f>VLOOKUP($A100,'Data shares'!$C:$FB,63)</f>
        <v>21589400</v>
      </c>
      <c r="O100" s="140">
        <f>VLOOKUP($A100,'Data shares'!$C:$FB,65)*100</f>
        <v>-53.569999999999993</v>
      </c>
    </row>
    <row r="101" spans="1:15" x14ac:dyDescent="0.25">
      <c r="A101" s="101" t="str">
        <f>'Data shares'!C96</f>
        <v>INDUSTOWER</v>
      </c>
      <c r="B101" s="50">
        <f>VLOOKUP($A101,'Data shares'!$C:$FB,7)</f>
        <v>429</v>
      </c>
      <c r="C101" s="50">
        <f>VLOOKUP($A101,'Data shares'!$C:$FB,10)*100</f>
        <v>-0.75</v>
      </c>
      <c r="D101" s="49">
        <f>VLOOKUP($A101,'Data shares'!$C:$FB,66)</f>
        <v>28796300</v>
      </c>
      <c r="E101" s="49">
        <f>VLOOKUP($A101,'Data shares'!$C:$FB,67)</f>
        <v>27256100</v>
      </c>
      <c r="F101" s="50">
        <f>VLOOKUP($A101,'Data shares'!$C:$FB,69)*100</f>
        <v>5.65</v>
      </c>
      <c r="G101" s="49">
        <f>VLOOKUP($A101,'Data shares'!$C:$FB,42)</f>
        <v>7002300</v>
      </c>
      <c r="H101" s="49">
        <f>VLOOKUP($A101,'Data shares'!$C:$FB,43)</f>
        <v>8268800</v>
      </c>
      <c r="I101" s="50">
        <f>VLOOKUP($A101,'Data shares'!$C:$FB,45)*100</f>
        <v>-15.32</v>
      </c>
      <c r="J101" s="49">
        <f>VLOOKUP($A101,'Data shares'!$C:$FB,58)</f>
        <v>15876300</v>
      </c>
      <c r="K101" s="49">
        <f>VLOOKUP($A101,'Data shares'!$C:$FB,59)</f>
        <v>12816300</v>
      </c>
      <c r="L101" s="50">
        <f>VLOOKUP($A101,'Data shares'!$C:$FB,61)*100</f>
        <v>23.880000000000003</v>
      </c>
      <c r="M101" s="49">
        <f>VLOOKUP($A101,'Data shares'!$C:$FB,62)</f>
        <v>5917700</v>
      </c>
      <c r="N101" s="49">
        <f>VLOOKUP($A101,'Data shares'!$C:$FB,63)</f>
        <v>6171000</v>
      </c>
      <c r="O101" s="140">
        <f>VLOOKUP($A101,'Data shares'!$C:$FB,65)*100</f>
        <v>-4.1000000000000005</v>
      </c>
    </row>
    <row r="102" spans="1:15" x14ac:dyDescent="0.25">
      <c r="A102" s="101" t="str">
        <f>'Data shares'!C97</f>
        <v>INFY</v>
      </c>
      <c r="B102" s="50">
        <f>VLOOKUP($A102,'Data shares'!$C:$FB,7)</f>
        <v>1639</v>
      </c>
      <c r="C102" s="50">
        <f>VLOOKUP($A102,'Data shares'!$C:$FB,10)*100</f>
        <v>1.66</v>
      </c>
      <c r="D102" s="49">
        <f>VLOOKUP($A102,'Data shares'!$C:$FB,66)</f>
        <v>52171600</v>
      </c>
      <c r="E102" s="49">
        <f>VLOOKUP($A102,'Data shares'!$C:$FB,67)</f>
        <v>26730400</v>
      </c>
      <c r="F102" s="50">
        <f>VLOOKUP($A102,'Data shares'!$C:$FB,69)*100</f>
        <v>95.179999999999993</v>
      </c>
      <c r="G102" s="49">
        <f>VLOOKUP($A102,'Data shares'!$C:$FB,42)</f>
        <v>7399200</v>
      </c>
      <c r="H102" s="49">
        <f>VLOOKUP($A102,'Data shares'!$C:$FB,43)</f>
        <v>5182000</v>
      </c>
      <c r="I102" s="50">
        <f>VLOOKUP($A102,'Data shares'!$C:$FB,45)*100</f>
        <v>42.79</v>
      </c>
      <c r="J102" s="49">
        <f>VLOOKUP($A102,'Data shares'!$C:$FB,58)</f>
        <v>33395200</v>
      </c>
      <c r="K102" s="49">
        <f>VLOOKUP($A102,'Data shares'!$C:$FB,59)</f>
        <v>14010000</v>
      </c>
      <c r="L102" s="50">
        <f>VLOOKUP($A102,'Data shares'!$C:$FB,61)*100</f>
        <v>138.37</v>
      </c>
      <c r="M102" s="49">
        <f>VLOOKUP($A102,'Data shares'!$C:$FB,62)</f>
        <v>11377200</v>
      </c>
      <c r="N102" s="49">
        <f>VLOOKUP($A102,'Data shares'!$C:$FB,63)</f>
        <v>7538400</v>
      </c>
      <c r="O102" s="140">
        <f>VLOOKUP($A102,'Data shares'!$C:$FB,65)*100</f>
        <v>50.92</v>
      </c>
    </row>
    <row r="103" spans="1:15" x14ac:dyDescent="0.25">
      <c r="A103" s="101" t="str">
        <f>'Data shares'!C98</f>
        <v>INOXWIND</v>
      </c>
      <c r="B103" s="50">
        <f>VLOOKUP($A103,'Data shares'!$C:$FB,7)</f>
        <v>122.94</v>
      </c>
      <c r="C103" s="50">
        <f>VLOOKUP($A103,'Data shares'!$C:$FB,10)*100</f>
        <v>0.3</v>
      </c>
      <c r="D103" s="49">
        <f>VLOOKUP($A103,'Data shares'!$C:$FB,66)</f>
        <v>37340875</v>
      </c>
      <c r="E103" s="49">
        <f>VLOOKUP($A103,'Data shares'!$C:$FB,67)</f>
        <v>43965350</v>
      </c>
      <c r="F103" s="50">
        <f>VLOOKUP($A103,'Data shares'!$C:$FB,69)*100</f>
        <v>-15.07</v>
      </c>
      <c r="G103" s="49">
        <f>VLOOKUP($A103,'Data shares'!$C:$FB,42)</f>
        <v>11751025</v>
      </c>
      <c r="H103" s="49">
        <f>VLOOKUP($A103,'Data shares'!$C:$FB,43)</f>
        <v>15690675</v>
      </c>
      <c r="I103" s="50">
        <f>VLOOKUP($A103,'Data shares'!$C:$FB,45)*100</f>
        <v>-25.11</v>
      </c>
      <c r="J103" s="49">
        <f>VLOOKUP($A103,'Data shares'!$C:$FB,58)</f>
        <v>17031300</v>
      </c>
      <c r="K103" s="49">
        <f>VLOOKUP($A103,'Data shares'!$C:$FB,59)</f>
        <v>19523075</v>
      </c>
      <c r="L103" s="50">
        <f>VLOOKUP($A103,'Data shares'!$C:$FB,61)*100</f>
        <v>-12.76</v>
      </c>
      <c r="M103" s="49">
        <f>VLOOKUP($A103,'Data shares'!$C:$FB,62)</f>
        <v>8558550</v>
      </c>
      <c r="N103" s="49">
        <f>VLOOKUP($A103,'Data shares'!$C:$FB,63)</f>
        <v>8751600</v>
      </c>
      <c r="O103" s="140">
        <f>VLOOKUP($A103,'Data shares'!$C:$FB,65)*100</f>
        <v>-2.21</v>
      </c>
    </row>
    <row r="104" spans="1:15" x14ac:dyDescent="0.25">
      <c r="A104" s="101" t="str">
        <f>'Data shares'!C99</f>
        <v>IOC</v>
      </c>
      <c r="B104" s="50">
        <f>VLOOKUP($A104,'Data shares'!$C:$FB,7)</f>
        <v>162.66999999999999</v>
      </c>
      <c r="C104" s="50">
        <f>VLOOKUP($A104,'Data shares'!$C:$FB,10)*100</f>
        <v>-0.80999999999999994</v>
      </c>
      <c r="D104" s="49">
        <f>VLOOKUP($A104,'Data shares'!$C:$FB,66)</f>
        <v>53737125</v>
      </c>
      <c r="E104" s="49">
        <f>VLOOKUP($A104,'Data shares'!$C:$FB,67)</f>
        <v>111384000</v>
      </c>
      <c r="F104" s="50">
        <f>VLOOKUP($A104,'Data shares'!$C:$FB,69)*100</f>
        <v>-51.76</v>
      </c>
      <c r="G104" s="49">
        <f>VLOOKUP($A104,'Data shares'!$C:$FB,42)</f>
        <v>8024250</v>
      </c>
      <c r="H104" s="49">
        <f>VLOOKUP($A104,'Data shares'!$C:$FB,43)</f>
        <v>17564625</v>
      </c>
      <c r="I104" s="50">
        <f>VLOOKUP($A104,'Data shares'!$C:$FB,45)*100</f>
        <v>-54.32</v>
      </c>
      <c r="J104" s="49">
        <f>VLOOKUP($A104,'Data shares'!$C:$FB,58)</f>
        <v>30244500</v>
      </c>
      <c r="K104" s="49">
        <f>VLOOKUP($A104,'Data shares'!$C:$FB,59)</f>
        <v>57837000</v>
      </c>
      <c r="L104" s="50">
        <f>VLOOKUP($A104,'Data shares'!$C:$FB,61)*100</f>
        <v>-47.71</v>
      </c>
      <c r="M104" s="49">
        <f>VLOOKUP($A104,'Data shares'!$C:$FB,62)</f>
        <v>15468375</v>
      </c>
      <c r="N104" s="49">
        <f>VLOOKUP($A104,'Data shares'!$C:$FB,63)</f>
        <v>35982375</v>
      </c>
      <c r="O104" s="140">
        <f>VLOOKUP($A104,'Data shares'!$C:$FB,65)*100</f>
        <v>-57.010000000000005</v>
      </c>
    </row>
    <row r="105" spans="1:15" x14ac:dyDescent="0.25">
      <c r="A105" s="101" t="str">
        <f>'Data shares'!C100</f>
        <v>IRCTC</v>
      </c>
      <c r="B105" s="50">
        <f>VLOOKUP($A105,'Data shares'!$C:$FB,7)</f>
        <v>672.8</v>
      </c>
      <c r="C105" s="50">
        <f>VLOOKUP($A105,'Data shares'!$C:$FB,10)*100</f>
        <v>0.24</v>
      </c>
      <c r="D105" s="49">
        <f>VLOOKUP($A105,'Data shares'!$C:$FB,66)</f>
        <v>20762875</v>
      </c>
      <c r="E105" s="49">
        <f>VLOOKUP($A105,'Data shares'!$C:$FB,67)</f>
        <v>19747875</v>
      </c>
      <c r="F105" s="50">
        <f>VLOOKUP($A105,'Data shares'!$C:$FB,69)*100</f>
        <v>5.1400000000000006</v>
      </c>
      <c r="G105" s="49">
        <f>VLOOKUP($A105,'Data shares'!$C:$FB,42)</f>
        <v>3106250</v>
      </c>
      <c r="H105" s="49">
        <f>VLOOKUP($A105,'Data shares'!$C:$FB,43)</f>
        <v>3201625</v>
      </c>
      <c r="I105" s="50">
        <f>VLOOKUP($A105,'Data shares'!$C:$FB,45)*100</f>
        <v>-2.98</v>
      </c>
      <c r="J105" s="49">
        <f>VLOOKUP($A105,'Data shares'!$C:$FB,58)</f>
        <v>14800625</v>
      </c>
      <c r="K105" s="49">
        <f>VLOOKUP($A105,'Data shares'!$C:$FB,59)</f>
        <v>12524750</v>
      </c>
      <c r="L105" s="50">
        <f>VLOOKUP($A105,'Data shares'!$C:$FB,61)*100</f>
        <v>18.170000000000002</v>
      </c>
      <c r="M105" s="49">
        <f>VLOOKUP($A105,'Data shares'!$C:$FB,62)</f>
        <v>2856000</v>
      </c>
      <c r="N105" s="49">
        <f>VLOOKUP($A105,'Data shares'!$C:$FB,63)</f>
        <v>4021500</v>
      </c>
      <c r="O105" s="140">
        <f>VLOOKUP($A105,'Data shares'!$C:$FB,65)*100</f>
        <v>-28.98</v>
      </c>
    </row>
    <row r="106" spans="1:15" x14ac:dyDescent="0.25">
      <c r="A106" s="101" t="str">
        <f>'Data shares'!C101</f>
        <v>IREDA</v>
      </c>
      <c r="B106" s="50">
        <f>VLOOKUP($A106,'Data shares'!$C:$FB,7)</f>
        <v>146.03</v>
      </c>
      <c r="C106" s="50">
        <f>VLOOKUP($A106,'Data shares'!$C:$FB,10)*100</f>
        <v>1.73</v>
      </c>
      <c r="D106" s="49">
        <f>VLOOKUP($A106,'Data shares'!$C:$FB,66)</f>
        <v>53388750</v>
      </c>
      <c r="E106" s="49">
        <f>VLOOKUP($A106,'Data shares'!$C:$FB,67)</f>
        <v>43028400</v>
      </c>
      <c r="F106" s="50">
        <f>VLOOKUP($A106,'Data shares'!$C:$FB,69)*100</f>
        <v>24.08</v>
      </c>
      <c r="G106" s="49">
        <f>VLOOKUP($A106,'Data shares'!$C:$FB,42)</f>
        <v>16542750</v>
      </c>
      <c r="H106" s="49">
        <f>VLOOKUP($A106,'Data shares'!$C:$FB,43)</f>
        <v>11874900</v>
      </c>
      <c r="I106" s="50">
        <f>VLOOKUP($A106,'Data shares'!$C:$FB,45)*100</f>
        <v>39.31</v>
      </c>
      <c r="J106" s="49">
        <f>VLOOKUP($A106,'Data shares'!$C:$FB,58)</f>
        <v>30166800</v>
      </c>
      <c r="K106" s="49">
        <f>VLOOKUP($A106,'Data shares'!$C:$FB,59)</f>
        <v>23232300</v>
      </c>
      <c r="L106" s="50">
        <f>VLOOKUP($A106,'Data shares'!$C:$FB,61)*100</f>
        <v>29.849999999999998</v>
      </c>
      <c r="M106" s="49">
        <f>VLOOKUP($A106,'Data shares'!$C:$FB,62)</f>
        <v>6679200</v>
      </c>
      <c r="N106" s="49">
        <f>VLOOKUP($A106,'Data shares'!$C:$FB,63)</f>
        <v>7921200</v>
      </c>
      <c r="O106" s="140">
        <f>VLOOKUP($A106,'Data shares'!$C:$FB,65)*100</f>
        <v>-15.68</v>
      </c>
    </row>
    <row r="107" spans="1:15" x14ac:dyDescent="0.25">
      <c r="A107" s="101" t="str">
        <f>'Data shares'!C102</f>
        <v>IRFC</v>
      </c>
      <c r="B107" s="50">
        <f>VLOOKUP($A107,'Data shares'!$C:$FB,7)</f>
        <v>128.04</v>
      </c>
      <c r="C107" s="50">
        <f>VLOOKUP($A107,'Data shares'!$C:$FB,10)*100</f>
        <v>0.64</v>
      </c>
      <c r="D107" s="49">
        <f>VLOOKUP($A107,'Data shares'!$C:$FB,66)</f>
        <v>47264250</v>
      </c>
      <c r="E107" s="49">
        <f>VLOOKUP($A107,'Data shares'!$C:$FB,67)</f>
        <v>68514250</v>
      </c>
      <c r="F107" s="50">
        <f>VLOOKUP($A107,'Data shares'!$C:$FB,69)*100</f>
        <v>-31.019999999999996</v>
      </c>
      <c r="G107" s="49">
        <f>VLOOKUP($A107,'Data shares'!$C:$FB,42)</f>
        <v>10994750</v>
      </c>
      <c r="H107" s="49">
        <f>VLOOKUP($A107,'Data shares'!$C:$FB,43)</f>
        <v>14535000</v>
      </c>
      <c r="I107" s="50">
        <f>VLOOKUP($A107,'Data shares'!$C:$FB,45)*100</f>
        <v>-24.36</v>
      </c>
      <c r="J107" s="49">
        <f>VLOOKUP($A107,'Data shares'!$C:$FB,58)</f>
        <v>27353000</v>
      </c>
      <c r="K107" s="49">
        <f>VLOOKUP($A107,'Data shares'!$C:$FB,59)</f>
        <v>42100500</v>
      </c>
      <c r="L107" s="50">
        <f>VLOOKUP($A107,'Data shares'!$C:$FB,61)*100</f>
        <v>-35.03</v>
      </c>
      <c r="M107" s="49">
        <f>VLOOKUP($A107,'Data shares'!$C:$FB,62)</f>
        <v>8916500</v>
      </c>
      <c r="N107" s="49">
        <f>VLOOKUP($A107,'Data shares'!$C:$FB,63)</f>
        <v>11878750</v>
      </c>
      <c r="O107" s="140">
        <f>VLOOKUP($A107,'Data shares'!$C:$FB,65)*100</f>
        <v>-24.94</v>
      </c>
    </row>
    <row r="108" spans="1:15" x14ac:dyDescent="0.25">
      <c r="A108" s="101" t="str">
        <f>'Data shares'!C103</f>
        <v>ITC</v>
      </c>
      <c r="B108" s="50">
        <f>VLOOKUP($A108,'Data shares'!$C:$FB,7)</f>
        <v>341.25</v>
      </c>
      <c r="C108" s="50">
        <f>VLOOKUP($A108,'Data shares'!$C:$FB,10)*100</f>
        <v>-0.35000000000000003</v>
      </c>
      <c r="D108" s="49">
        <f>VLOOKUP($A108,'Data shares'!$C:$FB,66)</f>
        <v>375084800</v>
      </c>
      <c r="E108" s="49">
        <f>VLOOKUP($A108,'Data shares'!$C:$FB,67)</f>
        <v>875897600</v>
      </c>
      <c r="F108" s="50">
        <f>VLOOKUP($A108,'Data shares'!$C:$FB,69)*100</f>
        <v>-57.18</v>
      </c>
      <c r="G108" s="49">
        <f>VLOOKUP($A108,'Data shares'!$C:$FB,42)</f>
        <v>24948800</v>
      </c>
      <c r="H108" s="49">
        <f>VLOOKUP($A108,'Data shares'!$C:$FB,43)</f>
        <v>64011200</v>
      </c>
      <c r="I108" s="50">
        <f>VLOOKUP($A108,'Data shares'!$C:$FB,45)*100</f>
        <v>-61.019999999999996</v>
      </c>
      <c r="J108" s="49">
        <f>VLOOKUP($A108,'Data shares'!$C:$FB,58)</f>
        <v>252681600</v>
      </c>
      <c r="K108" s="49">
        <f>VLOOKUP($A108,'Data shares'!$C:$FB,59)</f>
        <v>575462400</v>
      </c>
      <c r="L108" s="50">
        <f>VLOOKUP($A108,'Data shares'!$C:$FB,61)*100</f>
        <v>-56.089999999999996</v>
      </c>
      <c r="M108" s="49">
        <f>VLOOKUP($A108,'Data shares'!$C:$FB,62)</f>
        <v>97454400</v>
      </c>
      <c r="N108" s="49">
        <f>VLOOKUP($A108,'Data shares'!$C:$FB,63)</f>
        <v>236424000</v>
      </c>
      <c r="O108" s="140">
        <f>VLOOKUP($A108,'Data shares'!$C:$FB,65)*100</f>
        <v>-58.78</v>
      </c>
    </row>
    <row r="109" spans="1:15" x14ac:dyDescent="0.25">
      <c r="A109" s="101" t="str">
        <f>'Data shares'!C104</f>
        <v>JINDALSTEL</v>
      </c>
      <c r="B109" s="50">
        <f>VLOOKUP($A109,'Data shares'!$C:$FB,7)</f>
        <v>1074.7</v>
      </c>
      <c r="C109" s="50">
        <f>VLOOKUP($A109,'Data shares'!$C:$FB,10)*100</f>
        <v>-0.47000000000000003</v>
      </c>
      <c r="D109" s="49">
        <f>VLOOKUP($A109,'Data shares'!$C:$FB,66)</f>
        <v>9871875</v>
      </c>
      <c r="E109" s="49">
        <f>VLOOKUP($A109,'Data shares'!$C:$FB,67)</f>
        <v>9658750</v>
      </c>
      <c r="F109" s="50">
        <f>VLOOKUP($A109,'Data shares'!$C:$FB,69)*100</f>
        <v>2.21</v>
      </c>
      <c r="G109" s="49">
        <f>VLOOKUP($A109,'Data shares'!$C:$FB,42)</f>
        <v>2167500</v>
      </c>
      <c r="H109" s="49">
        <f>VLOOKUP($A109,'Data shares'!$C:$FB,43)</f>
        <v>2003750</v>
      </c>
      <c r="I109" s="50">
        <f>VLOOKUP($A109,'Data shares'!$C:$FB,45)*100</f>
        <v>8.17</v>
      </c>
      <c r="J109" s="49">
        <f>VLOOKUP($A109,'Data shares'!$C:$FB,58)</f>
        <v>3637500</v>
      </c>
      <c r="K109" s="49">
        <f>VLOOKUP($A109,'Data shares'!$C:$FB,59)</f>
        <v>5040625</v>
      </c>
      <c r="L109" s="50">
        <f>VLOOKUP($A109,'Data shares'!$C:$FB,61)*100</f>
        <v>-27.839999999999996</v>
      </c>
      <c r="M109" s="49">
        <f>VLOOKUP($A109,'Data shares'!$C:$FB,62)</f>
        <v>4066875</v>
      </c>
      <c r="N109" s="49">
        <f>VLOOKUP($A109,'Data shares'!$C:$FB,63)</f>
        <v>2614375</v>
      </c>
      <c r="O109" s="140">
        <f>VLOOKUP($A109,'Data shares'!$C:$FB,65)*100</f>
        <v>55.559999999999995</v>
      </c>
    </row>
    <row r="110" spans="1:15" x14ac:dyDescent="0.25">
      <c r="A110" s="101" t="str">
        <f>'Data shares'!C105</f>
        <v>JIOFIN</v>
      </c>
      <c r="B110" s="50">
        <f>VLOOKUP($A110,'Data shares'!$C:$FB,7)</f>
        <v>303.5</v>
      </c>
      <c r="C110" s="50">
        <f>VLOOKUP($A110,'Data shares'!$C:$FB,10)*100</f>
        <v>1.66</v>
      </c>
      <c r="D110" s="49">
        <f>VLOOKUP($A110,'Data shares'!$C:$FB,66)</f>
        <v>213786550</v>
      </c>
      <c r="E110" s="49">
        <f>VLOOKUP($A110,'Data shares'!$C:$FB,67)</f>
        <v>116343800</v>
      </c>
      <c r="F110" s="50">
        <f>VLOOKUP($A110,'Data shares'!$C:$FB,69)*100</f>
        <v>83.75</v>
      </c>
      <c r="G110" s="49">
        <f>VLOOKUP($A110,'Data shares'!$C:$FB,42)</f>
        <v>40570400</v>
      </c>
      <c r="H110" s="49">
        <f>VLOOKUP($A110,'Data shares'!$C:$FB,43)</f>
        <v>23577550</v>
      </c>
      <c r="I110" s="50">
        <f>VLOOKUP($A110,'Data shares'!$C:$FB,45)*100</f>
        <v>72.070000000000007</v>
      </c>
      <c r="J110" s="49">
        <f>VLOOKUP($A110,'Data shares'!$C:$FB,58)</f>
        <v>132518850</v>
      </c>
      <c r="K110" s="49">
        <f>VLOOKUP($A110,'Data shares'!$C:$FB,59)</f>
        <v>63414750</v>
      </c>
      <c r="L110" s="50">
        <f>VLOOKUP($A110,'Data shares'!$C:$FB,61)*100</f>
        <v>108.96999999999998</v>
      </c>
      <c r="M110" s="49">
        <f>VLOOKUP($A110,'Data shares'!$C:$FB,62)</f>
        <v>40697300</v>
      </c>
      <c r="N110" s="49">
        <f>VLOOKUP($A110,'Data shares'!$C:$FB,63)</f>
        <v>29351500</v>
      </c>
      <c r="O110" s="140">
        <f>VLOOKUP($A110,'Data shares'!$C:$FB,65)*100</f>
        <v>38.65</v>
      </c>
    </row>
    <row r="111" spans="1:15" x14ac:dyDescent="0.25">
      <c r="A111" s="101" t="str">
        <f>'Data shares'!C106</f>
        <v>JSWENERGY</v>
      </c>
      <c r="B111" s="50">
        <f>VLOOKUP($A111,'Data shares'!$C:$FB,7)</f>
        <v>512.6</v>
      </c>
      <c r="C111" s="50">
        <f>VLOOKUP($A111,'Data shares'!$C:$FB,10)*100</f>
        <v>-0.44</v>
      </c>
      <c r="D111" s="49">
        <f>VLOOKUP($A111,'Data shares'!$C:$FB,66)</f>
        <v>8526000</v>
      </c>
      <c r="E111" s="49">
        <f>VLOOKUP($A111,'Data shares'!$C:$FB,67)</f>
        <v>9910000</v>
      </c>
      <c r="F111" s="50">
        <f>VLOOKUP($A111,'Data shares'!$C:$FB,69)*100</f>
        <v>-13.969999999999999</v>
      </c>
      <c r="G111" s="49">
        <f>VLOOKUP($A111,'Data shares'!$C:$FB,42)</f>
        <v>2736000</v>
      </c>
      <c r="H111" s="49">
        <f>VLOOKUP($A111,'Data shares'!$C:$FB,43)</f>
        <v>2806000</v>
      </c>
      <c r="I111" s="50">
        <f>VLOOKUP($A111,'Data shares'!$C:$FB,45)*100</f>
        <v>-2.4899999999999998</v>
      </c>
      <c r="J111" s="49">
        <f>VLOOKUP($A111,'Data shares'!$C:$FB,58)</f>
        <v>3321000</v>
      </c>
      <c r="K111" s="49">
        <f>VLOOKUP($A111,'Data shares'!$C:$FB,59)</f>
        <v>4411000</v>
      </c>
      <c r="L111" s="50">
        <f>VLOOKUP($A111,'Data shares'!$C:$FB,61)*100</f>
        <v>-24.709999999999997</v>
      </c>
      <c r="M111" s="49">
        <f>VLOOKUP($A111,'Data shares'!$C:$FB,62)</f>
        <v>2469000</v>
      </c>
      <c r="N111" s="49">
        <f>VLOOKUP($A111,'Data shares'!$C:$FB,63)</f>
        <v>2693000</v>
      </c>
      <c r="O111" s="140">
        <f>VLOOKUP($A111,'Data shares'!$C:$FB,65)*100</f>
        <v>-8.32</v>
      </c>
    </row>
    <row r="112" spans="1:15" x14ac:dyDescent="0.25">
      <c r="A112" s="101" t="str">
        <f>'Data shares'!C107</f>
        <v>JSWSTEEL</v>
      </c>
      <c r="B112" s="50">
        <f>VLOOKUP($A112,'Data shares'!$C:$FB,7)</f>
        <v>1189.8</v>
      </c>
      <c r="C112" s="50">
        <f>VLOOKUP($A112,'Data shares'!$C:$FB,10)*100</f>
        <v>1.1499999999999999</v>
      </c>
      <c r="D112" s="49">
        <f>VLOOKUP($A112,'Data shares'!$C:$FB,66)</f>
        <v>14335650</v>
      </c>
      <c r="E112" s="49">
        <f>VLOOKUP($A112,'Data shares'!$C:$FB,67)</f>
        <v>25449525</v>
      </c>
      <c r="F112" s="50">
        <f>VLOOKUP($A112,'Data shares'!$C:$FB,69)*100</f>
        <v>-43.669999999999995</v>
      </c>
      <c r="G112" s="49">
        <f>VLOOKUP($A112,'Data shares'!$C:$FB,42)</f>
        <v>3721950</v>
      </c>
      <c r="H112" s="49">
        <f>VLOOKUP($A112,'Data shares'!$C:$FB,43)</f>
        <v>5653125</v>
      </c>
      <c r="I112" s="50">
        <f>VLOOKUP($A112,'Data shares'!$C:$FB,45)*100</f>
        <v>-34.160000000000004</v>
      </c>
      <c r="J112" s="49">
        <f>VLOOKUP($A112,'Data shares'!$C:$FB,58)</f>
        <v>5875200</v>
      </c>
      <c r="K112" s="49">
        <f>VLOOKUP($A112,'Data shares'!$C:$FB,59)</f>
        <v>9684900</v>
      </c>
      <c r="L112" s="50">
        <f>VLOOKUP($A112,'Data shares'!$C:$FB,61)*100</f>
        <v>-39.340000000000003</v>
      </c>
      <c r="M112" s="49">
        <f>VLOOKUP($A112,'Data shares'!$C:$FB,62)</f>
        <v>4738500</v>
      </c>
      <c r="N112" s="49">
        <f>VLOOKUP($A112,'Data shares'!$C:$FB,63)</f>
        <v>10111500</v>
      </c>
      <c r="O112" s="140">
        <f>VLOOKUP($A112,'Data shares'!$C:$FB,65)*100</f>
        <v>-53.14</v>
      </c>
    </row>
    <row r="113" spans="1:15" x14ac:dyDescent="0.25">
      <c r="A113" s="101" t="str">
        <f>'Data shares'!C108</f>
        <v>JUBLFOOD</v>
      </c>
      <c r="B113" s="50">
        <f>VLOOKUP($A113,'Data shares'!$C:$FB,7)</f>
        <v>537.4</v>
      </c>
      <c r="C113" s="50">
        <f>VLOOKUP($A113,'Data shares'!$C:$FB,10)*100</f>
        <v>-1.67</v>
      </c>
      <c r="D113" s="49">
        <f>VLOOKUP($A113,'Data shares'!$C:$FB,66)</f>
        <v>34840000</v>
      </c>
      <c r="E113" s="49">
        <f>VLOOKUP($A113,'Data shares'!$C:$FB,67)</f>
        <v>28413750</v>
      </c>
      <c r="F113" s="50">
        <f>VLOOKUP($A113,'Data shares'!$C:$FB,69)*100</f>
        <v>22.62</v>
      </c>
      <c r="G113" s="49">
        <f>VLOOKUP($A113,'Data shares'!$C:$FB,42)</f>
        <v>9632500</v>
      </c>
      <c r="H113" s="49">
        <f>VLOOKUP($A113,'Data shares'!$C:$FB,43)</f>
        <v>6917500</v>
      </c>
      <c r="I113" s="50">
        <f>VLOOKUP($A113,'Data shares'!$C:$FB,45)*100</f>
        <v>39.25</v>
      </c>
      <c r="J113" s="49">
        <f>VLOOKUP($A113,'Data shares'!$C:$FB,58)</f>
        <v>16632500</v>
      </c>
      <c r="K113" s="49">
        <f>VLOOKUP($A113,'Data shares'!$C:$FB,59)</f>
        <v>14555000</v>
      </c>
      <c r="L113" s="50">
        <f>VLOOKUP($A113,'Data shares'!$C:$FB,61)*100</f>
        <v>14.27</v>
      </c>
      <c r="M113" s="49">
        <f>VLOOKUP($A113,'Data shares'!$C:$FB,62)</f>
        <v>8575000</v>
      </c>
      <c r="N113" s="49">
        <f>VLOOKUP($A113,'Data shares'!$C:$FB,63)</f>
        <v>6941250</v>
      </c>
      <c r="O113" s="140">
        <f>VLOOKUP($A113,'Data shares'!$C:$FB,65)*100</f>
        <v>23.54</v>
      </c>
    </row>
    <row r="114" spans="1:15" x14ac:dyDescent="0.25">
      <c r="A114" s="101" t="str">
        <f>'Data shares'!C109</f>
        <v>KALYANKJIL</v>
      </c>
      <c r="B114" s="50">
        <f>VLOOKUP($A114,'Data shares'!$C:$FB,7)</f>
        <v>520.75</v>
      </c>
      <c r="C114" s="50">
        <f>VLOOKUP($A114,'Data shares'!$C:$FB,10)*100</f>
        <v>4.12</v>
      </c>
      <c r="D114" s="49">
        <f>VLOOKUP($A114,'Data shares'!$C:$FB,66)</f>
        <v>124640475</v>
      </c>
      <c r="E114" s="49">
        <f>VLOOKUP($A114,'Data shares'!$C:$FB,67)</f>
        <v>13339775</v>
      </c>
      <c r="F114" s="50">
        <f>VLOOKUP($A114,'Data shares'!$C:$FB,69)*100</f>
        <v>834.35</v>
      </c>
      <c r="G114" s="49">
        <f>VLOOKUP($A114,'Data shares'!$C:$FB,42)</f>
        <v>15652175</v>
      </c>
      <c r="H114" s="49">
        <f>VLOOKUP($A114,'Data shares'!$C:$FB,43)</f>
        <v>4383925</v>
      </c>
      <c r="I114" s="50">
        <f>VLOOKUP($A114,'Data shares'!$C:$FB,45)*100</f>
        <v>257.03999999999996</v>
      </c>
      <c r="J114" s="49">
        <f>VLOOKUP($A114,'Data shares'!$C:$FB,58)</f>
        <v>84444900</v>
      </c>
      <c r="K114" s="49">
        <f>VLOOKUP($A114,'Data shares'!$C:$FB,59)</f>
        <v>6397875</v>
      </c>
      <c r="L114" s="50">
        <f>VLOOKUP($A114,'Data shares'!$C:$FB,61)*100</f>
        <v>1219.8900000000001</v>
      </c>
      <c r="M114" s="49">
        <f>VLOOKUP($A114,'Data shares'!$C:$FB,62)</f>
        <v>24543400</v>
      </c>
      <c r="N114" s="49">
        <f>VLOOKUP($A114,'Data shares'!$C:$FB,63)</f>
        <v>2557975</v>
      </c>
      <c r="O114" s="140">
        <f>VLOOKUP($A114,'Data shares'!$C:$FB,65)*100</f>
        <v>859.49000000000012</v>
      </c>
    </row>
    <row r="115" spans="1:15" x14ac:dyDescent="0.25">
      <c r="A115" s="101" t="str">
        <f>'Data shares'!C110</f>
        <v>KAYNES</v>
      </c>
      <c r="B115" s="50">
        <f>VLOOKUP($A115,'Data shares'!$C:$FB,7)</f>
        <v>3831.3</v>
      </c>
      <c r="C115" s="50">
        <f>VLOOKUP($A115,'Data shares'!$C:$FB,10)*100</f>
        <v>1.05</v>
      </c>
      <c r="D115" s="49">
        <f>VLOOKUP($A115,'Data shares'!$C:$FB,66)</f>
        <v>12944200</v>
      </c>
      <c r="E115" s="49">
        <f>VLOOKUP($A115,'Data shares'!$C:$FB,67)</f>
        <v>16983800</v>
      </c>
      <c r="F115" s="50">
        <f>VLOOKUP($A115,'Data shares'!$C:$FB,69)*100</f>
        <v>-23.79</v>
      </c>
      <c r="G115" s="49">
        <f>VLOOKUP($A115,'Data shares'!$C:$FB,42)</f>
        <v>1595800</v>
      </c>
      <c r="H115" s="49">
        <f>VLOOKUP($A115,'Data shares'!$C:$FB,43)</f>
        <v>2060700</v>
      </c>
      <c r="I115" s="50">
        <f>VLOOKUP($A115,'Data shares'!$C:$FB,45)*100</f>
        <v>-22.56</v>
      </c>
      <c r="J115" s="49">
        <f>VLOOKUP($A115,'Data shares'!$C:$FB,58)</f>
        <v>6842400</v>
      </c>
      <c r="K115" s="49">
        <f>VLOOKUP($A115,'Data shares'!$C:$FB,59)</f>
        <v>8372600</v>
      </c>
      <c r="L115" s="50">
        <f>VLOOKUP($A115,'Data shares'!$C:$FB,61)*100</f>
        <v>-18.279999999999998</v>
      </c>
      <c r="M115" s="49">
        <f>VLOOKUP($A115,'Data shares'!$C:$FB,62)</f>
        <v>4506000</v>
      </c>
      <c r="N115" s="49">
        <f>VLOOKUP($A115,'Data shares'!$C:$FB,63)</f>
        <v>6550500</v>
      </c>
      <c r="O115" s="140">
        <f>VLOOKUP($A115,'Data shares'!$C:$FB,65)*100</f>
        <v>-31.209999999999997</v>
      </c>
    </row>
    <row r="116" spans="1:15" x14ac:dyDescent="0.25">
      <c r="A116" s="101" t="str">
        <f>'Data shares'!C111</f>
        <v>KEI</v>
      </c>
      <c r="B116" s="50">
        <f>VLOOKUP($A116,'Data shares'!$C:$FB,7)</f>
        <v>4538.2</v>
      </c>
      <c r="C116" s="50">
        <f>VLOOKUP($A116,'Data shares'!$C:$FB,10)*100</f>
        <v>0.27</v>
      </c>
      <c r="D116" s="49">
        <f>VLOOKUP($A116,'Data shares'!$C:$FB,66)</f>
        <v>1205400</v>
      </c>
      <c r="E116" s="49">
        <f>VLOOKUP($A116,'Data shares'!$C:$FB,67)</f>
        <v>691250</v>
      </c>
      <c r="F116" s="50">
        <f>VLOOKUP($A116,'Data shares'!$C:$FB,69)*100</f>
        <v>74.38</v>
      </c>
      <c r="G116" s="49">
        <f>VLOOKUP($A116,'Data shares'!$C:$FB,42)</f>
        <v>323400</v>
      </c>
      <c r="H116" s="49">
        <f>VLOOKUP($A116,'Data shares'!$C:$FB,43)</f>
        <v>168350</v>
      </c>
      <c r="I116" s="50">
        <f>VLOOKUP($A116,'Data shares'!$C:$FB,45)*100</f>
        <v>92.100000000000009</v>
      </c>
      <c r="J116" s="49">
        <f>VLOOKUP($A116,'Data shares'!$C:$FB,58)</f>
        <v>693000</v>
      </c>
      <c r="K116" s="49">
        <f>VLOOKUP($A116,'Data shares'!$C:$FB,59)</f>
        <v>383775</v>
      </c>
      <c r="L116" s="50">
        <f>VLOOKUP($A116,'Data shares'!$C:$FB,61)*100</f>
        <v>80.569999999999993</v>
      </c>
      <c r="M116" s="49">
        <f>VLOOKUP($A116,'Data shares'!$C:$FB,62)</f>
        <v>189000</v>
      </c>
      <c r="N116" s="49">
        <f>VLOOKUP($A116,'Data shares'!$C:$FB,63)</f>
        <v>139125</v>
      </c>
      <c r="O116" s="140">
        <f>VLOOKUP($A116,'Data shares'!$C:$FB,65)*100</f>
        <v>35.85</v>
      </c>
    </row>
    <row r="117" spans="1:15" x14ac:dyDescent="0.25">
      <c r="A117" s="101" t="str">
        <f>'Data shares'!C112</f>
        <v>KFINTECH</v>
      </c>
      <c r="B117" s="50">
        <f>VLOOKUP($A117,'Data shares'!$C:$FB,7)</f>
        <v>1074.4000000000001</v>
      </c>
      <c r="C117" s="50">
        <f>VLOOKUP($A117,'Data shares'!$C:$FB,10)*100</f>
        <v>-0.03</v>
      </c>
      <c r="D117" s="49">
        <f>VLOOKUP($A117,'Data shares'!$C:$FB,66)</f>
        <v>3149000</v>
      </c>
      <c r="E117" s="49">
        <f>VLOOKUP($A117,'Data shares'!$C:$FB,67)</f>
        <v>2840000</v>
      </c>
      <c r="F117" s="50">
        <f>VLOOKUP($A117,'Data shares'!$C:$FB,69)*100</f>
        <v>10.879999999999999</v>
      </c>
      <c r="G117" s="49">
        <f>VLOOKUP($A117,'Data shares'!$C:$FB,42)</f>
        <v>1434000</v>
      </c>
      <c r="H117" s="49">
        <f>VLOOKUP($A117,'Data shares'!$C:$FB,43)</f>
        <v>1311500</v>
      </c>
      <c r="I117" s="50">
        <f>VLOOKUP($A117,'Data shares'!$C:$FB,45)*100</f>
        <v>9.34</v>
      </c>
      <c r="J117" s="49">
        <f>VLOOKUP($A117,'Data shares'!$C:$FB,58)</f>
        <v>1373500</v>
      </c>
      <c r="K117" s="49">
        <f>VLOOKUP($A117,'Data shares'!$C:$FB,59)</f>
        <v>1036000</v>
      </c>
      <c r="L117" s="50">
        <f>VLOOKUP($A117,'Data shares'!$C:$FB,61)*100</f>
        <v>32.58</v>
      </c>
      <c r="M117" s="49">
        <f>VLOOKUP($A117,'Data shares'!$C:$FB,62)</f>
        <v>341500</v>
      </c>
      <c r="N117" s="49">
        <f>VLOOKUP($A117,'Data shares'!$C:$FB,63)</f>
        <v>492500</v>
      </c>
      <c r="O117" s="140">
        <f>VLOOKUP($A117,'Data shares'!$C:$FB,65)*100</f>
        <v>-30.659999999999997</v>
      </c>
    </row>
    <row r="118" spans="1:15" x14ac:dyDescent="0.25">
      <c r="A118" s="101" t="str">
        <f>'Data shares'!C113</f>
        <v>KOTAKBANK</v>
      </c>
      <c r="B118" s="50">
        <f>VLOOKUP($A118,'Data shares'!$C:$FB,7)</f>
        <v>2144</v>
      </c>
      <c r="C118" s="50">
        <f>VLOOKUP($A118,'Data shares'!$C:$FB,10)*100</f>
        <v>-0.11</v>
      </c>
      <c r="D118" s="49">
        <f>VLOOKUP($A118,'Data shares'!$C:$FB,66)</f>
        <v>23081600</v>
      </c>
      <c r="E118" s="49">
        <f>VLOOKUP($A118,'Data shares'!$C:$FB,67)</f>
        <v>41256400</v>
      </c>
      <c r="F118" s="50">
        <f>VLOOKUP($A118,'Data shares'!$C:$FB,69)*100</f>
        <v>-44.05</v>
      </c>
      <c r="G118" s="49">
        <f>VLOOKUP($A118,'Data shares'!$C:$FB,42)</f>
        <v>4404000</v>
      </c>
      <c r="H118" s="49">
        <f>VLOOKUP($A118,'Data shares'!$C:$FB,43)</f>
        <v>6970800</v>
      </c>
      <c r="I118" s="50">
        <f>VLOOKUP($A118,'Data shares'!$C:$FB,45)*100</f>
        <v>-36.82</v>
      </c>
      <c r="J118" s="49">
        <f>VLOOKUP($A118,'Data shares'!$C:$FB,58)</f>
        <v>11528800</v>
      </c>
      <c r="K118" s="49">
        <f>VLOOKUP($A118,'Data shares'!$C:$FB,59)</f>
        <v>20952400</v>
      </c>
      <c r="L118" s="50">
        <f>VLOOKUP($A118,'Data shares'!$C:$FB,61)*100</f>
        <v>-44.98</v>
      </c>
      <c r="M118" s="49">
        <f>VLOOKUP($A118,'Data shares'!$C:$FB,62)</f>
        <v>7148800</v>
      </c>
      <c r="N118" s="49">
        <f>VLOOKUP($A118,'Data shares'!$C:$FB,63)</f>
        <v>13333200</v>
      </c>
      <c r="O118" s="140">
        <f>VLOOKUP($A118,'Data shares'!$C:$FB,65)*100</f>
        <v>-46.379999999999995</v>
      </c>
    </row>
    <row r="119" spans="1:15" x14ac:dyDescent="0.25">
      <c r="A119" s="101" t="str">
        <f>'Data shares'!C114</f>
        <v>KPITTECH</v>
      </c>
      <c r="B119" s="50">
        <f>VLOOKUP($A119,'Data shares'!$C:$FB,7)</f>
        <v>1208.5</v>
      </c>
      <c r="C119" s="50">
        <f>VLOOKUP($A119,'Data shares'!$C:$FB,10)*100</f>
        <v>6.02</v>
      </c>
      <c r="D119" s="49">
        <f>VLOOKUP($A119,'Data shares'!$C:$FB,66)</f>
        <v>20992450</v>
      </c>
      <c r="E119" s="49">
        <f>VLOOKUP($A119,'Data shares'!$C:$FB,67)</f>
        <v>2980950</v>
      </c>
      <c r="F119" s="50">
        <f>VLOOKUP($A119,'Data shares'!$C:$FB,69)*100</f>
        <v>604.22</v>
      </c>
      <c r="G119" s="49">
        <f>VLOOKUP($A119,'Data shares'!$C:$FB,42)</f>
        <v>2688125</v>
      </c>
      <c r="H119" s="49">
        <f>VLOOKUP($A119,'Data shares'!$C:$FB,43)</f>
        <v>910350</v>
      </c>
      <c r="I119" s="50">
        <f>VLOOKUP($A119,'Data shares'!$C:$FB,45)*100</f>
        <v>195.28</v>
      </c>
      <c r="J119" s="49">
        <f>VLOOKUP($A119,'Data shares'!$C:$FB,58)</f>
        <v>14773425</v>
      </c>
      <c r="K119" s="49">
        <f>VLOOKUP($A119,'Data shares'!$C:$FB,59)</f>
        <v>1597575</v>
      </c>
      <c r="L119" s="50">
        <f>VLOOKUP($A119,'Data shares'!$C:$FB,61)*100</f>
        <v>824.74000000000012</v>
      </c>
      <c r="M119" s="49">
        <f>VLOOKUP($A119,'Data shares'!$C:$FB,62)</f>
        <v>3530900</v>
      </c>
      <c r="N119" s="49">
        <f>VLOOKUP($A119,'Data shares'!$C:$FB,63)</f>
        <v>473025</v>
      </c>
      <c r="O119" s="140">
        <f>VLOOKUP($A119,'Data shares'!$C:$FB,65)*100</f>
        <v>646.45000000000005</v>
      </c>
    </row>
    <row r="120" spans="1:15" x14ac:dyDescent="0.25">
      <c r="A120" s="101" t="str">
        <f>'Data shares'!C115</f>
        <v>LAURUSLABS</v>
      </c>
      <c r="B120" s="50">
        <f>VLOOKUP($A120,'Data shares'!$C:$FB,7)</f>
        <v>1128.5</v>
      </c>
      <c r="C120" s="50">
        <f>VLOOKUP($A120,'Data shares'!$C:$FB,10)*100</f>
        <v>1.1299999999999999</v>
      </c>
      <c r="D120" s="49">
        <f>VLOOKUP($A120,'Data shares'!$C:$FB,66)</f>
        <v>22523300</v>
      </c>
      <c r="E120" s="49">
        <f>VLOOKUP($A120,'Data shares'!$C:$FB,67)</f>
        <v>15832950</v>
      </c>
      <c r="F120" s="50">
        <f>VLOOKUP($A120,'Data shares'!$C:$FB,69)*100</f>
        <v>42.26</v>
      </c>
      <c r="G120" s="49">
        <f>VLOOKUP($A120,'Data shares'!$C:$FB,42)</f>
        <v>4879000</v>
      </c>
      <c r="H120" s="49">
        <f>VLOOKUP($A120,'Data shares'!$C:$FB,43)</f>
        <v>3196000</v>
      </c>
      <c r="I120" s="50">
        <f>VLOOKUP($A120,'Data shares'!$C:$FB,45)*100</f>
        <v>52.66</v>
      </c>
      <c r="J120" s="49">
        <f>VLOOKUP($A120,'Data shares'!$C:$FB,58)</f>
        <v>11466500</v>
      </c>
      <c r="K120" s="49">
        <f>VLOOKUP($A120,'Data shares'!$C:$FB,59)</f>
        <v>8441350</v>
      </c>
      <c r="L120" s="50">
        <f>VLOOKUP($A120,'Data shares'!$C:$FB,61)*100</f>
        <v>35.839999999999996</v>
      </c>
      <c r="M120" s="49">
        <f>VLOOKUP($A120,'Data shares'!$C:$FB,62)</f>
        <v>6177800</v>
      </c>
      <c r="N120" s="49">
        <f>VLOOKUP($A120,'Data shares'!$C:$FB,63)</f>
        <v>4195600</v>
      </c>
      <c r="O120" s="140">
        <f>VLOOKUP($A120,'Data shares'!$C:$FB,65)*100</f>
        <v>47.24</v>
      </c>
    </row>
    <row r="121" spans="1:15" x14ac:dyDescent="0.25">
      <c r="A121" s="101" t="str">
        <f>'Data shares'!C116</f>
        <v>LICHSGFIN</v>
      </c>
      <c r="B121" s="50">
        <f>VLOOKUP($A121,'Data shares'!$C:$FB,7)</f>
        <v>538.20000000000005</v>
      </c>
      <c r="C121" s="50">
        <f>VLOOKUP($A121,'Data shares'!$C:$FB,10)*100</f>
        <v>-0.31</v>
      </c>
      <c r="D121" s="49">
        <f>VLOOKUP($A121,'Data shares'!$C:$FB,66)</f>
        <v>9960000</v>
      </c>
      <c r="E121" s="49">
        <f>VLOOKUP($A121,'Data shares'!$C:$FB,67)</f>
        <v>6381000</v>
      </c>
      <c r="F121" s="50">
        <f>VLOOKUP($A121,'Data shares'!$C:$FB,69)*100</f>
        <v>56.089999999999996</v>
      </c>
      <c r="G121" s="49">
        <f>VLOOKUP($A121,'Data shares'!$C:$FB,42)</f>
        <v>1929000</v>
      </c>
      <c r="H121" s="49">
        <f>VLOOKUP($A121,'Data shares'!$C:$FB,43)</f>
        <v>1655000</v>
      </c>
      <c r="I121" s="50">
        <f>VLOOKUP($A121,'Data shares'!$C:$FB,45)*100</f>
        <v>16.559999999999999</v>
      </c>
      <c r="J121" s="49">
        <f>VLOOKUP($A121,'Data shares'!$C:$FB,58)</f>
        <v>4233000</v>
      </c>
      <c r="K121" s="49">
        <f>VLOOKUP($A121,'Data shares'!$C:$FB,59)</f>
        <v>3084000</v>
      </c>
      <c r="L121" s="50">
        <f>VLOOKUP($A121,'Data shares'!$C:$FB,61)*100</f>
        <v>37.26</v>
      </c>
      <c r="M121" s="49">
        <f>VLOOKUP($A121,'Data shares'!$C:$FB,62)</f>
        <v>3798000</v>
      </c>
      <c r="N121" s="49">
        <f>VLOOKUP($A121,'Data shares'!$C:$FB,63)</f>
        <v>1642000</v>
      </c>
      <c r="O121" s="140">
        <f>VLOOKUP($A121,'Data shares'!$C:$FB,65)*100</f>
        <v>131.29999999999998</v>
      </c>
    </row>
    <row r="122" spans="1:15" x14ac:dyDescent="0.25">
      <c r="A122" s="101" t="str">
        <f>'Data shares'!C117</f>
        <v>LICI</v>
      </c>
      <c r="B122" s="50">
        <f>VLOOKUP($A122,'Data shares'!$C:$FB,7)</f>
        <v>851.95</v>
      </c>
      <c r="C122" s="50">
        <f>VLOOKUP($A122,'Data shares'!$C:$FB,10)*100</f>
        <v>0.22</v>
      </c>
      <c r="D122" s="49">
        <f>VLOOKUP($A122,'Data shares'!$C:$FB,66)</f>
        <v>4929400</v>
      </c>
      <c r="E122" s="49">
        <f>VLOOKUP($A122,'Data shares'!$C:$FB,67)</f>
        <v>5978700</v>
      </c>
      <c r="F122" s="50">
        <f>VLOOKUP($A122,'Data shares'!$C:$FB,69)*100</f>
        <v>-17.549999999999997</v>
      </c>
      <c r="G122" s="49">
        <f>VLOOKUP($A122,'Data shares'!$C:$FB,42)</f>
        <v>1171100</v>
      </c>
      <c r="H122" s="49">
        <f>VLOOKUP($A122,'Data shares'!$C:$FB,43)</f>
        <v>1330700</v>
      </c>
      <c r="I122" s="50">
        <f>VLOOKUP($A122,'Data shares'!$C:$FB,45)*100</f>
        <v>-11.99</v>
      </c>
      <c r="J122" s="49">
        <f>VLOOKUP($A122,'Data shares'!$C:$FB,58)</f>
        <v>2587200</v>
      </c>
      <c r="K122" s="49">
        <f>VLOOKUP($A122,'Data shares'!$C:$FB,59)</f>
        <v>3462900</v>
      </c>
      <c r="L122" s="50">
        <f>VLOOKUP($A122,'Data shares'!$C:$FB,61)*100</f>
        <v>-25.290000000000003</v>
      </c>
      <c r="M122" s="49">
        <f>VLOOKUP($A122,'Data shares'!$C:$FB,62)</f>
        <v>1171100</v>
      </c>
      <c r="N122" s="49">
        <f>VLOOKUP($A122,'Data shares'!$C:$FB,63)</f>
        <v>1185100</v>
      </c>
      <c r="O122" s="140">
        <f>VLOOKUP($A122,'Data shares'!$C:$FB,65)*100</f>
        <v>-1.18</v>
      </c>
    </row>
    <row r="123" spans="1:15" x14ac:dyDescent="0.25">
      <c r="A123" s="101" t="str">
        <f>'Data shares'!C118</f>
        <v>LODHA</v>
      </c>
      <c r="B123" s="50">
        <f>VLOOKUP($A123,'Data shares'!$C:$FB,7)</f>
        <v>1110.9000000000001</v>
      </c>
      <c r="C123" s="50">
        <f>VLOOKUP($A123,'Data shares'!$C:$FB,10)*100</f>
        <v>-0.11</v>
      </c>
      <c r="D123" s="49">
        <f>VLOOKUP($A123,'Data shares'!$C:$FB,66)</f>
        <v>10356300</v>
      </c>
      <c r="E123" s="49">
        <f>VLOOKUP($A123,'Data shares'!$C:$FB,67)</f>
        <v>4936500</v>
      </c>
      <c r="F123" s="50">
        <f>VLOOKUP($A123,'Data shares'!$C:$FB,69)*100</f>
        <v>109.79</v>
      </c>
      <c r="G123" s="49">
        <f>VLOOKUP($A123,'Data shares'!$C:$FB,42)</f>
        <v>2092050</v>
      </c>
      <c r="H123" s="49">
        <f>VLOOKUP($A123,'Data shares'!$C:$FB,43)</f>
        <v>1201050</v>
      </c>
      <c r="I123" s="50">
        <f>VLOOKUP($A123,'Data shares'!$C:$FB,45)*100</f>
        <v>74.19</v>
      </c>
      <c r="J123" s="49">
        <f>VLOOKUP($A123,'Data shares'!$C:$FB,58)</f>
        <v>5950350</v>
      </c>
      <c r="K123" s="49">
        <f>VLOOKUP($A123,'Data shares'!$C:$FB,59)</f>
        <v>2565450</v>
      </c>
      <c r="L123" s="50">
        <f>VLOOKUP($A123,'Data shares'!$C:$FB,61)*100</f>
        <v>131.94</v>
      </c>
      <c r="M123" s="49">
        <f>VLOOKUP($A123,'Data shares'!$C:$FB,62)</f>
        <v>2313900</v>
      </c>
      <c r="N123" s="49">
        <f>VLOOKUP($A123,'Data shares'!$C:$FB,63)</f>
        <v>1170000</v>
      </c>
      <c r="O123" s="140">
        <f>VLOOKUP($A123,'Data shares'!$C:$FB,65)*100</f>
        <v>97.77</v>
      </c>
    </row>
    <row r="124" spans="1:15" x14ac:dyDescent="0.25">
      <c r="A124" s="101" t="str">
        <f>'Data shares'!C119</f>
        <v>LT</v>
      </c>
      <c r="B124" s="50">
        <f>VLOOKUP($A124,'Data shares'!$C:$FB,7)</f>
        <v>4157</v>
      </c>
      <c r="C124" s="50">
        <f>VLOOKUP($A124,'Data shares'!$C:$FB,10)*100</f>
        <v>0.4</v>
      </c>
      <c r="D124" s="49">
        <f>VLOOKUP($A124,'Data shares'!$C:$FB,66)</f>
        <v>8455475</v>
      </c>
      <c r="E124" s="49">
        <f>VLOOKUP($A124,'Data shares'!$C:$FB,67)</f>
        <v>6860350</v>
      </c>
      <c r="F124" s="50">
        <f>VLOOKUP($A124,'Data shares'!$C:$FB,69)*100</f>
        <v>23.25</v>
      </c>
      <c r="G124" s="49">
        <f>VLOOKUP($A124,'Data shares'!$C:$FB,42)</f>
        <v>1426425</v>
      </c>
      <c r="H124" s="49">
        <f>VLOOKUP($A124,'Data shares'!$C:$FB,43)</f>
        <v>1196825</v>
      </c>
      <c r="I124" s="50">
        <f>VLOOKUP($A124,'Data shares'!$C:$FB,45)*100</f>
        <v>19.18</v>
      </c>
      <c r="J124" s="49">
        <f>VLOOKUP($A124,'Data shares'!$C:$FB,58)</f>
        <v>4297300</v>
      </c>
      <c r="K124" s="49">
        <f>VLOOKUP($A124,'Data shares'!$C:$FB,59)</f>
        <v>3804675</v>
      </c>
      <c r="L124" s="50">
        <f>VLOOKUP($A124,'Data shares'!$C:$FB,61)*100</f>
        <v>12.950000000000001</v>
      </c>
      <c r="M124" s="49">
        <f>VLOOKUP($A124,'Data shares'!$C:$FB,62)</f>
        <v>2731750</v>
      </c>
      <c r="N124" s="49">
        <f>VLOOKUP($A124,'Data shares'!$C:$FB,63)</f>
        <v>1858850</v>
      </c>
      <c r="O124" s="140">
        <f>VLOOKUP($A124,'Data shares'!$C:$FB,65)*100</f>
        <v>46.96</v>
      </c>
    </row>
    <row r="125" spans="1:15" x14ac:dyDescent="0.25">
      <c r="A125" s="101" t="str">
        <f>'Data shares'!C120</f>
        <v>LTF</v>
      </c>
      <c r="B125" s="50">
        <f>VLOOKUP($A125,'Data shares'!$C:$FB,7)</f>
        <v>313.95</v>
      </c>
      <c r="C125" s="50">
        <f>VLOOKUP($A125,'Data shares'!$C:$FB,10)*100</f>
        <v>-1.69</v>
      </c>
      <c r="D125" s="49">
        <f>VLOOKUP($A125,'Data shares'!$C:$FB,66)</f>
        <v>54940500</v>
      </c>
      <c r="E125" s="49">
        <f>VLOOKUP($A125,'Data shares'!$C:$FB,67)</f>
        <v>86253750</v>
      </c>
      <c r="F125" s="50">
        <f>VLOOKUP($A125,'Data shares'!$C:$FB,69)*100</f>
        <v>-36.299999999999997</v>
      </c>
      <c r="G125" s="49">
        <f>VLOOKUP($A125,'Data shares'!$C:$FB,42)</f>
        <v>14456250</v>
      </c>
      <c r="H125" s="49">
        <f>VLOOKUP($A125,'Data shares'!$C:$FB,43)</f>
        <v>15072750</v>
      </c>
      <c r="I125" s="50">
        <f>VLOOKUP($A125,'Data shares'!$C:$FB,45)*100</f>
        <v>-4.09</v>
      </c>
      <c r="J125" s="49">
        <f>VLOOKUP($A125,'Data shares'!$C:$FB,58)</f>
        <v>25229250</v>
      </c>
      <c r="K125" s="49">
        <f>VLOOKUP($A125,'Data shares'!$C:$FB,59)</f>
        <v>49812750</v>
      </c>
      <c r="L125" s="50">
        <f>VLOOKUP($A125,'Data shares'!$C:$FB,61)*100</f>
        <v>-49.35</v>
      </c>
      <c r="M125" s="49">
        <f>VLOOKUP($A125,'Data shares'!$C:$FB,62)</f>
        <v>15255000</v>
      </c>
      <c r="N125" s="49">
        <f>VLOOKUP($A125,'Data shares'!$C:$FB,63)</f>
        <v>21368250</v>
      </c>
      <c r="O125" s="140">
        <f>VLOOKUP($A125,'Data shares'!$C:$FB,65)*100</f>
        <v>-28.610000000000003</v>
      </c>
    </row>
    <row r="126" spans="1:15" x14ac:dyDescent="0.25">
      <c r="A126" s="101" t="str">
        <f>'Data shares'!C121</f>
        <v>LTIM</v>
      </c>
      <c r="B126" s="50">
        <f>VLOOKUP($A126,'Data shares'!$C:$FB,7)</f>
        <v>6102</v>
      </c>
      <c r="C126" s="50">
        <f>VLOOKUP($A126,'Data shares'!$C:$FB,10)*100</f>
        <v>2</v>
      </c>
      <c r="D126" s="49">
        <f>VLOOKUP($A126,'Data shares'!$C:$FB,66)</f>
        <v>2846250</v>
      </c>
      <c r="E126" s="49">
        <f>VLOOKUP($A126,'Data shares'!$C:$FB,67)</f>
        <v>2673300</v>
      </c>
      <c r="F126" s="50">
        <f>VLOOKUP($A126,'Data shares'!$C:$FB,69)*100</f>
        <v>6.47</v>
      </c>
      <c r="G126" s="49">
        <f>VLOOKUP($A126,'Data shares'!$C:$FB,42)</f>
        <v>542250</v>
      </c>
      <c r="H126" s="49">
        <f>VLOOKUP($A126,'Data shares'!$C:$FB,43)</f>
        <v>663750</v>
      </c>
      <c r="I126" s="50">
        <f>VLOOKUP($A126,'Data shares'!$C:$FB,45)*100</f>
        <v>-18.310000000000002</v>
      </c>
      <c r="J126" s="49">
        <f>VLOOKUP($A126,'Data shares'!$C:$FB,58)</f>
        <v>1588050</v>
      </c>
      <c r="K126" s="49">
        <f>VLOOKUP($A126,'Data shares'!$C:$FB,59)</f>
        <v>1042950</v>
      </c>
      <c r="L126" s="50">
        <f>VLOOKUP($A126,'Data shares'!$C:$FB,61)*100</f>
        <v>52.27</v>
      </c>
      <c r="M126" s="49">
        <f>VLOOKUP($A126,'Data shares'!$C:$FB,62)</f>
        <v>715950</v>
      </c>
      <c r="N126" s="49">
        <f>VLOOKUP($A126,'Data shares'!$C:$FB,63)</f>
        <v>966600</v>
      </c>
      <c r="O126" s="140">
        <f>VLOOKUP($A126,'Data shares'!$C:$FB,65)*100</f>
        <v>-25.929999999999996</v>
      </c>
    </row>
    <row r="127" spans="1:15" x14ac:dyDescent="0.25">
      <c r="A127" s="101" t="str">
        <f>'Data shares'!C122</f>
        <v>LUPIN</v>
      </c>
      <c r="B127" s="50">
        <f>VLOOKUP($A127,'Data shares'!$C:$FB,7)</f>
        <v>2214.3000000000002</v>
      </c>
      <c r="C127" s="50">
        <f>VLOOKUP($A127,'Data shares'!$C:$FB,10)*100</f>
        <v>3.01</v>
      </c>
      <c r="D127" s="49">
        <f>VLOOKUP($A127,'Data shares'!$C:$FB,66)</f>
        <v>23969150</v>
      </c>
      <c r="E127" s="49">
        <f>VLOOKUP($A127,'Data shares'!$C:$FB,67)</f>
        <v>14295725</v>
      </c>
      <c r="F127" s="50">
        <f>VLOOKUP($A127,'Data shares'!$C:$FB,69)*100</f>
        <v>67.67</v>
      </c>
      <c r="G127" s="49">
        <f>VLOOKUP($A127,'Data shares'!$C:$FB,42)</f>
        <v>3009850</v>
      </c>
      <c r="H127" s="49">
        <f>VLOOKUP($A127,'Data shares'!$C:$FB,43)</f>
        <v>2742525</v>
      </c>
      <c r="I127" s="50">
        <f>VLOOKUP($A127,'Data shares'!$C:$FB,45)*100</f>
        <v>9.75</v>
      </c>
      <c r="J127" s="49">
        <f>VLOOKUP($A127,'Data shares'!$C:$FB,58)</f>
        <v>15475950</v>
      </c>
      <c r="K127" s="49">
        <f>VLOOKUP($A127,'Data shares'!$C:$FB,59)</f>
        <v>9098400</v>
      </c>
      <c r="L127" s="50">
        <f>VLOOKUP($A127,'Data shares'!$C:$FB,61)*100</f>
        <v>70.099999999999994</v>
      </c>
      <c r="M127" s="49">
        <f>VLOOKUP($A127,'Data shares'!$C:$FB,62)</f>
        <v>5483350</v>
      </c>
      <c r="N127" s="49">
        <f>VLOOKUP($A127,'Data shares'!$C:$FB,63)</f>
        <v>2454800</v>
      </c>
      <c r="O127" s="140">
        <f>VLOOKUP($A127,'Data shares'!$C:$FB,65)*100</f>
        <v>123.37</v>
      </c>
    </row>
    <row r="128" spans="1:15" x14ac:dyDescent="0.25">
      <c r="A128" s="101" t="str">
        <f>'Data shares'!C123</f>
        <v>M&amp;M</v>
      </c>
      <c r="B128" s="50">
        <f>VLOOKUP($A128,'Data shares'!$C:$FB,7)</f>
        <v>3748.8</v>
      </c>
      <c r="C128" s="50">
        <f>VLOOKUP($A128,'Data shares'!$C:$FB,10)*100</f>
        <v>-0.97</v>
      </c>
      <c r="D128" s="49">
        <f>VLOOKUP($A128,'Data shares'!$C:$FB,66)</f>
        <v>9353200</v>
      </c>
      <c r="E128" s="49">
        <f>VLOOKUP($A128,'Data shares'!$C:$FB,67)</f>
        <v>7868400</v>
      </c>
      <c r="F128" s="50">
        <f>VLOOKUP($A128,'Data shares'!$C:$FB,69)*100</f>
        <v>18.87</v>
      </c>
      <c r="G128" s="49">
        <f>VLOOKUP($A128,'Data shares'!$C:$FB,42)</f>
        <v>1255400</v>
      </c>
      <c r="H128" s="49">
        <f>VLOOKUP($A128,'Data shares'!$C:$FB,43)</f>
        <v>1173200</v>
      </c>
      <c r="I128" s="50">
        <f>VLOOKUP($A128,'Data shares'!$C:$FB,45)*100</f>
        <v>7.01</v>
      </c>
      <c r="J128" s="49">
        <f>VLOOKUP($A128,'Data shares'!$C:$FB,58)</f>
        <v>4974000</v>
      </c>
      <c r="K128" s="49">
        <f>VLOOKUP($A128,'Data shares'!$C:$FB,59)</f>
        <v>3763800</v>
      </c>
      <c r="L128" s="50">
        <f>VLOOKUP($A128,'Data shares'!$C:$FB,61)*100</f>
        <v>32.15</v>
      </c>
      <c r="M128" s="49">
        <f>VLOOKUP($A128,'Data shares'!$C:$FB,62)</f>
        <v>3123800</v>
      </c>
      <c r="N128" s="49">
        <f>VLOOKUP($A128,'Data shares'!$C:$FB,63)</f>
        <v>2931400</v>
      </c>
      <c r="O128" s="140">
        <f>VLOOKUP($A128,'Data shares'!$C:$FB,65)*100</f>
        <v>6.5600000000000005</v>
      </c>
    </row>
    <row r="129" spans="1:15" x14ac:dyDescent="0.25">
      <c r="A129" s="101" t="str">
        <f>'Data shares'!C124</f>
        <v>MANAPPURAM</v>
      </c>
      <c r="B129" s="50">
        <f>VLOOKUP($A129,'Data shares'!$C:$FB,7)</f>
        <v>319.89999999999998</v>
      </c>
      <c r="C129" s="50">
        <f>VLOOKUP($A129,'Data shares'!$C:$FB,10)*100</f>
        <v>3.7800000000000002</v>
      </c>
      <c r="D129" s="49">
        <f>VLOOKUP($A129,'Data shares'!$C:$FB,66)</f>
        <v>102120000</v>
      </c>
      <c r="E129" s="49">
        <f>VLOOKUP($A129,'Data shares'!$C:$FB,67)</f>
        <v>22320000</v>
      </c>
      <c r="F129" s="50">
        <f>VLOOKUP($A129,'Data shares'!$C:$FB,69)*100</f>
        <v>357.53</v>
      </c>
      <c r="G129" s="49">
        <f>VLOOKUP($A129,'Data shares'!$C:$FB,42)</f>
        <v>20571000</v>
      </c>
      <c r="H129" s="49">
        <f>VLOOKUP($A129,'Data shares'!$C:$FB,43)</f>
        <v>5697000</v>
      </c>
      <c r="I129" s="50">
        <f>VLOOKUP($A129,'Data shares'!$C:$FB,45)*100</f>
        <v>261.08</v>
      </c>
      <c r="J129" s="49">
        <f>VLOOKUP($A129,'Data shares'!$C:$FB,58)</f>
        <v>67461000</v>
      </c>
      <c r="K129" s="49">
        <f>VLOOKUP($A129,'Data shares'!$C:$FB,59)</f>
        <v>12396000</v>
      </c>
      <c r="L129" s="50">
        <f>VLOOKUP($A129,'Data shares'!$C:$FB,61)*100</f>
        <v>444.21999999999997</v>
      </c>
      <c r="M129" s="49">
        <f>VLOOKUP($A129,'Data shares'!$C:$FB,62)</f>
        <v>14088000</v>
      </c>
      <c r="N129" s="49">
        <f>VLOOKUP($A129,'Data shares'!$C:$FB,63)</f>
        <v>4227000</v>
      </c>
      <c r="O129" s="140">
        <f>VLOOKUP($A129,'Data shares'!$C:$FB,65)*100</f>
        <v>233.29</v>
      </c>
    </row>
    <row r="130" spans="1:15" x14ac:dyDescent="0.25">
      <c r="A130" s="101" t="str">
        <f>'Data shares'!C125</f>
        <v>MANKIND</v>
      </c>
      <c r="B130" s="50">
        <f>VLOOKUP($A130,'Data shares'!$C:$FB,7)</f>
        <v>2311.8000000000002</v>
      </c>
      <c r="C130" s="50">
        <f>VLOOKUP($A130,'Data shares'!$C:$FB,10)*100</f>
        <v>3.17</v>
      </c>
      <c r="D130" s="49">
        <f>VLOOKUP($A130,'Data shares'!$C:$FB,66)</f>
        <v>6253875</v>
      </c>
      <c r="E130" s="49">
        <f>VLOOKUP($A130,'Data shares'!$C:$FB,67)</f>
        <v>1534275</v>
      </c>
      <c r="F130" s="50">
        <f>VLOOKUP($A130,'Data shares'!$C:$FB,69)*100</f>
        <v>307.60999999999996</v>
      </c>
      <c r="G130" s="49">
        <f>VLOOKUP($A130,'Data shares'!$C:$FB,42)</f>
        <v>1302750</v>
      </c>
      <c r="H130" s="49">
        <f>VLOOKUP($A130,'Data shares'!$C:$FB,43)</f>
        <v>475875</v>
      </c>
      <c r="I130" s="50">
        <f>VLOOKUP($A130,'Data shares'!$C:$FB,45)*100</f>
        <v>173.76</v>
      </c>
      <c r="J130" s="49">
        <f>VLOOKUP($A130,'Data shares'!$C:$FB,58)</f>
        <v>4096125</v>
      </c>
      <c r="K130" s="49">
        <f>VLOOKUP($A130,'Data shares'!$C:$FB,59)</f>
        <v>971100</v>
      </c>
      <c r="L130" s="50">
        <f>VLOOKUP($A130,'Data shares'!$C:$FB,61)*100</f>
        <v>321.8</v>
      </c>
      <c r="M130" s="49">
        <f>VLOOKUP($A130,'Data shares'!$C:$FB,62)</f>
        <v>855000</v>
      </c>
      <c r="N130" s="49">
        <f>VLOOKUP($A130,'Data shares'!$C:$FB,63)</f>
        <v>87300</v>
      </c>
      <c r="O130" s="140">
        <f>VLOOKUP($A130,'Data shares'!$C:$FB,65)*100</f>
        <v>879.37999999999988</v>
      </c>
    </row>
    <row r="131" spans="1:15" x14ac:dyDescent="0.25">
      <c r="A131" s="101" t="str">
        <f>'Data shares'!C126</f>
        <v>MARICO</v>
      </c>
      <c r="B131" s="50">
        <f>VLOOKUP($A131,'Data shares'!$C:$FB,7)</f>
        <v>773.8</v>
      </c>
      <c r="C131" s="50">
        <f>VLOOKUP($A131,'Data shares'!$C:$FB,10)*100</f>
        <v>-0.67</v>
      </c>
      <c r="D131" s="49">
        <f>VLOOKUP($A131,'Data shares'!$C:$FB,66)</f>
        <v>12118800</v>
      </c>
      <c r="E131" s="49">
        <f>VLOOKUP($A131,'Data shares'!$C:$FB,67)</f>
        <v>19537200</v>
      </c>
      <c r="F131" s="50">
        <f>VLOOKUP($A131,'Data shares'!$C:$FB,69)*100</f>
        <v>-37.97</v>
      </c>
      <c r="G131" s="49">
        <f>VLOOKUP($A131,'Data shares'!$C:$FB,42)</f>
        <v>2208000</v>
      </c>
      <c r="H131" s="49">
        <f>VLOOKUP($A131,'Data shares'!$C:$FB,43)</f>
        <v>3271200</v>
      </c>
      <c r="I131" s="50">
        <f>VLOOKUP($A131,'Data shares'!$C:$FB,45)*100</f>
        <v>-32.5</v>
      </c>
      <c r="J131" s="49">
        <f>VLOOKUP($A131,'Data shares'!$C:$FB,58)</f>
        <v>7329600</v>
      </c>
      <c r="K131" s="49">
        <f>VLOOKUP($A131,'Data shares'!$C:$FB,59)</f>
        <v>12470400</v>
      </c>
      <c r="L131" s="50">
        <f>VLOOKUP($A131,'Data shares'!$C:$FB,61)*100</f>
        <v>-41.22</v>
      </c>
      <c r="M131" s="49">
        <f>VLOOKUP($A131,'Data shares'!$C:$FB,62)</f>
        <v>2581200</v>
      </c>
      <c r="N131" s="49">
        <f>VLOOKUP($A131,'Data shares'!$C:$FB,63)</f>
        <v>3795600</v>
      </c>
      <c r="O131" s="140">
        <f>VLOOKUP($A131,'Data shares'!$C:$FB,65)*100</f>
        <v>-31.990000000000002</v>
      </c>
    </row>
    <row r="132" spans="1:15" x14ac:dyDescent="0.25">
      <c r="A132" s="101" t="str">
        <f>'Data shares'!C127</f>
        <v>MARUTI</v>
      </c>
      <c r="B132" s="50">
        <f>VLOOKUP($A132,'Data shares'!$C:$FB,7)</f>
        <v>16809</v>
      </c>
      <c r="C132" s="50">
        <f>VLOOKUP($A132,'Data shares'!$C:$FB,10)*100</f>
        <v>-2.79</v>
      </c>
      <c r="D132" s="49">
        <f>VLOOKUP($A132,'Data shares'!$C:$FB,66)</f>
        <v>18679050</v>
      </c>
      <c r="E132" s="49">
        <f>VLOOKUP($A132,'Data shares'!$C:$FB,67)</f>
        <v>3715200</v>
      </c>
      <c r="F132" s="50">
        <f>VLOOKUP($A132,'Data shares'!$C:$FB,69)*100</f>
        <v>402.77000000000004</v>
      </c>
      <c r="G132" s="49">
        <f>VLOOKUP($A132,'Data shares'!$C:$FB,42)</f>
        <v>1014400</v>
      </c>
      <c r="H132" s="49">
        <f>VLOOKUP($A132,'Data shares'!$C:$FB,43)</f>
        <v>265450</v>
      </c>
      <c r="I132" s="50">
        <f>VLOOKUP($A132,'Data shares'!$C:$FB,45)*100</f>
        <v>282.14</v>
      </c>
      <c r="J132" s="49">
        <f>VLOOKUP($A132,'Data shares'!$C:$FB,58)</f>
        <v>8363900</v>
      </c>
      <c r="K132" s="49">
        <f>VLOOKUP($A132,'Data shares'!$C:$FB,59)</f>
        <v>2043150</v>
      </c>
      <c r="L132" s="50">
        <f>VLOOKUP($A132,'Data shares'!$C:$FB,61)*100</f>
        <v>309.36</v>
      </c>
      <c r="M132" s="49">
        <f>VLOOKUP($A132,'Data shares'!$C:$FB,62)</f>
        <v>9300750</v>
      </c>
      <c r="N132" s="49">
        <f>VLOOKUP($A132,'Data shares'!$C:$FB,63)</f>
        <v>1406600</v>
      </c>
      <c r="O132" s="140">
        <f>VLOOKUP($A132,'Data shares'!$C:$FB,65)*100</f>
        <v>561.21999999999991</v>
      </c>
    </row>
    <row r="133" spans="1:15" x14ac:dyDescent="0.25">
      <c r="A133" s="101" t="str">
        <f>'Data shares'!C128</f>
        <v>MAXHEALTH</v>
      </c>
      <c r="B133" s="50">
        <f>VLOOKUP($A133,'Data shares'!$C:$FB,7)</f>
        <v>1034.7</v>
      </c>
      <c r="C133" s="50">
        <f>VLOOKUP($A133,'Data shares'!$C:$FB,10)*100</f>
        <v>-1.6099999999999999</v>
      </c>
      <c r="D133" s="49">
        <f>VLOOKUP($A133,'Data shares'!$C:$FB,66)</f>
        <v>12709200</v>
      </c>
      <c r="E133" s="49">
        <f>VLOOKUP($A133,'Data shares'!$C:$FB,67)</f>
        <v>6915825</v>
      </c>
      <c r="F133" s="50">
        <f>VLOOKUP($A133,'Data shares'!$C:$FB,69)*100</f>
        <v>83.77</v>
      </c>
      <c r="G133" s="49">
        <f>VLOOKUP($A133,'Data shares'!$C:$FB,42)</f>
        <v>3742725</v>
      </c>
      <c r="H133" s="49">
        <f>VLOOKUP($A133,'Data shares'!$C:$FB,43)</f>
        <v>2670675</v>
      </c>
      <c r="I133" s="50">
        <f>VLOOKUP($A133,'Data shares'!$C:$FB,45)*100</f>
        <v>40.14</v>
      </c>
      <c r="J133" s="49">
        <f>VLOOKUP($A133,'Data shares'!$C:$FB,58)</f>
        <v>5954550</v>
      </c>
      <c r="K133" s="49">
        <f>VLOOKUP($A133,'Data shares'!$C:$FB,59)</f>
        <v>3273375</v>
      </c>
      <c r="L133" s="50">
        <f>VLOOKUP($A133,'Data shares'!$C:$FB,61)*100</f>
        <v>81.910000000000011</v>
      </c>
      <c r="M133" s="49">
        <f>VLOOKUP($A133,'Data shares'!$C:$FB,62)</f>
        <v>3011925</v>
      </c>
      <c r="N133" s="49">
        <f>VLOOKUP($A133,'Data shares'!$C:$FB,63)</f>
        <v>971775</v>
      </c>
      <c r="O133" s="140">
        <f>VLOOKUP($A133,'Data shares'!$C:$FB,65)*100</f>
        <v>209.94000000000003</v>
      </c>
    </row>
    <row r="134" spans="1:15" x14ac:dyDescent="0.25">
      <c r="A134" s="101" t="str">
        <f>'Data shares'!C129</f>
        <v>MAZDOCK</v>
      </c>
      <c r="B134" s="50">
        <f>VLOOKUP($A134,'Data shares'!$C:$FB,7)</f>
        <v>2511.4</v>
      </c>
      <c r="C134" s="50">
        <f>VLOOKUP($A134,'Data shares'!$C:$FB,10)*100</f>
        <v>0.6</v>
      </c>
      <c r="D134" s="49">
        <f>VLOOKUP($A134,'Data shares'!$C:$FB,66)</f>
        <v>5470000</v>
      </c>
      <c r="E134" s="49">
        <f>VLOOKUP($A134,'Data shares'!$C:$FB,67)</f>
        <v>4009600</v>
      </c>
      <c r="F134" s="50">
        <f>VLOOKUP($A134,'Data shares'!$C:$FB,69)*100</f>
        <v>36.42</v>
      </c>
      <c r="G134" s="49">
        <f>VLOOKUP($A134,'Data shares'!$C:$FB,42)</f>
        <v>856000</v>
      </c>
      <c r="H134" s="49">
        <f>VLOOKUP($A134,'Data shares'!$C:$FB,43)</f>
        <v>566800</v>
      </c>
      <c r="I134" s="50">
        <f>VLOOKUP($A134,'Data shares'!$C:$FB,45)*100</f>
        <v>51.019999999999996</v>
      </c>
      <c r="J134" s="49">
        <f>VLOOKUP($A134,'Data shares'!$C:$FB,58)</f>
        <v>3465800</v>
      </c>
      <c r="K134" s="49">
        <f>VLOOKUP($A134,'Data shares'!$C:$FB,59)</f>
        <v>2449800</v>
      </c>
      <c r="L134" s="50">
        <f>VLOOKUP($A134,'Data shares'!$C:$FB,61)*100</f>
        <v>41.47</v>
      </c>
      <c r="M134" s="49">
        <f>VLOOKUP($A134,'Data shares'!$C:$FB,62)</f>
        <v>1148200</v>
      </c>
      <c r="N134" s="49">
        <f>VLOOKUP($A134,'Data shares'!$C:$FB,63)</f>
        <v>993000</v>
      </c>
      <c r="O134" s="140">
        <f>VLOOKUP($A134,'Data shares'!$C:$FB,65)*100</f>
        <v>15.629999999999999</v>
      </c>
    </row>
    <row r="135" spans="1:15" x14ac:dyDescent="0.25">
      <c r="A135" s="101" t="str">
        <f>'Data shares'!C130</f>
        <v>MCX</v>
      </c>
      <c r="B135" s="50">
        <f>VLOOKUP($A135,'Data shares'!$C:$FB,7)</f>
        <v>2305</v>
      </c>
      <c r="C135" s="50">
        <f>VLOOKUP($A135,'Data shares'!$C:$FB,10)*100</f>
        <v>2.63</v>
      </c>
      <c r="D135" s="49">
        <f>VLOOKUP($A135,'Data shares'!$C:$FB,66)</f>
        <v>46578125</v>
      </c>
      <c r="E135" s="49">
        <f>VLOOKUP($A135,'Data shares'!$C:$FB,67)</f>
        <v>33348750</v>
      </c>
      <c r="F135" s="50">
        <f>VLOOKUP($A135,'Data shares'!$C:$FB,69)*100</f>
        <v>39.67</v>
      </c>
      <c r="G135" s="49">
        <f>VLOOKUP($A135,'Data shares'!$C:$FB,42)</f>
        <v>5001250</v>
      </c>
      <c r="H135" s="49">
        <f>VLOOKUP($A135,'Data shares'!$C:$FB,43)</f>
        <v>4561875</v>
      </c>
      <c r="I135" s="50">
        <f>VLOOKUP($A135,'Data shares'!$C:$FB,45)*100</f>
        <v>9.629999999999999</v>
      </c>
      <c r="J135" s="49">
        <f>VLOOKUP($A135,'Data shares'!$C:$FB,58)</f>
        <v>28492500</v>
      </c>
      <c r="K135" s="49">
        <f>VLOOKUP($A135,'Data shares'!$C:$FB,59)</f>
        <v>20423125</v>
      </c>
      <c r="L135" s="50">
        <f>VLOOKUP($A135,'Data shares'!$C:$FB,61)*100</f>
        <v>39.51</v>
      </c>
      <c r="M135" s="49">
        <f>VLOOKUP($A135,'Data shares'!$C:$FB,62)</f>
        <v>13084375</v>
      </c>
      <c r="N135" s="49">
        <f>VLOOKUP($A135,'Data shares'!$C:$FB,63)</f>
        <v>8363750</v>
      </c>
      <c r="O135" s="140">
        <f>VLOOKUP($A135,'Data shares'!$C:$FB,65)*100</f>
        <v>56.44</v>
      </c>
    </row>
    <row r="136" spans="1:15" x14ac:dyDescent="0.25">
      <c r="A136" s="101" t="str">
        <f>'Data shares'!C131</f>
        <v>MFSL</v>
      </c>
      <c r="B136" s="50">
        <f>VLOOKUP($A136,'Data shares'!$C:$FB,7)</f>
        <v>1727.1</v>
      </c>
      <c r="C136" s="50">
        <f>VLOOKUP($A136,'Data shares'!$C:$FB,10)*100</f>
        <v>-0.24</v>
      </c>
      <c r="D136" s="49">
        <f>VLOOKUP($A136,'Data shares'!$C:$FB,66)</f>
        <v>4611200</v>
      </c>
      <c r="E136" s="49">
        <f>VLOOKUP($A136,'Data shares'!$C:$FB,67)</f>
        <v>8821200</v>
      </c>
      <c r="F136" s="50">
        <f>VLOOKUP($A136,'Data shares'!$C:$FB,69)*100</f>
        <v>-47.73</v>
      </c>
      <c r="G136" s="49">
        <f>VLOOKUP($A136,'Data shares'!$C:$FB,42)</f>
        <v>1096800</v>
      </c>
      <c r="H136" s="49">
        <f>VLOOKUP($A136,'Data shares'!$C:$FB,43)</f>
        <v>1948000</v>
      </c>
      <c r="I136" s="50">
        <f>VLOOKUP($A136,'Data shares'!$C:$FB,45)*100</f>
        <v>-43.7</v>
      </c>
      <c r="J136" s="49">
        <f>VLOOKUP($A136,'Data shares'!$C:$FB,58)</f>
        <v>2842800</v>
      </c>
      <c r="K136" s="49">
        <f>VLOOKUP($A136,'Data shares'!$C:$FB,59)</f>
        <v>5591600</v>
      </c>
      <c r="L136" s="50">
        <f>VLOOKUP($A136,'Data shares'!$C:$FB,61)*100</f>
        <v>-49.16</v>
      </c>
      <c r="M136" s="49">
        <f>VLOOKUP($A136,'Data shares'!$C:$FB,62)</f>
        <v>671600</v>
      </c>
      <c r="N136" s="49">
        <f>VLOOKUP($A136,'Data shares'!$C:$FB,63)</f>
        <v>1281600</v>
      </c>
      <c r="O136" s="140">
        <f>VLOOKUP($A136,'Data shares'!$C:$FB,65)*100</f>
        <v>-47.599999999999994</v>
      </c>
    </row>
    <row r="137" spans="1:15" x14ac:dyDescent="0.25">
      <c r="A137" s="101" t="str">
        <f>'Data shares'!C132</f>
        <v>MIDCPNIFTY</v>
      </c>
      <c r="B137" s="50">
        <f>VLOOKUP($A137,'Data shares'!$C:$FB,7)</f>
        <v>14053.4</v>
      </c>
      <c r="C137" s="50">
        <f>VLOOKUP($A137,'Data shares'!$C:$FB,10)*100</f>
        <v>0.69</v>
      </c>
      <c r="D137" s="49">
        <f>VLOOKUP($A137,'Data shares'!$C:$FB,66)</f>
        <v>38088600</v>
      </c>
      <c r="E137" s="49">
        <f>VLOOKUP($A137,'Data shares'!$C:$FB,67)</f>
        <v>23557200</v>
      </c>
      <c r="F137" s="50">
        <f>VLOOKUP($A137,'Data shares'!$C:$FB,69)*100</f>
        <v>61.69</v>
      </c>
      <c r="G137" s="49">
        <f>VLOOKUP($A137,'Data shares'!$C:$FB,42)</f>
        <v>686160</v>
      </c>
      <c r="H137" s="49">
        <f>VLOOKUP($A137,'Data shares'!$C:$FB,43)</f>
        <v>630360</v>
      </c>
      <c r="I137" s="50">
        <f>VLOOKUP($A137,'Data shares'!$C:$FB,45)*100</f>
        <v>8.85</v>
      </c>
      <c r="J137" s="49">
        <f>VLOOKUP($A137,'Data shares'!$C:$FB,58)</f>
        <v>17967120</v>
      </c>
      <c r="K137" s="49">
        <f>VLOOKUP($A137,'Data shares'!$C:$FB,59)</f>
        <v>10923840</v>
      </c>
      <c r="L137" s="50">
        <f>VLOOKUP($A137,'Data shares'!$C:$FB,61)*100</f>
        <v>64.48</v>
      </c>
      <c r="M137" s="49">
        <f>VLOOKUP($A137,'Data shares'!$C:$FB,62)</f>
        <v>19435320</v>
      </c>
      <c r="N137" s="49">
        <f>VLOOKUP($A137,'Data shares'!$C:$FB,63)</f>
        <v>12003000</v>
      </c>
      <c r="O137" s="140">
        <f>VLOOKUP($A137,'Data shares'!$C:$FB,65)*100</f>
        <v>61.919999999999995</v>
      </c>
    </row>
    <row r="138" spans="1:15" x14ac:dyDescent="0.25">
      <c r="A138" s="101" t="str">
        <f>'Data shares'!C133</f>
        <v>MOTHERSON</v>
      </c>
      <c r="B138" s="50">
        <f>VLOOKUP($A138,'Data shares'!$C:$FB,7)</f>
        <v>119.35</v>
      </c>
      <c r="C138" s="50">
        <f>VLOOKUP($A138,'Data shares'!$C:$FB,10)*100</f>
        <v>-1.22</v>
      </c>
      <c r="D138" s="49">
        <f>VLOOKUP($A138,'Data shares'!$C:$FB,66)</f>
        <v>57496350</v>
      </c>
      <c r="E138" s="49">
        <f>VLOOKUP($A138,'Data shares'!$C:$FB,67)</f>
        <v>65878800</v>
      </c>
      <c r="F138" s="50">
        <f>VLOOKUP($A138,'Data shares'!$C:$FB,69)*100</f>
        <v>-12.72</v>
      </c>
      <c r="G138" s="49">
        <f>VLOOKUP($A138,'Data shares'!$C:$FB,42)</f>
        <v>16420500</v>
      </c>
      <c r="H138" s="49">
        <f>VLOOKUP($A138,'Data shares'!$C:$FB,43)</f>
        <v>20036700</v>
      </c>
      <c r="I138" s="50">
        <f>VLOOKUP($A138,'Data shares'!$C:$FB,45)*100</f>
        <v>-18.05</v>
      </c>
      <c r="J138" s="49">
        <f>VLOOKUP($A138,'Data shares'!$C:$FB,58)</f>
        <v>30159600</v>
      </c>
      <c r="K138" s="49">
        <f>VLOOKUP($A138,'Data shares'!$C:$FB,59)</f>
        <v>30848400</v>
      </c>
      <c r="L138" s="50">
        <f>VLOOKUP($A138,'Data shares'!$C:$FB,61)*100</f>
        <v>-2.23</v>
      </c>
      <c r="M138" s="49">
        <f>VLOOKUP($A138,'Data shares'!$C:$FB,62)</f>
        <v>10916250</v>
      </c>
      <c r="N138" s="49">
        <f>VLOOKUP($A138,'Data shares'!$C:$FB,63)</f>
        <v>14993700</v>
      </c>
      <c r="O138" s="140">
        <f>VLOOKUP($A138,'Data shares'!$C:$FB,65)*100</f>
        <v>-27.189999999999998</v>
      </c>
    </row>
    <row r="139" spans="1:15" x14ac:dyDescent="0.25">
      <c r="A139" s="101" t="str">
        <f>'Data shares'!C134</f>
        <v>MPHASIS</v>
      </c>
      <c r="B139" s="50">
        <f>VLOOKUP($A139,'Data shares'!$C:$FB,7)</f>
        <v>2874.8</v>
      </c>
      <c r="C139" s="50">
        <f>VLOOKUP($A139,'Data shares'!$C:$FB,10)*100</f>
        <v>2.09</v>
      </c>
      <c r="D139" s="49">
        <f>VLOOKUP($A139,'Data shares'!$C:$FB,66)</f>
        <v>4839450</v>
      </c>
      <c r="E139" s="49">
        <f>VLOOKUP($A139,'Data shares'!$C:$FB,67)</f>
        <v>1796025</v>
      </c>
      <c r="F139" s="50">
        <f>VLOOKUP($A139,'Data shares'!$C:$FB,69)*100</f>
        <v>169.45</v>
      </c>
      <c r="G139" s="49">
        <f>VLOOKUP($A139,'Data shares'!$C:$FB,42)</f>
        <v>1076625</v>
      </c>
      <c r="H139" s="49">
        <f>VLOOKUP($A139,'Data shares'!$C:$FB,43)</f>
        <v>671550</v>
      </c>
      <c r="I139" s="50">
        <f>VLOOKUP($A139,'Data shares'!$C:$FB,45)*100</f>
        <v>60.319999999999993</v>
      </c>
      <c r="J139" s="49">
        <f>VLOOKUP($A139,'Data shares'!$C:$FB,58)</f>
        <v>3248850</v>
      </c>
      <c r="K139" s="49">
        <f>VLOOKUP($A139,'Data shares'!$C:$FB,59)</f>
        <v>808775</v>
      </c>
      <c r="L139" s="50">
        <f>VLOOKUP($A139,'Data shares'!$C:$FB,61)*100</f>
        <v>301.7</v>
      </c>
      <c r="M139" s="49">
        <f>VLOOKUP($A139,'Data shares'!$C:$FB,62)</f>
        <v>513975</v>
      </c>
      <c r="N139" s="49">
        <f>VLOOKUP($A139,'Data shares'!$C:$FB,63)</f>
        <v>315700</v>
      </c>
      <c r="O139" s="140">
        <f>VLOOKUP($A139,'Data shares'!$C:$FB,65)*100</f>
        <v>62.8</v>
      </c>
    </row>
    <row r="140" spans="1:15" x14ac:dyDescent="0.25">
      <c r="A140" s="101" t="str">
        <f>'Data shares'!C135</f>
        <v>MUTHOOTFIN</v>
      </c>
      <c r="B140" s="50">
        <f>VLOOKUP($A140,'Data shares'!$C:$FB,7)</f>
        <v>3960.1</v>
      </c>
      <c r="C140" s="50">
        <f>VLOOKUP($A140,'Data shares'!$C:$FB,10)*100</f>
        <v>0.49</v>
      </c>
      <c r="D140" s="49">
        <f>VLOOKUP($A140,'Data shares'!$C:$FB,66)</f>
        <v>7395300</v>
      </c>
      <c r="E140" s="49">
        <f>VLOOKUP($A140,'Data shares'!$C:$FB,67)</f>
        <v>11436425</v>
      </c>
      <c r="F140" s="50">
        <f>VLOOKUP($A140,'Data shares'!$C:$FB,69)*100</f>
        <v>-35.339999999999996</v>
      </c>
      <c r="G140" s="49">
        <f>VLOOKUP($A140,'Data shares'!$C:$FB,42)</f>
        <v>929775</v>
      </c>
      <c r="H140" s="49">
        <f>VLOOKUP($A140,'Data shares'!$C:$FB,43)</f>
        <v>1311475</v>
      </c>
      <c r="I140" s="50">
        <f>VLOOKUP($A140,'Data shares'!$C:$FB,45)*100</f>
        <v>-29.099999999999998</v>
      </c>
      <c r="J140" s="49">
        <f>VLOOKUP($A140,'Data shares'!$C:$FB,58)</f>
        <v>4379100</v>
      </c>
      <c r="K140" s="49">
        <f>VLOOKUP($A140,'Data shares'!$C:$FB,59)</f>
        <v>7187400</v>
      </c>
      <c r="L140" s="50">
        <f>VLOOKUP($A140,'Data shares'!$C:$FB,61)*100</f>
        <v>-39.07</v>
      </c>
      <c r="M140" s="49">
        <f>VLOOKUP($A140,'Data shares'!$C:$FB,62)</f>
        <v>2086425</v>
      </c>
      <c r="N140" s="49">
        <f>VLOOKUP($A140,'Data shares'!$C:$FB,63)</f>
        <v>2937550</v>
      </c>
      <c r="O140" s="140">
        <f>VLOOKUP($A140,'Data shares'!$C:$FB,65)*100</f>
        <v>-28.970000000000002</v>
      </c>
    </row>
    <row r="141" spans="1:15" x14ac:dyDescent="0.25">
      <c r="A141" s="101" t="str">
        <f>'Data shares'!C136</f>
        <v>NATIONALUM</v>
      </c>
      <c r="B141" s="50">
        <f>VLOOKUP($A141,'Data shares'!$C:$FB,7)</f>
        <v>352.6</v>
      </c>
      <c r="C141" s="50">
        <f>VLOOKUP($A141,'Data shares'!$C:$FB,10)*100</f>
        <v>1.7000000000000002</v>
      </c>
      <c r="D141" s="49">
        <f>VLOOKUP($A141,'Data shares'!$C:$FB,66)</f>
        <v>269722500</v>
      </c>
      <c r="E141" s="49">
        <f>VLOOKUP($A141,'Data shares'!$C:$FB,67)</f>
        <v>432168750</v>
      </c>
      <c r="F141" s="50">
        <f>VLOOKUP($A141,'Data shares'!$C:$FB,69)*100</f>
        <v>-37.590000000000003</v>
      </c>
      <c r="G141" s="49">
        <f>VLOOKUP($A141,'Data shares'!$C:$FB,42)</f>
        <v>38658750</v>
      </c>
      <c r="H141" s="49">
        <f>VLOOKUP($A141,'Data shares'!$C:$FB,43)</f>
        <v>40680000</v>
      </c>
      <c r="I141" s="50">
        <f>VLOOKUP($A141,'Data shares'!$C:$FB,45)*100</f>
        <v>-4.97</v>
      </c>
      <c r="J141" s="49">
        <f>VLOOKUP($A141,'Data shares'!$C:$FB,58)</f>
        <v>161370000</v>
      </c>
      <c r="K141" s="49">
        <f>VLOOKUP($A141,'Data shares'!$C:$FB,59)</f>
        <v>293246250</v>
      </c>
      <c r="L141" s="50">
        <f>VLOOKUP($A141,'Data shares'!$C:$FB,61)*100</f>
        <v>-44.97</v>
      </c>
      <c r="M141" s="49">
        <f>VLOOKUP($A141,'Data shares'!$C:$FB,62)</f>
        <v>69693750</v>
      </c>
      <c r="N141" s="49">
        <f>VLOOKUP($A141,'Data shares'!$C:$FB,63)</f>
        <v>98242500</v>
      </c>
      <c r="O141" s="140">
        <f>VLOOKUP($A141,'Data shares'!$C:$FB,65)*100</f>
        <v>-29.060000000000002</v>
      </c>
    </row>
    <row r="142" spans="1:15" x14ac:dyDescent="0.25">
      <c r="A142" s="101" t="str">
        <f>'Data shares'!C137</f>
        <v>NAUKRI</v>
      </c>
      <c r="B142" s="50">
        <f>VLOOKUP($A142,'Data shares'!$C:$FB,7)</f>
        <v>1359.4</v>
      </c>
      <c r="C142" s="50">
        <f>VLOOKUP($A142,'Data shares'!$C:$FB,10)*100</f>
        <v>1.77</v>
      </c>
      <c r="D142" s="49">
        <f>VLOOKUP($A142,'Data shares'!$C:$FB,66)</f>
        <v>17936250</v>
      </c>
      <c r="E142" s="49">
        <f>VLOOKUP($A142,'Data shares'!$C:$FB,67)</f>
        <v>2764500</v>
      </c>
      <c r="F142" s="50">
        <f>VLOOKUP($A142,'Data shares'!$C:$FB,69)*100</f>
        <v>548.81000000000006</v>
      </c>
      <c r="G142" s="49">
        <f>VLOOKUP($A142,'Data shares'!$C:$FB,42)</f>
        <v>2538000</v>
      </c>
      <c r="H142" s="49">
        <f>VLOOKUP($A142,'Data shares'!$C:$FB,43)</f>
        <v>626250</v>
      </c>
      <c r="I142" s="50">
        <f>VLOOKUP($A142,'Data shares'!$C:$FB,45)*100</f>
        <v>305.27000000000004</v>
      </c>
      <c r="J142" s="49">
        <f>VLOOKUP($A142,'Data shares'!$C:$FB,58)</f>
        <v>12523875</v>
      </c>
      <c r="K142" s="49">
        <f>VLOOKUP($A142,'Data shares'!$C:$FB,59)</f>
        <v>1274625</v>
      </c>
      <c r="L142" s="50">
        <f>VLOOKUP($A142,'Data shares'!$C:$FB,61)*100</f>
        <v>882.55</v>
      </c>
      <c r="M142" s="49">
        <f>VLOOKUP($A142,'Data shares'!$C:$FB,62)</f>
        <v>2874375</v>
      </c>
      <c r="N142" s="49">
        <f>VLOOKUP($A142,'Data shares'!$C:$FB,63)</f>
        <v>863625</v>
      </c>
      <c r="O142" s="140">
        <f>VLOOKUP($A142,'Data shares'!$C:$FB,65)*100</f>
        <v>232.83</v>
      </c>
    </row>
    <row r="143" spans="1:15" x14ac:dyDescent="0.25">
      <c r="A143" s="101" t="str">
        <f>'Data shares'!C138</f>
        <v>NBCC</v>
      </c>
      <c r="B143" s="50">
        <f>VLOOKUP($A143,'Data shares'!$C:$FB,7)</f>
        <v>116.05</v>
      </c>
      <c r="C143" s="50">
        <f>VLOOKUP($A143,'Data shares'!$C:$FB,10)*100</f>
        <v>-2.1</v>
      </c>
      <c r="D143" s="49">
        <f>VLOOKUP($A143,'Data shares'!$C:$FB,66)</f>
        <v>94594500</v>
      </c>
      <c r="E143" s="49">
        <f>VLOOKUP($A143,'Data shares'!$C:$FB,67)</f>
        <v>48743500</v>
      </c>
      <c r="F143" s="50">
        <f>VLOOKUP($A143,'Data shares'!$C:$FB,69)*100</f>
        <v>94.07</v>
      </c>
      <c r="G143" s="49">
        <f>VLOOKUP($A143,'Data shares'!$C:$FB,42)</f>
        <v>29529500</v>
      </c>
      <c r="H143" s="49">
        <f>VLOOKUP($A143,'Data shares'!$C:$FB,43)</f>
        <v>12883000</v>
      </c>
      <c r="I143" s="50">
        <f>VLOOKUP($A143,'Data shares'!$C:$FB,45)*100</f>
        <v>129.21</v>
      </c>
      <c r="J143" s="49">
        <f>VLOOKUP($A143,'Data shares'!$C:$FB,58)</f>
        <v>45357000</v>
      </c>
      <c r="K143" s="49">
        <f>VLOOKUP($A143,'Data shares'!$C:$FB,59)</f>
        <v>27579500</v>
      </c>
      <c r="L143" s="50">
        <f>VLOOKUP($A143,'Data shares'!$C:$FB,61)*100</f>
        <v>64.459999999999994</v>
      </c>
      <c r="M143" s="49">
        <f>VLOOKUP($A143,'Data shares'!$C:$FB,62)</f>
        <v>19708000</v>
      </c>
      <c r="N143" s="49">
        <f>VLOOKUP($A143,'Data shares'!$C:$FB,63)</f>
        <v>8281000</v>
      </c>
      <c r="O143" s="140">
        <f>VLOOKUP($A143,'Data shares'!$C:$FB,65)*100</f>
        <v>137.98999999999998</v>
      </c>
    </row>
    <row r="144" spans="1:15" x14ac:dyDescent="0.25">
      <c r="A144" s="101" t="str">
        <f>'Data shares'!C139</f>
        <v>NESTLEIND</v>
      </c>
      <c r="B144" s="50">
        <f>VLOOKUP($A144,'Data shares'!$C:$FB,7)</f>
        <v>1314.8</v>
      </c>
      <c r="C144" s="50">
        <f>VLOOKUP($A144,'Data shares'!$C:$FB,10)*100</f>
        <v>-0.38999999999999996</v>
      </c>
      <c r="D144" s="49">
        <f>VLOOKUP($A144,'Data shares'!$C:$FB,66)</f>
        <v>7166500</v>
      </c>
      <c r="E144" s="49">
        <f>VLOOKUP($A144,'Data shares'!$C:$FB,67)</f>
        <v>9131000</v>
      </c>
      <c r="F144" s="50">
        <f>VLOOKUP($A144,'Data shares'!$C:$FB,69)*100</f>
        <v>-21.51</v>
      </c>
      <c r="G144" s="49">
        <f>VLOOKUP($A144,'Data shares'!$C:$FB,42)</f>
        <v>1599500</v>
      </c>
      <c r="H144" s="49">
        <f>VLOOKUP($A144,'Data shares'!$C:$FB,43)</f>
        <v>2120000</v>
      </c>
      <c r="I144" s="50">
        <f>VLOOKUP($A144,'Data shares'!$C:$FB,45)*100</f>
        <v>-24.55</v>
      </c>
      <c r="J144" s="49">
        <f>VLOOKUP($A144,'Data shares'!$C:$FB,58)</f>
        <v>3667500</v>
      </c>
      <c r="K144" s="49">
        <f>VLOOKUP($A144,'Data shares'!$C:$FB,59)</f>
        <v>4819500</v>
      </c>
      <c r="L144" s="50">
        <f>VLOOKUP($A144,'Data shares'!$C:$FB,61)*100</f>
        <v>-23.9</v>
      </c>
      <c r="M144" s="49">
        <f>VLOOKUP($A144,'Data shares'!$C:$FB,62)</f>
        <v>1899500</v>
      </c>
      <c r="N144" s="49">
        <f>VLOOKUP($A144,'Data shares'!$C:$FB,63)</f>
        <v>2191500</v>
      </c>
      <c r="O144" s="140">
        <f>VLOOKUP($A144,'Data shares'!$C:$FB,65)*100</f>
        <v>-13.320000000000002</v>
      </c>
    </row>
    <row r="145" spans="1:15" x14ac:dyDescent="0.25">
      <c r="A145" s="101" t="str">
        <f>'Data shares'!C140</f>
        <v>NHPC</v>
      </c>
      <c r="B145" s="50">
        <f>VLOOKUP($A145,'Data shares'!$C:$FB,7)</f>
        <v>83.66</v>
      </c>
      <c r="C145" s="50">
        <f>VLOOKUP($A145,'Data shares'!$C:$FB,10)*100</f>
        <v>0.16</v>
      </c>
      <c r="D145" s="49">
        <f>VLOOKUP($A145,'Data shares'!$C:$FB,66)</f>
        <v>49075200</v>
      </c>
      <c r="E145" s="49">
        <f>VLOOKUP($A145,'Data shares'!$C:$FB,67)</f>
        <v>37760000</v>
      </c>
      <c r="F145" s="50">
        <f>VLOOKUP($A145,'Data shares'!$C:$FB,69)*100</f>
        <v>29.970000000000002</v>
      </c>
      <c r="G145" s="49">
        <f>VLOOKUP($A145,'Data shares'!$C:$FB,42)</f>
        <v>14048000</v>
      </c>
      <c r="H145" s="49">
        <f>VLOOKUP($A145,'Data shares'!$C:$FB,43)</f>
        <v>9011200</v>
      </c>
      <c r="I145" s="50">
        <f>VLOOKUP($A145,'Data shares'!$C:$FB,45)*100</f>
        <v>55.889999999999993</v>
      </c>
      <c r="J145" s="49">
        <f>VLOOKUP($A145,'Data shares'!$C:$FB,58)</f>
        <v>25062400</v>
      </c>
      <c r="K145" s="49">
        <f>VLOOKUP($A145,'Data shares'!$C:$FB,59)</f>
        <v>20352000</v>
      </c>
      <c r="L145" s="50">
        <f>VLOOKUP($A145,'Data shares'!$C:$FB,61)*100</f>
        <v>23.14</v>
      </c>
      <c r="M145" s="49">
        <f>VLOOKUP($A145,'Data shares'!$C:$FB,62)</f>
        <v>9964800</v>
      </c>
      <c r="N145" s="49">
        <f>VLOOKUP($A145,'Data shares'!$C:$FB,63)</f>
        <v>8396800</v>
      </c>
      <c r="O145" s="140">
        <f>VLOOKUP($A145,'Data shares'!$C:$FB,65)*100</f>
        <v>18.670000000000002</v>
      </c>
    </row>
    <row r="146" spans="1:15" x14ac:dyDescent="0.25">
      <c r="A146" s="101" t="str">
        <f>'Data shares'!C141</f>
        <v>NIFTY</v>
      </c>
      <c r="B146" s="50">
        <f>VLOOKUP($A146,'Data shares'!$C:$FB,7)</f>
        <v>26140.75</v>
      </c>
      <c r="C146" s="50">
        <f>VLOOKUP($A146,'Data shares'!$C:$FB,10)*100</f>
        <v>-0.13999999999999999</v>
      </c>
      <c r="D146" s="49">
        <f>VLOOKUP($A146,'Data shares'!$C:$FB,66)</f>
        <v>4372173455</v>
      </c>
      <c r="E146" s="49">
        <f>VLOOKUP($A146,'Data shares'!$C:$FB,67)</f>
        <v>21851945700</v>
      </c>
      <c r="F146" s="50">
        <f>VLOOKUP($A146,'Data shares'!$C:$FB,69)*100</f>
        <v>-79.990000000000009</v>
      </c>
      <c r="G146" s="49">
        <f>VLOOKUP($A146,'Data shares'!$C:$FB,42)</f>
        <v>3974620</v>
      </c>
      <c r="H146" s="49">
        <f>VLOOKUP($A146,'Data shares'!$C:$FB,43)</f>
        <v>4665570</v>
      </c>
      <c r="I146" s="50">
        <f>VLOOKUP($A146,'Data shares'!$C:$FB,45)*100</f>
        <v>-14.81</v>
      </c>
      <c r="J146" s="49">
        <f>VLOOKUP($A146,'Data shares'!$C:$FB,58)</f>
        <v>2208350885</v>
      </c>
      <c r="K146" s="49">
        <f>VLOOKUP($A146,'Data shares'!$C:$FB,59)</f>
        <v>10590386040</v>
      </c>
      <c r="L146" s="50">
        <f>VLOOKUP($A146,'Data shares'!$C:$FB,61)*100</f>
        <v>-79.149999999999991</v>
      </c>
      <c r="M146" s="49">
        <f>VLOOKUP($A146,'Data shares'!$C:$FB,62)</f>
        <v>2159847950</v>
      </c>
      <c r="N146" s="49">
        <f>VLOOKUP($A146,'Data shares'!$C:$FB,63)</f>
        <v>11256894090</v>
      </c>
      <c r="O146" s="140">
        <f>VLOOKUP($A146,'Data shares'!$C:$FB,65)*100</f>
        <v>-80.81</v>
      </c>
    </row>
    <row r="147" spans="1:15" x14ac:dyDescent="0.25">
      <c r="A147" s="101" t="str">
        <f>'Data shares'!C142</f>
        <v>NIFTYNXT50</v>
      </c>
      <c r="B147" s="50">
        <f>VLOOKUP($A147,'Data shares'!$C:$FB,7)</f>
        <v>70690.600000000006</v>
      </c>
      <c r="C147" s="50">
        <f>VLOOKUP($A147,'Data shares'!$C:$FB,10)*100</f>
        <v>0.13</v>
      </c>
      <c r="D147" s="49">
        <f>VLOOKUP($A147,'Data shares'!$C:$FB,66)</f>
        <v>15825</v>
      </c>
      <c r="E147" s="49">
        <f>VLOOKUP($A147,'Data shares'!$C:$FB,67)</f>
        <v>17025</v>
      </c>
      <c r="F147" s="50">
        <f>VLOOKUP($A147,'Data shares'!$C:$FB,69)*100</f>
        <v>-7.0499999999999989</v>
      </c>
      <c r="G147" s="49">
        <f>VLOOKUP($A147,'Data shares'!$C:$FB,42)</f>
        <v>5175</v>
      </c>
      <c r="H147" s="49">
        <f>VLOOKUP($A147,'Data shares'!$C:$FB,43)</f>
        <v>6050</v>
      </c>
      <c r="I147" s="50">
        <f>VLOOKUP($A147,'Data shares'!$C:$FB,45)*100</f>
        <v>-14.46</v>
      </c>
      <c r="J147" s="49">
        <f>VLOOKUP($A147,'Data shares'!$C:$FB,58)</f>
        <v>4925</v>
      </c>
      <c r="K147" s="49">
        <f>VLOOKUP($A147,'Data shares'!$C:$FB,59)</f>
        <v>7575</v>
      </c>
      <c r="L147" s="50">
        <f>VLOOKUP($A147,'Data shares'!$C:$FB,61)*100</f>
        <v>-34.979999999999997</v>
      </c>
      <c r="M147" s="49">
        <f>VLOOKUP($A147,'Data shares'!$C:$FB,62)</f>
        <v>5725</v>
      </c>
      <c r="N147" s="49">
        <f>VLOOKUP($A147,'Data shares'!$C:$FB,63)</f>
        <v>3400</v>
      </c>
      <c r="O147" s="140">
        <f>VLOOKUP($A147,'Data shares'!$C:$FB,65)*100</f>
        <v>68.38</v>
      </c>
    </row>
    <row r="148" spans="1:15" x14ac:dyDescent="0.25">
      <c r="A148" s="101" t="str">
        <f>'Data shares'!C143</f>
        <v>NMDC</v>
      </c>
      <c r="B148" s="50">
        <f>VLOOKUP($A148,'Data shares'!$C:$FB,7)</f>
        <v>86.16</v>
      </c>
      <c r="C148" s="50">
        <f>VLOOKUP($A148,'Data shares'!$C:$FB,10)*100</f>
        <v>2.73</v>
      </c>
      <c r="D148" s="49">
        <f>VLOOKUP($A148,'Data shares'!$C:$FB,66)</f>
        <v>405013500</v>
      </c>
      <c r="E148" s="49">
        <f>VLOOKUP($A148,'Data shares'!$C:$FB,67)</f>
        <v>136599750</v>
      </c>
      <c r="F148" s="50">
        <f>VLOOKUP($A148,'Data shares'!$C:$FB,69)*100</f>
        <v>196.5</v>
      </c>
      <c r="G148" s="49">
        <f>VLOOKUP($A148,'Data shares'!$C:$FB,42)</f>
        <v>77996250</v>
      </c>
      <c r="H148" s="49">
        <f>VLOOKUP($A148,'Data shares'!$C:$FB,43)</f>
        <v>30503250</v>
      </c>
      <c r="I148" s="50">
        <f>VLOOKUP($A148,'Data shares'!$C:$FB,45)*100</f>
        <v>155.69999999999999</v>
      </c>
      <c r="J148" s="49">
        <f>VLOOKUP($A148,'Data shares'!$C:$FB,58)</f>
        <v>253118250</v>
      </c>
      <c r="K148" s="49">
        <f>VLOOKUP($A148,'Data shares'!$C:$FB,59)</f>
        <v>78894000</v>
      </c>
      <c r="L148" s="50">
        <f>VLOOKUP($A148,'Data shares'!$C:$FB,61)*100</f>
        <v>220.82999999999998</v>
      </c>
      <c r="M148" s="49">
        <f>VLOOKUP($A148,'Data shares'!$C:$FB,62)</f>
        <v>73899000</v>
      </c>
      <c r="N148" s="49">
        <f>VLOOKUP($A148,'Data shares'!$C:$FB,63)</f>
        <v>27202500</v>
      </c>
      <c r="O148" s="140">
        <f>VLOOKUP($A148,'Data shares'!$C:$FB,65)*100</f>
        <v>171.66</v>
      </c>
    </row>
    <row r="149" spans="1:15" x14ac:dyDescent="0.25">
      <c r="A149" s="101" t="str">
        <f>'Data shares'!C144</f>
        <v>NTPC</v>
      </c>
      <c r="B149" s="50">
        <f>VLOOKUP($A149,'Data shares'!$C:$FB,7)</f>
        <v>348.85</v>
      </c>
      <c r="C149" s="50">
        <f>VLOOKUP($A149,'Data shares'!$C:$FB,10)*100</f>
        <v>-0.55999999999999994</v>
      </c>
      <c r="D149" s="49">
        <f>VLOOKUP($A149,'Data shares'!$C:$FB,66)</f>
        <v>44070000</v>
      </c>
      <c r="E149" s="49">
        <f>VLOOKUP($A149,'Data shares'!$C:$FB,67)</f>
        <v>67024500</v>
      </c>
      <c r="F149" s="50">
        <f>VLOOKUP($A149,'Data shares'!$C:$FB,69)*100</f>
        <v>-34.25</v>
      </c>
      <c r="G149" s="49">
        <f>VLOOKUP($A149,'Data shares'!$C:$FB,42)</f>
        <v>6031500</v>
      </c>
      <c r="H149" s="49">
        <f>VLOOKUP($A149,'Data shares'!$C:$FB,43)</f>
        <v>9441000</v>
      </c>
      <c r="I149" s="50">
        <f>VLOOKUP($A149,'Data shares'!$C:$FB,45)*100</f>
        <v>-36.11</v>
      </c>
      <c r="J149" s="49">
        <f>VLOOKUP($A149,'Data shares'!$C:$FB,58)</f>
        <v>25995000</v>
      </c>
      <c r="K149" s="49">
        <f>VLOOKUP($A149,'Data shares'!$C:$FB,59)</f>
        <v>38542500</v>
      </c>
      <c r="L149" s="50">
        <f>VLOOKUP($A149,'Data shares'!$C:$FB,61)*100</f>
        <v>-32.550000000000004</v>
      </c>
      <c r="M149" s="49">
        <f>VLOOKUP($A149,'Data shares'!$C:$FB,62)</f>
        <v>12043500</v>
      </c>
      <c r="N149" s="49">
        <f>VLOOKUP($A149,'Data shares'!$C:$FB,63)</f>
        <v>19041000</v>
      </c>
      <c r="O149" s="140">
        <f>VLOOKUP($A149,'Data shares'!$C:$FB,65)*100</f>
        <v>-36.75</v>
      </c>
    </row>
    <row r="150" spans="1:15" x14ac:dyDescent="0.25">
      <c r="A150" s="101" t="str">
        <f>'Data shares'!C145</f>
        <v>NUVAMA</v>
      </c>
      <c r="B150" s="50">
        <f>VLOOKUP($A150,'Data shares'!$C:$FB,7)</f>
        <v>1478.9</v>
      </c>
      <c r="C150" s="50">
        <f>VLOOKUP($A150,'Data shares'!$C:$FB,10)*100</f>
        <v>0.03</v>
      </c>
      <c r="D150" s="49">
        <f>VLOOKUP($A150,'Data shares'!$C:$FB,66)</f>
        <v>1038000</v>
      </c>
      <c r="E150" s="49">
        <f>VLOOKUP($A150,'Data shares'!$C:$FB,67)</f>
        <v>1105500</v>
      </c>
      <c r="F150" s="50">
        <f>VLOOKUP($A150,'Data shares'!$C:$FB,69)*100</f>
        <v>-6.11</v>
      </c>
      <c r="G150" s="49">
        <f>VLOOKUP($A150,'Data shares'!$C:$FB,42)</f>
        <v>311500</v>
      </c>
      <c r="H150" s="49">
        <f>VLOOKUP($A150,'Data shares'!$C:$FB,43)</f>
        <v>338000</v>
      </c>
      <c r="I150" s="50">
        <f>VLOOKUP($A150,'Data shares'!$C:$FB,45)*100</f>
        <v>-7.84</v>
      </c>
      <c r="J150" s="49">
        <f>VLOOKUP($A150,'Data shares'!$C:$FB,58)</f>
        <v>615000</v>
      </c>
      <c r="K150" s="49">
        <f>VLOOKUP($A150,'Data shares'!$C:$FB,59)</f>
        <v>582500</v>
      </c>
      <c r="L150" s="50">
        <f>VLOOKUP($A150,'Data shares'!$C:$FB,61)*100</f>
        <v>5.58</v>
      </c>
      <c r="M150" s="49">
        <f>VLOOKUP($A150,'Data shares'!$C:$FB,62)</f>
        <v>111500</v>
      </c>
      <c r="N150" s="49">
        <f>VLOOKUP($A150,'Data shares'!$C:$FB,63)</f>
        <v>185000</v>
      </c>
      <c r="O150" s="140">
        <f>VLOOKUP($A150,'Data shares'!$C:$FB,65)*100</f>
        <v>-39.729999999999997</v>
      </c>
    </row>
    <row r="151" spans="1:15" x14ac:dyDescent="0.25">
      <c r="A151" s="101" t="str">
        <f>'Data shares'!C146</f>
        <v>NYKAA</v>
      </c>
      <c r="B151" s="50">
        <f>VLOOKUP($A151,'Data shares'!$C:$FB,7)</f>
        <v>266.35000000000002</v>
      </c>
      <c r="C151" s="50">
        <f>VLOOKUP($A151,'Data shares'!$C:$FB,10)*100</f>
        <v>-1</v>
      </c>
      <c r="D151" s="49">
        <f>VLOOKUP($A151,'Data shares'!$C:$FB,66)</f>
        <v>24359375</v>
      </c>
      <c r="E151" s="49">
        <f>VLOOKUP($A151,'Data shares'!$C:$FB,67)</f>
        <v>14309375</v>
      </c>
      <c r="F151" s="50">
        <f>VLOOKUP($A151,'Data shares'!$C:$FB,69)*100</f>
        <v>70.23</v>
      </c>
      <c r="G151" s="49">
        <f>VLOOKUP($A151,'Data shares'!$C:$FB,42)</f>
        <v>7093750</v>
      </c>
      <c r="H151" s="49">
        <f>VLOOKUP($A151,'Data shares'!$C:$FB,43)</f>
        <v>4037500</v>
      </c>
      <c r="I151" s="50">
        <f>VLOOKUP($A151,'Data shares'!$C:$FB,45)*100</f>
        <v>75.7</v>
      </c>
      <c r="J151" s="49">
        <f>VLOOKUP($A151,'Data shares'!$C:$FB,58)</f>
        <v>12075000</v>
      </c>
      <c r="K151" s="49">
        <f>VLOOKUP($A151,'Data shares'!$C:$FB,59)</f>
        <v>6221875</v>
      </c>
      <c r="L151" s="50">
        <f>VLOOKUP($A151,'Data shares'!$C:$FB,61)*100</f>
        <v>94.07</v>
      </c>
      <c r="M151" s="49">
        <f>VLOOKUP($A151,'Data shares'!$C:$FB,62)</f>
        <v>5190625</v>
      </c>
      <c r="N151" s="49">
        <f>VLOOKUP($A151,'Data shares'!$C:$FB,63)</f>
        <v>4050000</v>
      </c>
      <c r="O151" s="140">
        <f>VLOOKUP($A151,'Data shares'!$C:$FB,65)*100</f>
        <v>28.16</v>
      </c>
    </row>
    <row r="152" spans="1:15" x14ac:dyDescent="0.25">
      <c r="A152" s="101" t="str">
        <f>'Data shares'!C147</f>
        <v>OBEROIRLTY</v>
      </c>
      <c r="B152" s="50">
        <f>VLOOKUP($A152,'Data shares'!$C:$FB,7)</f>
        <v>1708.7</v>
      </c>
      <c r="C152" s="50">
        <f>VLOOKUP($A152,'Data shares'!$C:$FB,10)*100</f>
        <v>-1.02</v>
      </c>
      <c r="D152" s="49">
        <f>VLOOKUP($A152,'Data shares'!$C:$FB,66)</f>
        <v>1677900</v>
      </c>
      <c r="E152" s="49">
        <f>VLOOKUP($A152,'Data shares'!$C:$FB,67)</f>
        <v>1524950</v>
      </c>
      <c r="F152" s="50">
        <f>VLOOKUP($A152,'Data shares'!$C:$FB,69)*100</f>
        <v>10.029999999999999</v>
      </c>
      <c r="G152" s="49">
        <f>VLOOKUP($A152,'Data shares'!$C:$FB,42)</f>
        <v>633850</v>
      </c>
      <c r="H152" s="49">
        <f>VLOOKUP($A152,'Data shares'!$C:$FB,43)</f>
        <v>528850</v>
      </c>
      <c r="I152" s="50">
        <f>VLOOKUP($A152,'Data shares'!$C:$FB,45)*100</f>
        <v>19.850000000000001</v>
      </c>
      <c r="J152" s="49">
        <f>VLOOKUP($A152,'Data shares'!$C:$FB,58)</f>
        <v>754950</v>
      </c>
      <c r="K152" s="49">
        <f>VLOOKUP($A152,'Data shares'!$C:$FB,59)</f>
        <v>752150</v>
      </c>
      <c r="L152" s="50">
        <f>VLOOKUP($A152,'Data shares'!$C:$FB,61)*100</f>
        <v>0.37</v>
      </c>
      <c r="M152" s="49">
        <f>VLOOKUP($A152,'Data shares'!$C:$FB,62)</f>
        <v>289100</v>
      </c>
      <c r="N152" s="49">
        <f>VLOOKUP($A152,'Data shares'!$C:$FB,63)</f>
        <v>243950</v>
      </c>
      <c r="O152" s="140">
        <f>VLOOKUP($A152,'Data shares'!$C:$FB,65)*100</f>
        <v>18.509999999999998</v>
      </c>
    </row>
    <row r="153" spans="1:15" x14ac:dyDescent="0.25">
      <c r="A153" s="101" t="str">
        <f>'Data shares'!C148</f>
        <v>OFSS</v>
      </c>
      <c r="B153" s="50">
        <f>VLOOKUP($A153,'Data shares'!$C:$FB,7)</f>
        <v>7832.5</v>
      </c>
      <c r="C153" s="50">
        <f>VLOOKUP($A153,'Data shares'!$C:$FB,10)*100</f>
        <v>3.15</v>
      </c>
      <c r="D153" s="49">
        <f>VLOOKUP($A153,'Data shares'!$C:$FB,66)</f>
        <v>2667375</v>
      </c>
      <c r="E153" s="49">
        <f>VLOOKUP($A153,'Data shares'!$C:$FB,67)</f>
        <v>882600</v>
      </c>
      <c r="F153" s="50">
        <f>VLOOKUP($A153,'Data shares'!$C:$FB,69)*100</f>
        <v>202.22000000000003</v>
      </c>
      <c r="G153" s="49">
        <f>VLOOKUP($A153,'Data shares'!$C:$FB,42)</f>
        <v>314250</v>
      </c>
      <c r="H153" s="49">
        <f>VLOOKUP($A153,'Data shares'!$C:$FB,43)</f>
        <v>193500</v>
      </c>
      <c r="I153" s="50">
        <f>VLOOKUP($A153,'Data shares'!$C:$FB,45)*100</f>
        <v>62.4</v>
      </c>
      <c r="J153" s="49">
        <f>VLOOKUP($A153,'Data shares'!$C:$FB,58)</f>
        <v>1888575</v>
      </c>
      <c r="K153" s="49">
        <f>VLOOKUP($A153,'Data shares'!$C:$FB,59)</f>
        <v>456375</v>
      </c>
      <c r="L153" s="50">
        <f>VLOOKUP($A153,'Data shares'!$C:$FB,61)*100</f>
        <v>313.82</v>
      </c>
      <c r="M153" s="49">
        <f>VLOOKUP($A153,'Data shares'!$C:$FB,62)</f>
        <v>464550</v>
      </c>
      <c r="N153" s="49">
        <f>VLOOKUP($A153,'Data shares'!$C:$FB,63)</f>
        <v>232725</v>
      </c>
      <c r="O153" s="140">
        <f>VLOOKUP($A153,'Data shares'!$C:$FB,65)*100</f>
        <v>99.61</v>
      </c>
    </row>
    <row r="154" spans="1:15" x14ac:dyDescent="0.25">
      <c r="A154" s="101" t="str">
        <f>'Data shares'!C149</f>
        <v>OIL</v>
      </c>
      <c r="B154" s="50">
        <f>VLOOKUP($A154,'Data shares'!$C:$FB,7)</f>
        <v>418.4</v>
      </c>
      <c r="C154" s="50">
        <f>VLOOKUP($A154,'Data shares'!$C:$FB,10)*100</f>
        <v>-1.68</v>
      </c>
      <c r="D154" s="49">
        <f>VLOOKUP($A154,'Data shares'!$C:$FB,66)</f>
        <v>18898600</v>
      </c>
      <c r="E154" s="49">
        <f>VLOOKUP($A154,'Data shares'!$C:$FB,67)</f>
        <v>10925600</v>
      </c>
      <c r="F154" s="50">
        <f>VLOOKUP($A154,'Data shares'!$C:$FB,69)*100</f>
        <v>72.98</v>
      </c>
      <c r="G154" s="49">
        <f>VLOOKUP($A154,'Data shares'!$C:$FB,42)</f>
        <v>2381400</v>
      </c>
      <c r="H154" s="49">
        <f>VLOOKUP($A154,'Data shares'!$C:$FB,43)</f>
        <v>2657200</v>
      </c>
      <c r="I154" s="50">
        <f>VLOOKUP($A154,'Data shares'!$C:$FB,45)*100</f>
        <v>-10.38</v>
      </c>
      <c r="J154" s="49">
        <f>VLOOKUP($A154,'Data shares'!$C:$FB,58)</f>
        <v>7313600</v>
      </c>
      <c r="K154" s="49">
        <f>VLOOKUP($A154,'Data shares'!$C:$FB,59)</f>
        <v>5884200</v>
      </c>
      <c r="L154" s="50">
        <f>VLOOKUP($A154,'Data shares'!$C:$FB,61)*100</f>
        <v>24.29</v>
      </c>
      <c r="M154" s="49">
        <f>VLOOKUP($A154,'Data shares'!$C:$FB,62)</f>
        <v>9203600</v>
      </c>
      <c r="N154" s="49">
        <f>VLOOKUP($A154,'Data shares'!$C:$FB,63)</f>
        <v>2384200</v>
      </c>
      <c r="O154" s="140">
        <f>VLOOKUP($A154,'Data shares'!$C:$FB,65)*100</f>
        <v>286.02</v>
      </c>
    </row>
    <row r="155" spans="1:15" x14ac:dyDescent="0.25">
      <c r="A155" s="101" t="str">
        <f>'Data shares'!C150</f>
        <v>ONGC</v>
      </c>
      <c r="B155" s="50">
        <f>VLOOKUP($A155,'Data shares'!$C:$FB,7)</f>
        <v>239.06</v>
      </c>
      <c r="C155" s="50">
        <f>VLOOKUP($A155,'Data shares'!$C:$FB,10)*100</f>
        <v>-1.17</v>
      </c>
      <c r="D155" s="49">
        <f>VLOOKUP($A155,'Data shares'!$C:$FB,66)</f>
        <v>92191500</v>
      </c>
      <c r="E155" s="49">
        <f>VLOOKUP($A155,'Data shares'!$C:$FB,67)</f>
        <v>143640000</v>
      </c>
      <c r="F155" s="50">
        <f>VLOOKUP($A155,'Data shares'!$C:$FB,69)*100</f>
        <v>-35.82</v>
      </c>
      <c r="G155" s="49">
        <f>VLOOKUP($A155,'Data shares'!$C:$FB,42)</f>
        <v>10995750</v>
      </c>
      <c r="H155" s="49">
        <f>VLOOKUP($A155,'Data shares'!$C:$FB,43)</f>
        <v>17860500</v>
      </c>
      <c r="I155" s="50">
        <f>VLOOKUP($A155,'Data shares'!$C:$FB,45)*100</f>
        <v>-38.440000000000005</v>
      </c>
      <c r="J155" s="49">
        <f>VLOOKUP($A155,'Data shares'!$C:$FB,58)</f>
        <v>45022500</v>
      </c>
      <c r="K155" s="49">
        <f>VLOOKUP($A155,'Data shares'!$C:$FB,59)</f>
        <v>84408750</v>
      </c>
      <c r="L155" s="50">
        <f>VLOOKUP($A155,'Data shares'!$C:$FB,61)*100</f>
        <v>-46.660000000000004</v>
      </c>
      <c r="M155" s="49">
        <f>VLOOKUP($A155,'Data shares'!$C:$FB,62)</f>
        <v>36173250</v>
      </c>
      <c r="N155" s="49">
        <f>VLOOKUP($A155,'Data shares'!$C:$FB,63)</f>
        <v>41370750</v>
      </c>
      <c r="O155" s="140">
        <f>VLOOKUP($A155,'Data shares'!$C:$FB,65)*100</f>
        <v>-12.559999999999999</v>
      </c>
    </row>
    <row r="156" spans="1:15" x14ac:dyDescent="0.25">
      <c r="A156" s="101" t="str">
        <f>'Data shares'!C151</f>
        <v>PAGEIND</v>
      </c>
      <c r="B156" s="50">
        <f>VLOOKUP($A156,'Data shares'!$C:$FB,7)</f>
        <v>35380</v>
      </c>
      <c r="C156" s="50">
        <f>VLOOKUP($A156,'Data shares'!$C:$FB,10)*100</f>
        <v>0.06</v>
      </c>
      <c r="D156" s="49">
        <f>VLOOKUP($A156,'Data shares'!$C:$FB,66)</f>
        <v>148545</v>
      </c>
      <c r="E156" s="49">
        <f>VLOOKUP($A156,'Data shares'!$C:$FB,67)</f>
        <v>190050</v>
      </c>
      <c r="F156" s="50">
        <f>VLOOKUP($A156,'Data shares'!$C:$FB,69)*100</f>
        <v>-21.84</v>
      </c>
      <c r="G156" s="49">
        <f>VLOOKUP($A156,'Data shares'!$C:$FB,42)</f>
        <v>19920</v>
      </c>
      <c r="H156" s="49">
        <f>VLOOKUP($A156,'Data shares'!$C:$FB,43)</f>
        <v>39765</v>
      </c>
      <c r="I156" s="50">
        <f>VLOOKUP($A156,'Data shares'!$C:$FB,45)*100</f>
        <v>-49.91</v>
      </c>
      <c r="J156" s="49">
        <f>VLOOKUP($A156,'Data shares'!$C:$FB,58)</f>
        <v>105825</v>
      </c>
      <c r="K156" s="49">
        <f>VLOOKUP($A156,'Data shares'!$C:$FB,59)</f>
        <v>105585</v>
      </c>
      <c r="L156" s="50">
        <f>VLOOKUP($A156,'Data shares'!$C:$FB,61)*100</f>
        <v>0.22999999999999998</v>
      </c>
      <c r="M156" s="49">
        <f>VLOOKUP($A156,'Data shares'!$C:$FB,62)</f>
        <v>22800</v>
      </c>
      <c r="N156" s="49">
        <f>VLOOKUP($A156,'Data shares'!$C:$FB,63)</f>
        <v>44700</v>
      </c>
      <c r="O156" s="140">
        <f>VLOOKUP($A156,'Data shares'!$C:$FB,65)*100</f>
        <v>-48.99</v>
      </c>
    </row>
    <row r="157" spans="1:15" x14ac:dyDescent="0.25">
      <c r="A157" s="101" t="str">
        <f>'Data shares'!C152</f>
        <v>PATANJALI</v>
      </c>
      <c r="B157" s="50">
        <f>VLOOKUP($A157,'Data shares'!$C:$FB,7)</f>
        <v>576.45000000000005</v>
      </c>
      <c r="C157" s="50">
        <f>VLOOKUP($A157,'Data shares'!$C:$FB,10)*100</f>
        <v>0.33999999999999997</v>
      </c>
      <c r="D157" s="49">
        <f>VLOOKUP($A157,'Data shares'!$C:$FB,66)</f>
        <v>12416400</v>
      </c>
      <c r="E157" s="49">
        <f>VLOOKUP($A157,'Data shares'!$C:$FB,67)</f>
        <v>15680700</v>
      </c>
      <c r="F157" s="50">
        <f>VLOOKUP($A157,'Data shares'!$C:$FB,69)*100</f>
        <v>-20.82</v>
      </c>
      <c r="G157" s="49">
        <f>VLOOKUP($A157,'Data shares'!$C:$FB,42)</f>
        <v>4688100</v>
      </c>
      <c r="H157" s="49">
        <f>VLOOKUP($A157,'Data shares'!$C:$FB,43)</f>
        <v>7554600</v>
      </c>
      <c r="I157" s="50">
        <f>VLOOKUP($A157,'Data shares'!$C:$FB,45)*100</f>
        <v>-37.940000000000005</v>
      </c>
      <c r="J157" s="49">
        <f>VLOOKUP($A157,'Data shares'!$C:$FB,58)</f>
        <v>5370300</v>
      </c>
      <c r="K157" s="49">
        <f>VLOOKUP($A157,'Data shares'!$C:$FB,59)</f>
        <v>5535000</v>
      </c>
      <c r="L157" s="50">
        <f>VLOOKUP($A157,'Data shares'!$C:$FB,61)*100</f>
        <v>-2.98</v>
      </c>
      <c r="M157" s="49">
        <f>VLOOKUP($A157,'Data shares'!$C:$FB,62)</f>
        <v>2358000</v>
      </c>
      <c r="N157" s="49">
        <f>VLOOKUP($A157,'Data shares'!$C:$FB,63)</f>
        <v>2591100</v>
      </c>
      <c r="O157" s="140">
        <f>VLOOKUP($A157,'Data shares'!$C:$FB,65)*100</f>
        <v>-9</v>
      </c>
    </row>
    <row r="158" spans="1:15" x14ac:dyDescent="0.25">
      <c r="A158" s="101" t="str">
        <f>'Data shares'!C153</f>
        <v>PAYTM</v>
      </c>
      <c r="B158" s="50">
        <f>VLOOKUP($A158,'Data shares'!$C:$FB,7)</f>
        <v>1318.8</v>
      </c>
      <c r="C158" s="50">
        <f>VLOOKUP($A158,'Data shares'!$C:$FB,10)*100</f>
        <v>-1</v>
      </c>
      <c r="D158" s="49">
        <f>VLOOKUP($A158,'Data shares'!$C:$FB,66)</f>
        <v>8939975</v>
      </c>
      <c r="E158" s="49">
        <f>VLOOKUP($A158,'Data shares'!$C:$FB,67)</f>
        <v>7951075</v>
      </c>
      <c r="F158" s="50">
        <f>VLOOKUP($A158,'Data shares'!$C:$FB,69)*100</f>
        <v>12.44</v>
      </c>
      <c r="G158" s="49">
        <f>VLOOKUP($A158,'Data shares'!$C:$FB,42)</f>
        <v>1898050</v>
      </c>
      <c r="H158" s="49">
        <f>VLOOKUP($A158,'Data shares'!$C:$FB,43)</f>
        <v>2035800</v>
      </c>
      <c r="I158" s="50">
        <f>VLOOKUP($A158,'Data shares'!$C:$FB,45)*100</f>
        <v>-6.77</v>
      </c>
      <c r="J158" s="49">
        <f>VLOOKUP($A158,'Data shares'!$C:$FB,58)</f>
        <v>4701625</v>
      </c>
      <c r="K158" s="49">
        <f>VLOOKUP($A158,'Data shares'!$C:$FB,59)</f>
        <v>3709825</v>
      </c>
      <c r="L158" s="50">
        <f>VLOOKUP($A158,'Data shares'!$C:$FB,61)*100</f>
        <v>26.729999999999997</v>
      </c>
      <c r="M158" s="49">
        <f>VLOOKUP($A158,'Data shares'!$C:$FB,62)</f>
        <v>2340300</v>
      </c>
      <c r="N158" s="49">
        <f>VLOOKUP($A158,'Data shares'!$C:$FB,63)</f>
        <v>2205450</v>
      </c>
      <c r="O158" s="140">
        <f>VLOOKUP($A158,'Data shares'!$C:$FB,65)*100</f>
        <v>6.11</v>
      </c>
    </row>
    <row r="159" spans="1:15" x14ac:dyDescent="0.25">
      <c r="A159" s="101" t="str">
        <f>'Data shares'!C154</f>
        <v>PERSISTENT</v>
      </c>
      <c r="B159" s="50">
        <f>VLOOKUP($A159,'Data shares'!$C:$FB,7)</f>
        <v>6513.5</v>
      </c>
      <c r="C159" s="50">
        <f>VLOOKUP($A159,'Data shares'!$C:$FB,10)*100</f>
        <v>4.2299999999999995</v>
      </c>
      <c r="D159" s="49">
        <f>VLOOKUP($A159,'Data shares'!$C:$FB,66)</f>
        <v>6821000</v>
      </c>
      <c r="E159" s="49">
        <f>VLOOKUP($A159,'Data shares'!$C:$FB,67)</f>
        <v>1436300</v>
      </c>
      <c r="F159" s="50">
        <f>VLOOKUP($A159,'Data shares'!$C:$FB,69)*100</f>
        <v>374.90000000000003</v>
      </c>
      <c r="G159" s="49">
        <f>VLOOKUP($A159,'Data shares'!$C:$FB,42)</f>
        <v>736400</v>
      </c>
      <c r="H159" s="49">
        <f>VLOOKUP($A159,'Data shares'!$C:$FB,43)</f>
        <v>292600</v>
      </c>
      <c r="I159" s="50">
        <f>VLOOKUP($A159,'Data shares'!$C:$FB,45)*100</f>
        <v>151.66999999999999</v>
      </c>
      <c r="J159" s="49">
        <f>VLOOKUP($A159,'Data shares'!$C:$FB,58)</f>
        <v>4501200</v>
      </c>
      <c r="K159" s="49">
        <f>VLOOKUP($A159,'Data shares'!$C:$FB,59)</f>
        <v>856300</v>
      </c>
      <c r="L159" s="50">
        <f>VLOOKUP($A159,'Data shares'!$C:$FB,61)*100</f>
        <v>425.65999999999997</v>
      </c>
      <c r="M159" s="49">
        <f>VLOOKUP($A159,'Data shares'!$C:$FB,62)</f>
        <v>1583400</v>
      </c>
      <c r="N159" s="49">
        <f>VLOOKUP($A159,'Data shares'!$C:$FB,63)</f>
        <v>287400</v>
      </c>
      <c r="O159" s="140">
        <f>VLOOKUP($A159,'Data shares'!$C:$FB,65)*100</f>
        <v>450.94000000000005</v>
      </c>
    </row>
    <row r="160" spans="1:15" x14ac:dyDescent="0.25">
      <c r="A160" s="101" t="str">
        <f>'Data shares'!C155</f>
        <v>PETRONET</v>
      </c>
      <c r="B160" s="50">
        <f>VLOOKUP($A160,'Data shares'!$C:$FB,7)</f>
        <v>294.35000000000002</v>
      </c>
      <c r="C160" s="50">
        <f>VLOOKUP($A160,'Data shares'!$C:$FB,10)*100</f>
        <v>-0.32</v>
      </c>
      <c r="D160" s="49">
        <f>VLOOKUP($A160,'Data shares'!$C:$FB,66)</f>
        <v>31410800</v>
      </c>
      <c r="E160" s="49">
        <f>VLOOKUP($A160,'Data shares'!$C:$FB,67)</f>
        <v>48294200</v>
      </c>
      <c r="F160" s="50">
        <f>VLOOKUP($A160,'Data shares'!$C:$FB,69)*100</f>
        <v>-34.96</v>
      </c>
      <c r="G160" s="49">
        <f>VLOOKUP($A160,'Data shares'!$C:$FB,42)</f>
        <v>6845700</v>
      </c>
      <c r="H160" s="49">
        <f>VLOOKUP($A160,'Data shares'!$C:$FB,43)</f>
        <v>8257400</v>
      </c>
      <c r="I160" s="50">
        <f>VLOOKUP($A160,'Data shares'!$C:$FB,45)*100</f>
        <v>-17.100000000000001</v>
      </c>
      <c r="J160" s="49">
        <f>VLOOKUP($A160,'Data shares'!$C:$FB,58)</f>
        <v>18572500</v>
      </c>
      <c r="K160" s="49">
        <f>VLOOKUP($A160,'Data shares'!$C:$FB,59)</f>
        <v>31498200</v>
      </c>
      <c r="L160" s="50">
        <f>VLOOKUP($A160,'Data shares'!$C:$FB,61)*100</f>
        <v>-41.04</v>
      </c>
      <c r="M160" s="49">
        <f>VLOOKUP($A160,'Data shares'!$C:$FB,62)</f>
        <v>5992600</v>
      </c>
      <c r="N160" s="49">
        <f>VLOOKUP($A160,'Data shares'!$C:$FB,63)</f>
        <v>8538600</v>
      </c>
      <c r="O160" s="140">
        <f>VLOOKUP($A160,'Data shares'!$C:$FB,65)*100</f>
        <v>-29.82</v>
      </c>
    </row>
    <row r="161" spans="1:15" x14ac:dyDescent="0.25">
      <c r="A161" s="101" t="str">
        <f>'Data shares'!C156</f>
        <v>PFC</v>
      </c>
      <c r="B161" s="50">
        <f>VLOOKUP($A161,'Data shares'!$C:$FB,7)</f>
        <v>376.95</v>
      </c>
      <c r="C161" s="50">
        <f>VLOOKUP($A161,'Data shares'!$C:$FB,10)*100</f>
        <v>0.19</v>
      </c>
      <c r="D161" s="49">
        <f>VLOOKUP($A161,'Data shares'!$C:$FB,66)</f>
        <v>46658300</v>
      </c>
      <c r="E161" s="49">
        <f>VLOOKUP($A161,'Data shares'!$C:$FB,67)</f>
        <v>76131900</v>
      </c>
      <c r="F161" s="50">
        <f>VLOOKUP($A161,'Data shares'!$C:$FB,69)*100</f>
        <v>-38.71</v>
      </c>
      <c r="G161" s="49">
        <f>VLOOKUP($A161,'Data shares'!$C:$FB,42)</f>
        <v>7185100</v>
      </c>
      <c r="H161" s="49">
        <f>VLOOKUP($A161,'Data shares'!$C:$FB,43)</f>
        <v>11525800</v>
      </c>
      <c r="I161" s="50">
        <f>VLOOKUP($A161,'Data shares'!$C:$FB,45)*100</f>
        <v>-37.659999999999997</v>
      </c>
      <c r="J161" s="49">
        <f>VLOOKUP($A161,'Data shares'!$C:$FB,58)</f>
        <v>27719900</v>
      </c>
      <c r="K161" s="49">
        <f>VLOOKUP($A161,'Data shares'!$C:$FB,59)</f>
        <v>48938500</v>
      </c>
      <c r="L161" s="50">
        <f>VLOOKUP($A161,'Data shares'!$C:$FB,61)*100</f>
        <v>-43.36</v>
      </c>
      <c r="M161" s="49">
        <f>VLOOKUP($A161,'Data shares'!$C:$FB,62)</f>
        <v>11753300</v>
      </c>
      <c r="N161" s="49">
        <f>VLOOKUP($A161,'Data shares'!$C:$FB,63)</f>
        <v>15667600</v>
      </c>
      <c r="O161" s="140">
        <f>VLOOKUP($A161,'Data shares'!$C:$FB,65)*100</f>
        <v>-24.98</v>
      </c>
    </row>
    <row r="162" spans="1:15" x14ac:dyDescent="0.25">
      <c r="A162" s="101" t="str">
        <f>'Data shares'!C157</f>
        <v>PGEL</v>
      </c>
      <c r="B162" s="50">
        <f>VLOOKUP($A162,'Data shares'!$C:$FB,7)</f>
        <v>622.4</v>
      </c>
      <c r="C162" s="50">
        <f>VLOOKUP($A162,'Data shares'!$C:$FB,10)*100</f>
        <v>-0.67</v>
      </c>
      <c r="D162" s="49">
        <f>VLOOKUP($A162,'Data shares'!$C:$FB,66)</f>
        <v>12446900</v>
      </c>
      <c r="E162" s="49">
        <f>VLOOKUP($A162,'Data shares'!$C:$FB,67)</f>
        <v>19424650</v>
      </c>
      <c r="F162" s="50">
        <f>VLOOKUP($A162,'Data shares'!$C:$FB,69)*100</f>
        <v>-35.92</v>
      </c>
      <c r="G162" s="49">
        <f>VLOOKUP($A162,'Data shares'!$C:$FB,42)</f>
        <v>3073250</v>
      </c>
      <c r="H162" s="49">
        <f>VLOOKUP($A162,'Data shares'!$C:$FB,43)</f>
        <v>3372500</v>
      </c>
      <c r="I162" s="50">
        <f>VLOOKUP($A162,'Data shares'!$C:$FB,45)*100</f>
        <v>-8.870000000000001</v>
      </c>
      <c r="J162" s="49">
        <f>VLOOKUP($A162,'Data shares'!$C:$FB,58)</f>
        <v>7033800</v>
      </c>
      <c r="K162" s="49">
        <f>VLOOKUP($A162,'Data shares'!$C:$FB,59)</f>
        <v>10916450</v>
      </c>
      <c r="L162" s="50">
        <f>VLOOKUP($A162,'Data shares'!$C:$FB,61)*100</f>
        <v>-35.57</v>
      </c>
      <c r="M162" s="49">
        <f>VLOOKUP($A162,'Data shares'!$C:$FB,62)</f>
        <v>2339850</v>
      </c>
      <c r="N162" s="49">
        <f>VLOOKUP($A162,'Data shares'!$C:$FB,63)</f>
        <v>5135700</v>
      </c>
      <c r="O162" s="140">
        <f>VLOOKUP($A162,'Data shares'!$C:$FB,65)*100</f>
        <v>-54.44</v>
      </c>
    </row>
    <row r="163" spans="1:15" x14ac:dyDescent="0.25">
      <c r="A163" s="101" t="str">
        <f>'Data shares'!C158</f>
        <v>PHOENIXLTD</v>
      </c>
      <c r="B163" s="50">
        <f>VLOOKUP($A163,'Data shares'!$C:$FB,7)</f>
        <v>1942.6</v>
      </c>
      <c r="C163" s="50">
        <f>VLOOKUP($A163,'Data shares'!$C:$FB,10)*100</f>
        <v>-0.42</v>
      </c>
      <c r="D163" s="49">
        <f>VLOOKUP($A163,'Data shares'!$C:$FB,66)</f>
        <v>1450400</v>
      </c>
      <c r="E163" s="49">
        <f>VLOOKUP($A163,'Data shares'!$C:$FB,67)</f>
        <v>2983400</v>
      </c>
      <c r="F163" s="50">
        <f>VLOOKUP($A163,'Data shares'!$C:$FB,69)*100</f>
        <v>-51.38</v>
      </c>
      <c r="G163" s="49">
        <f>VLOOKUP($A163,'Data shares'!$C:$FB,42)</f>
        <v>625800</v>
      </c>
      <c r="H163" s="49">
        <f>VLOOKUP($A163,'Data shares'!$C:$FB,43)</f>
        <v>1024800</v>
      </c>
      <c r="I163" s="50">
        <f>VLOOKUP($A163,'Data shares'!$C:$FB,45)*100</f>
        <v>-38.93</v>
      </c>
      <c r="J163" s="49">
        <f>VLOOKUP($A163,'Data shares'!$C:$FB,58)</f>
        <v>504000</v>
      </c>
      <c r="K163" s="49">
        <f>VLOOKUP($A163,'Data shares'!$C:$FB,59)</f>
        <v>1082550</v>
      </c>
      <c r="L163" s="50">
        <f>VLOOKUP($A163,'Data shares'!$C:$FB,61)*100</f>
        <v>-53.44</v>
      </c>
      <c r="M163" s="49">
        <f>VLOOKUP($A163,'Data shares'!$C:$FB,62)</f>
        <v>320600</v>
      </c>
      <c r="N163" s="49">
        <f>VLOOKUP($A163,'Data shares'!$C:$FB,63)</f>
        <v>876050</v>
      </c>
      <c r="O163" s="140">
        <f>VLOOKUP($A163,'Data shares'!$C:$FB,65)*100</f>
        <v>-63.4</v>
      </c>
    </row>
    <row r="164" spans="1:15" x14ac:dyDescent="0.25">
      <c r="A164" s="101" t="str">
        <f>'Data shares'!C159</f>
        <v>PIDILITIND</v>
      </c>
      <c r="B164" s="50">
        <f>VLOOKUP($A164,'Data shares'!$C:$FB,7)</f>
        <v>1514.8</v>
      </c>
      <c r="C164" s="50">
        <f>VLOOKUP($A164,'Data shares'!$C:$FB,10)*100</f>
        <v>0.65</v>
      </c>
      <c r="D164" s="49">
        <f>VLOOKUP($A164,'Data shares'!$C:$FB,66)</f>
        <v>3274500</v>
      </c>
      <c r="E164" s="49">
        <f>VLOOKUP($A164,'Data shares'!$C:$FB,67)</f>
        <v>2510000</v>
      </c>
      <c r="F164" s="50">
        <f>VLOOKUP($A164,'Data shares'!$C:$FB,69)*100</f>
        <v>30.459999999999997</v>
      </c>
      <c r="G164" s="49">
        <f>VLOOKUP($A164,'Data shares'!$C:$FB,42)</f>
        <v>898000</v>
      </c>
      <c r="H164" s="49">
        <f>VLOOKUP($A164,'Data shares'!$C:$FB,43)</f>
        <v>641500</v>
      </c>
      <c r="I164" s="50">
        <f>VLOOKUP($A164,'Data shares'!$C:$FB,45)*100</f>
        <v>39.979999999999997</v>
      </c>
      <c r="J164" s="49">
        <f>VLOOKUP($A164,'Data shares'!$C:$FB,58)</f>
        <v>1939000</v>
      </c>
      <c r="K164" s="49">
        <f>VLOOKUP($A164,'Data shares'!$C:$FB,59)</f>
        <v>1323500</v>
      </c>
      <c r="L164" s="50">
        <f>VLOOKUP($A164,'Data shares'!$C:$FB,61)*100</f>
        <v>46.51</v>
      </c>
      <c r="M164" s="49">
        <f>VLOOKUP($A164,'Data shares'!$C:$FB,62)</f>
        <v>437500</v>
      </c>
      <c r="N164" s="49">
        <f>VLOOKUP($A164,'Data shares'!$C:$FB,63)</f>
        <v>545000</v>
      </c>
      <c r="O164" s="140">
        <f>VLOOKUP($A164,'Data shares'!$C:$FB,65)*100</f>
        <v>-19.72</v>
      </c>
    </row>
    <row r="165" spans="1:15" x14ac:dyDescent="0.25">
      <c r="A165" s="101" t="str">
        <f>'Data shares'!C160</f>
        <v>PIIND</v>
      </c>
      <c r="B165" s="50">
        <f>VLOOKUP($A165,'Data shares'!$C:$FB,7)</f>
        <v>3283.8</v>
      </c>
      <c r="C165" s="50">
        <f>VLOOKUP($A165,'Data shares'!$C:$FB,10)*100</f>
        <v>0.25</v>
      </c>
      <c r="D165" s="49">
        <f>VLOOKUP($A165,'Data shares'!$C:$FB,66)</f>
        <v>1685425</v>
      </c>
      <c r="E165" s="49">
        <f>VLOOKUP($A165,'Data shares'!$C:$FB,67)</f>
        <v>1752975</v>
      </c>
      <c r="F165" s="50">
        <f>VLOOKUP($A165,'Data shares'!$C:$FB,69)*100</f>
        <v>-3.85</v>
      </c>
      <c r="G165" s="49">
        <f>VLOOKUP($A165,'Data shares'!$C:$FB,42)</f>
        <v>345100</v>
      </c>
      <c r="H165" s="49">
        <f>VLOOKUP($A165,'Data shares'!$C:$FB,43)</f>
        <v>281050</v>
      </c>
      <c r="I165" s="50">
        <f>VLOOKUP($A165,'Data shares'!$C:$FB,45)*100</f>
        <v>22.79</v>
      </c>
      <c r="J165" s="49">
        <f>VLOOKUP($A165,'Data shares'!$C:$FB,58)</f>
        <v>1134700</v>
      </c>
      <c r="K165" s="49">
        <f>VLOOKUP($A165,'Data shares'!$C:$FB,59)</f>
        <v>1215900</v>
      </c>
      <c r="L165" s="50">
        <f>VLOOKUP($A165,'Data shares'!$C:$FB,61)*100</f>
        <v>-6.68</v>
      </c>
      <c r="M165" s="49">
        <f>VLOOKUP($A165,'Data shares'!$C:$FB,62)</f>
        <v>205625</v>
      </c>
      <c r="N165" s="49">
        <f>VLOOKUP($A165,'Data shares'!$C:$FB,63)</f>
        <v>256025</v>
      </c>
      <c r="O165" s="140">
        <f>VLOOKUP($A165,'Data shares'!$C:$FB,65)*100</f>
        <v>-19.689999999999998</v>
      </c>
    </row>
    <row r="166" spans="1:15" x14ac:dyDescent="0.25">
      <c r="A166" s="101" t="str">
        <f>'Data shares'!C161</f>
        <v>PNB</v>
      </c>
      <c r="B166" s="50">
        <f>VLOOKUP($A166,'Data shares'!$C:$FB,7)</f>
        <v>125.68</v>
      </c>
      <c r="C166" s="50">
        <f>VLOOKUP($A166,'Data shares'!$C:$FB,10)*100</f>
        <v>0.16999999999999998</v>
      </c>
      <c r="D166" s="49">
        <f>VLOOKUP($A166,'Data shares'!$C:$FB,66)</f>
        <v>150896000</v>
      </c>
      <c r="E166" s="49">
        <f>VLOOKUP($A166,'Data shares'!$C:$FB,67)</f>
        <v>118640000</v>
      </c>
      <c r="F166" s="50">
        <f>VLOOKUP($A166,'Data shares'!$C:$FB,69)*100</f>
        <v>27.189999999999998</v>
      </c>
      <c r="G166" s="49">
        <f>VLOOKUP($A166,'Data shares'!$C:$FB,42)</f>
        <v>33648000</v>
      </c>
      <c r="H166" s="49">
        <f>VLOOKUP($A166,'Data shares'!$C:$FB,43)</f>
        <v>31824000</v>
      </c>
      <c r="I166" s="50">
        <f>VLOOKUP($A166,'Data shares'!$C:$FB,45)*100</f>
        <v>5.7299999999999995</v>
      </c>
      <c r="J166" s="49">
        <f>VLOOKUP($A166,'Data shares'!$C:$FB,58)</f>
        <v>64680000</v>
      </c>
      <c r="K166" s="49">
        <f>VLOOKUP($A166,'Data shares'!$C:$FB,59)</f>
        <v>53896000</v>
      </c>
      <c r="L166" s="50">
        <f>VLOOKUP($A166,'Data shares'!$C:$FB,61)*100</f>
        <v>20.010000000000002</v>
      </c>
      <c r="M166" s="49">
        <f>VLOOKUP($A166,'Data shares'!$C:$FB,62)</f>
        <v>52568000</v>
      </c>
      <c r="N166" s="49">
        <f>VLOOKUP($A166,'Data shares'!$C:$FB,63)</f>
        <v>32920000</v>
      </c>
      <c r="O166" s="140">
        <f>VLOOKUP($A166,'Data shares'!$C:$FB,65)*100</f>
        <v>59.68</v>
      </c>
    </row>
    <row r="167" spans="1:15" x14ac:dyDescent="0.25">
      <c r="A167" s="101" t="str">
        <f>'Data shares'!C162</f>
        <v>PNBHOUSING</v>
      </c>
      <c r="B167" s="50">
        <f>VLOOKUP($A167,'Data shares'!$C:$FB,7)</f>
        <v>1004.4</v>
      </c>
      <c r="C167" s="50">
        <f>VLOOKUP($A167,'Data shares'!$C:$FB,10)*100</f>
        <v>-0.33999999999999997</v>
      </c>
      <c r="D167" s="49">
        <f>VLOOKUP($A167,'Data shares'!$C:$FB,66)</f>
        <v>6093750</v>
      </c>
      <c r="E167" s="49">
        <f>VLOOKUP($A167,'Data shares'!$C:$FB,67)</f>
        <v>3611400</v>
      </c>
      <c r="F167" s="50">
        <f>VLOOKUP($A167,'Data shares'!$C:$FB,69)*100</f>
        <v>68.739999999999995</v>
      </c>
      <c r="G167" s="49">
        <f>VLOOKUP($A167,'Data shares'!$C:$FB,42)</f>
        <v>2667600</v>
      </c>
      <c r="H167" s="49">
        <f>VLOOKUP($A167,'Data shares'!$C:$FB,43)</f>
        <v>1833000</v>
      </c>
      <c r="I167" s="50">
        <f>VLOOKUP($A167,'Data shares'!$C:$FB,45)*100</f>
        <v>45.53</v>
      </c>
      <c r="J167" s="49">
        <f>VLOOKUP($A167,'Data shares'!$C:$FB,58)</f>
        <v>2094950</v>
      </c>
      <c r="K167" s="49">
        <f>VLOOKUP($A167,'Data shares'!$C:$FB,59)</f>
        <v>1268800</v>
      </c>
      <c r="L167" s="50">
        <f>VLOOKUP($A167,'Data shares'!$C:$FB,61)*100</f>
        <v>65.11</v>
      </c>
      <c r="M167" s="49">
        <f>VLOOKUP($A167,'Data shares'!$C:$FB,62)</f>
        <v>1331200</v>
      </c>
      <c r="N167" s="49">
        <f>VLOOKUP($A167,'Data shares'!$C:$FB,63)</f>
        <v>509600</v>
      </c>
      <c r="O167" s="140">
        <f>VLOOKUP($A167,'Data shares'!$C:$FB,65)*100</f>
        <v>161.22</v>
      </c>
    </row>
    <row r="168" spans="1:15" x14ac:dyDescent="0.25">
      <c r="A168" s="101" t="str">
        <f>'Data shares'!C163</f>
        <v>POLICYBZR</v>
      </c>
      <c r="B168" s="50">
        <f>VLOOKUP($A168,'Data shares'!$C:$FB,7)</f>
        <v>1719.5</v>
      </c>
      <c r="C168" s="50">
        <f>VLOOKUP($A168,'Data shares'!$C:$FB,10)*100</f>
        <v>-1.39</v>
      </c>
      <c r="D168" s="49">
        <f>VLOOKUP($A168,'Data shares'!$C:$FB,66)</f>
        <v>5225850</v>
      </c>
      <c r="E168" s="49">
        <f>VLOOKUP($A168,'Data shares'!$C:$FB,67)</f>
        <v>5036150</v>
      </c>
      <c r="F168" s="50">
        <f>VLOOKUP($A168,'Data shares'!$C:$FB,69)*100</f>
        <v>3.7699999999999996</v>
      </c>
      <c r="G168" s="49">
        <f>VLOOKUP($A168,'Data shares'!$C:$FB,42)</f>
        <v>1318450</v>
      </c>
      <c r="H168" s="49">
        <f>VLOOKUP($A168,'Data shares'!$C:$FB,43)</f>
        <v>1521450</v>
      </c>
      <c r="I168" s="50">
        <f>VLOOKUP($A168,'Data shares'!$C:$FB,45)*100</f>
        <v>-13.34</v>
      </c>
      <c r="J168" s="49">
        <f>VLOOKUP($A168,'Data shares'!$C:$FB,58)</f>
        <v>2376850</v>
      </c>
      <c r="K168" s="49">
        <f>VLOOKUP($A168,'Data shares'!$C:$FB,59)</f>
        <v>2474150</v>
      </c>
      <c r="L168" s="50">
        <f>VLOOKUP($A168,'Data shares'!$C:$FB,61)*100</f>
        <v>-3.93</v>
      </c>
      <c r="M168" s="49">
        <f>VLOOKUP($A168,'Data shares'!$C:$FB,62)</f>
        <v>1530550</v>
      </c>
      <c r="N168" s="49">
        <f>VLOOKUP($A168,'Data shares'!$C:$FB,63)</f>
        <v>1040550</v>
      </c>
      <c r="O168" s="140">
        <f>VLOOKUP($A168,'Data shares'!$C:$FB,65)*100</f>
        <v>47.089999999999996</v>
      </c>
    </row>
    <row r="169" spans="1:15" x14ac:dyDescent="0.25">
      <c r="A169" s="101" t="str">
        <f>'Data shares'!C164</f>
        <v>POLYCAB</v>
      </c>
      <c r="B169" s="50">
        <f>VLOOKUP($A169,'Data shares'!$C:$FB,7)</f>
        <v>7897</v>
      </c>
      <c r="C169" s="50">
        <f>VLOOKUP($A169,'Data shares'!$C:$FB,10)*100</f>
        <v>1.3</v>
      </c>
      <c r="D169" s="49">
        <f>VLOOKUP($A169,'Data shares'!$C:$FB,66)</f>
        <v>4536750</v>
      </c>
      <c r="E169" s="49">
        <f>VLOOKUP($A169,'Data shares'!$C:$FB,67)</f>
        <v>2532250</v>
      </c>
      <c r="F169" s="50">
        <f>VLOOKUP($A169,'Data shares'!$C:$FB,69)*100</f>
        <v>79.16</v>
      </c>
      <c r="G169" s="49">
        <f>VLOOKUP($A169,'Data shares'!$C:$FB,42)</f>
        <v>843375</v>
      </c>
      <c r="H169" s="49">
        <f>VLOOKUP($A169,'Data shares'!$C:$FB,43)</f>
        <v>660125</v>
      </c>
      <c r="I169" s="50">
        <f>VLOOKUP($A169,'Data shares'!$C:$FB,45)*100</f>
        <v>27.76</v>
      </c>
      <c r="J169" s="49">
        <f>VLOOKUP($A169,'Data shares'!$C:$FB,58)</f>
        <v>2757875</v>
      </c>
      <c r="K169" s="49">
        <f>VLOOKUP($A169,'Data shares'!$C:$FB,59)</f>
        <v>1281125</v>
      </c>
      <c r="L169" s="50">
        <f>VLOOKUP($A169,'Data shares'!$C:$FB,61)*100</f>
        <v>115.27000000000001</v>
      </c>
      <c r="M169" s="49">
        <f>VLOOKUP($A169,'Data shares'!$C:$FB,62)</f>
        <v>935500</v>
      </c>
      <c r="N169" s="49">
        <f>VLOOKUP($A169,'Data shares'!$C:$FB,63)</f>
        <v>591000</v>
      </c>
      <c r="O169" s="140">
        <f>VLOOKUP($A169,'Data shares'!$C:$FB,65)*100</f>
        <v>58.29</v>
      </c>
    </row>
    <row r="170" spans="1:15" x14ac:dyDescent="0.25">
      <c r="A170" s="101" t="str">
        <f>'Data shares'!C165</f>
        <v>POWERGRID</v>
      </c>
      <c r="B170" s="50">
        <f>VLOOKUP($A170,'Data shares'!$C:$FB,7)</f>
        <v>264.10000000000002</v>
      </c>
      <c r="C170" s="50">
        <f>VLOOKUP($A170,'Data shares'!$C:$FB,10)*100</f>
        <v>-1.66</v>
      </c>
      <c r="D170" s="49">
        <f>VLOOKUP($A170,'Data shares'!$C:$FB,66)</f>
        <v>50294900</v>
      </c>
      <c r="E170" s="49">
        <f>VLOOKUP($A170,'Data shares'!$C:$FB,67)</f>
        <v>51683800</v>
      </c>
      <c r="F170" s="50">
        <f>VLOOKUP($A170,'Data shares'!$C:$FB,69)*100</f>
        <v>-2.69</v>
      </c>
      <c r="G170" s="49">
        <f>VLOOKUP($A170,'Data shares'!$C:$FB,42)</f>
        <v>12692000</v>
      </c>
      <c r="H170" s="49">
        <f>VLOOKUP($A170,'Data shares'!$C:$FB,43)</f>
        <v>9503800</v>
      </c>
      <c r="I170" s="50">
        <f>VLOOKUP($A170,'Data shares'!$C:$FB,45)*100</f>
        <v>33.550000000000004</v>
      </c>
      <c r="J170" s="49">
        <f>VLOOKUP($A170,'Data shares'!$C:$FB,58)</f>
        <v>26784300</v>
      </c>
      <c r="K170" s="49">
        <f>VLOOKUP($A170,'Data shares'!$C:$FB,59)</f>
        <v>32073900</v>
      </c>
      <c r="L170" s="50">
        <f>VLOOKUP($A170,'Data shares'!$C:$FB,61)*100</f>
        <v>-16.489999999999998</v>
      </c>
      <c r="M170" s="49">
        <f>VLOOKUP($A170,'Data shares'!$C:$FB,62)</f>
        <v>10818600</v>
      </c>
      <c r="N170" s="49">
        <f>VLOOKUP($A170,'Data shares'!$C:$FB,63)</f>
        <v>10106100</v>
      </c>
      <c r="O170" s="140">
        <f>VLOOKUP($A170,'Data shares'!$C:$FB,65)*100</f>
        <v>7.0499999999999989</v>
      </c>
    </row>
    <row r="171" spans="1:15" x14ac:dyDescent="0.25">
      <c r="A171" s="101" t="str">
        <f>'Data shares'!C166</f>
        <v>POWERINDIA</v>
      </c>
      <c r="B171" s="50">
        <f>VLOOKUP($A171,'Data shares'!$C:$FB,7)</f>
        <v>19582</v>
      </c>
      <c r="C171" s="50">
        <f>VLOOKUP($A171,'Data shares'!$C:$FB,10)*100</f>
        <v>3.9</v>
      </c>
      <c r="D171" s="49">
        <f>VLOOKUP($A171,'Data shares'!$C:$FB,66)</f>
        <v>1691750</v>
      </c>
      <c r="E171" s="49">
        <f>VLOOKUP($A171,'Data shares'!$C:$FB,67)</f>
        <v>216450</v>
      </c>
      <c r="F171" s="50">
        <f>VLOOKUP($A171,'Data shares'!$C:$FB,69)*100</f>
        <v>681.59</v>
      </c>
      <c r="G171" s="49">
        <f>VLOOKUP($A171,'Data shares'!$C:$FB,42)</f>
        <v>178300</v>
      </c>
      <c r="H171" s="49">
        <f>VLOOKUP($A171,'Data shares'!$C:$FB,43)</f>
        <v>54300</v>
      </c>
      <c r="I171" s="50">
        <f>VLOOKUP($A171,'Data shares'!$C:$FB,45)*100</f>
        <v>228.35999999999999</v>
      </c>
      <c r="J171" s="49">
        <f>VLOOKUP($A171,'Data shares'!$C:$FB,58)</f>
        <v>1281350</v>
      </c>
      <c r="K171" s="49">
        <f>VLOOKUP($A171,'Data shares'!$C:$FB,59)</f>
        <v>114350</v>
      </c>
      <c r="L171" s="50">
        <f>VLOOKUP($A171,'Data shares'!$C:$FB,61)*100</f>
        <v>1020.5500000000001</v>
      </c>
      <c r="M171" s="49">
        <f>VLOOKUP($A171,'Data shares'!$C:$FB,62)</f>
        <v>232100</v>
      </c>
      <c r="N171" s="49">
        <f>VLOOKUP($A171,'Data shares'!$C:$FB,63)</f>
        <v>47800</v>
      </c>
      <c r="O171" s="140">
        <f>VLOOKUP($A171,'Data shares'!$C:$FB,65)*100</f>
        <v>385.56</v>
      </c>
    </row>
    <row r="172" spans="1:15" x14ac:dyDescent="0.25">
      <c r="A172" s="101" t="str">
        <f>'Data shares'!C167</f>
        <v>PPLPHARMA</v>
      </c>
      <c r="B172" s="50">
        <f>VLOOKUP($A172,'Data shares'!$C:$FB,7)</f>
        <v>180.81</v>
      </c>
      <c r="C172" s="50">
        <f>VLOOKUP($A172,'Data shares'!$C:$FB,10)*100</f>
        <v>0.44999999999999996</v>
      </c>
      <c r="D172" s="49">
        <f>VLOOKUP($A172,'Data shares'!$C:$FB,66)</f>
        <v>48972000</v>
      </c>
      <c r="E172" s="49">
        <f>VLOOKUP($A172,'Data shares'!$C:$FB,67)</f>
        <v>16952250</v>
      </c>
      <c r="F172" s="50">
        <f>VLOOKUP($A172,'Data shares'!$C:$FB,69)*100</f>
        <v>188.88</v>
      </c>
      <c r="G172" s="49">
        <f>VLOOKUP($A172,'Data shares'!$C:$FB,42)</f>
        <v>11788875</v>
      </c>
      <c r="H172" s="49">
        <f>VLOOKUP($A172,'Data shares'!$C:$FB,43)</f>
        <v>4147500</v>
      </c>
      <c r="I172" s="50">
        <f>VLOOKUP($A172,'Data shares'!$C:$FB,45)*100</f>
        <v>184.24</v>
      </c>
      <c r="J172" s="49">
        <f>VLOOKUP($A172,'Data shares'!$C:$FB,58)</f>
        <v>31838625</v>
      </c>
      <c r="K172" s="49">
        <f>VLOOKUP($A172,'Data shares'!$C:$FB,59)</f>
        <v>9114000</v>
      </c>
      <c r="L172" s="50">
        <f>VLOOKUP($A172,'Data shares'!$C:$FB,61)*100</f>
        <v>249.33999999999997</v>
      </c>
      <c r="M172" s="49">
        <f>VLOOKUP($A172,'Data shares'!$C:$FB,62)</f>
        <v>5344500</v>
      </c>
      <c r="N172" s="49">
        <f>VLOOKUP($A172,'Data shares'!$C:$FB,63)</f>
        <v>3690750</v>
      </c>
      <c r="O172" s="140">
        <f>VLOOKUP($A172,'Data shares'!$C:$FB,65)*100</f>
        <v>44.81</v>
      </c>
    </row>
    <row r="173" spans="1:15" x14ac:dyDescent="0.25">
      <c r="A173" s="101" t="str">
        <f>'Data shares'!C168</f>
        <v>PREMIERENE</v>
      </c>
      <c r="B173" s="50">
        <f>VLOOKUP($A173,'Data shares'!$C:$FB,7)</f>
        <v>752.05</v>
      </c>
      <c r="C173" s="50">
        <f>VLOOKUP($A173,'Data shares'!$C:$FB,10)*100</f>
        <v>-1.32</v>
      </c>
      <c r="D173" s="49">
        <f>VLOOKUP($A173,'Data shares'!$C:$FB,66)</f>
        <v>7294450</v>
      </c>
      <c r="E173" s="49">
        <f>VLOOKUP($A173,'Data shares'!$C:$FB,67)</f>
        <v>15024750</v>
      </c>
      <c r="F173" s="50">
        <f>VLOOKUP($A173,'Data shares'!$C:$FB,69)*100</f>
        <v>-51.449999999999996</v>
      </c>
      <c r="G173" s="49">
        <f>VLOOKUP($A173,'Data shares'!$C:$FB,42)</f>
        <v>1631850</v>
      </c>
      <c r="H173" s="49">
        <f>VLOOKUP($A173,'Data shares'!$C:$FB,43)</f>
        <v>2956650</v>
      </c>
      <c r="I173" s="50">
        <f>VLOOKUP($A173,'Data shares'!$C:$FB,45)*100</f>
        <v>-44.81</v>
      </c>
      <c r="J173" s="49">
        <f>VLOOKUP($A173,'Data shares'!$C:$FB,58)</f>
        <v>3613875</v>
      </c>
      <c r="K173" s="49">
        <f>VLOOKUP($A173,'Data shares'!$C:$FB,59)</f>
        <v>5039875</v>
      </c>
      <c r="L173" s="50">
        <f>VLOOKUP($A173,'Data shares'!$C:$FB,61)*100</f>
        <v>-28.29</v>
      </c>
      <c r="M173" s="49">
        <f>VLOOKUP($A173,'Data shares'!$C:$FB,62)</f>
        <v>2048725</v>
      </c>
      <c r="N173" s="49">
        <f>VLOOKUP($A173,'Data shares'!$C:$FB,63)</f>
        <v>7028225</v>
      </c>
      <c r="O173" s="140">
        <f>VLOOKUP($A173,'Data shares'!$C:$FB,65)*100</f>
        <v>-70.850000000000009</v>
      </c>
    </row>
    <row r="174" spans="1:15" x14ac:dyDescent="0.25">
      <c r="A174" s="101" t="str">
        <f>'Data shares'!C169</f>
        <v>PRESTIGE</v>
      </c>
      <c r="B174" s="50">
        <f>VLOOKUP($A174,'Data shares'!$C:$FB,7)</f>
        <v>1619.5</v>
      </c>
      <c r="C174" s="50">
        <f>VLOOKUP($A174,'Data shares'!$C:$FB,10)*100</f>
        <v>-2.04</v>
      </c>
      <c r="D174" s="49">
        <f>VLOOKUP($A174,'Data shares'!$C:$FB,66)</f>
        <v>4343850</v>
      </c>
      <c r="E174" s="49">
        <f>VLOOKUP($A174,'Data shares'!$C:$FB,67)</f>
        <v>2810700</v>
      </c>
      <c r="F174" s="50">
        <f>VLOOKUP($A174,'Data shares'!$C:$FB,69)*100</f>
        <v>54.55</v>
      </c>
      <c r="G174" s="49">
        <f>VLOOKUP($A174,'Data shares'!$C:$FB,42)</f>
        <v>1008900</v>
      </c>
      <c r="H174" s="49">
        <f>VLOOKUP($A174,'Data shares'!$C:$FB,43)</f>
        <v>528750</v>
      </c>
      <c r="I174" s="50">
        <f>VLOOKUP($A174,'Data shares'!$C:$FB,45)*100</f>
        <v>90.81</v>
      </c>
      <c r="J174" s="49">
        <f>VLOOKUP($A174,'Data shares'!$C:$FB,58)</f>
        <v>2244150</v>
      </c>
      <c r="K174" s="49">
        <f>VLOOKUP($A174,'Data shares'!$C:$FB,59)</f>
        <v>1709100</v>
      </c>
      <c r="L174" s="50">
        <f>VLOOKUP($A174,'Data shares'!$C:$FB,61)*100</f>
        <v>31.31</v>
      </c>
      <c r="M174" s="49">
        <f>VLOOKUP($A174,'Data shares'!$C:$FB,62)</f>
        <v>1090800</v>
      </c>
      <c r="N174" s="49">
        <f>VLOOKUP($A174,'Data shares'!$C:$FB,63)</f>
        <v>572850</v>
      </c>
      <c r="O174" s="140">
        <f>VLOOKUP($A174,'Data shares'!$C:$FB,65)*100</f>
        <v>90.42</v>
      </c>
    </row>
    <row r="175" spans="1:15" x14ac:dyDescent="0.25">
      <c r="A175" s="101" t="str">
        <f>'Data shares'!C170</f>
        <v>RBLBANK</v>
      </c>
      <c r="B175" s="50">
        <f>VLOOKUP($A175,'Data shares'!$C:$FB,7)</f>
        <v>318.64999999999998</v>
      </c>
      <c r="C175" s="50">
        <f>VLOOKUP($A175,'Data shares'!$C:$FB,10)*100</f>
        <v>-0.5</v>
      </c>
      <c r="D175" s="49">
        <f>VLOOKUP($A175,'Data shares'!$C:$FB,66)</f>
        <v>36449000</v>
      </c>
      <c r="E175" s="49">
        <f>VLOOKUP($A175,'Data shares'!$C:$FB,67)</f>
        <v>42926000</v>
      </c>
      <c r="F175" s="50">
        <f>VLOOKUP($A175,'Data shares'!$C:$FB,69)*100</f>
        <v>-15.09</v>
      </c>
      <c r="G175" s="49">
        <f>VLOOKUP($A175,'Data shares'!$C:$FB,42)</f>
        <v>12484100</v>
      </c>
      <c r="H175" s="49">
        <f>VLOOKUP($A175,'Data shares'!$C:$FB,43)</f>
        <v>15011400</v>
      </c>
      <c r="I175" s="50">
        <f>VLOOKUP($A175,'Data shares'!$C:$FB,45)*100</f>
        <v>-16.84</v>
      </c>
      <c r="J175" s="49">
        <f>VLOOKUP($A175,'Data shares'!$C:$FB,58)</f>
        <v>15043150</v>
      </c>
      <c r="K175" s="49">
        <f>VLOOKUP($A175,'Data shares'!$C:$FB,59)</f>
        <v>20789900</v>
      </c>
      <c r="L175" s="50">
        <f>VLOOKUP($A175,'Data shares'!$C:$FB,61)*100</f>
        <v>-27.639999999999997</v>
      </c>
      <c r="M175" s="49">
        <f>VLOOKUP($A175,'Data shares'!$C:$FB,62)</f>
        <v>8921750</v>
      </c>
      <c r="N175" s="49">
        <f>VLOOKUP($A175,'Data shares'!$C:$FB,63)</f>
        <v>7124700</v>
      </c>
      <c r="O175" s="140">
        <f>VLOOKUP($A175,'Data shares'!$C:$FB,65)*100</f>
        <v>25.22</v>
      </c>
    </row>
    <row r="176" spans="1:15" x14ac:dyDescent="0.25">
      <c r="A176" s="101" t="str">
        <f>'Data shares'!C171</f>
        <v>RECLTD</v>
      </c>
      <c r="B176" s="50">
        <f>VLOOKUP($A176,'Data shares'!$C:$FB,7)</f>
        <v>385.25</v>
      </c>
      <c r="C176" s="50">
        <f>VLOOKUP($A176,'Data shares'!$C:$FB,10)*100</f>
        <v>0.63</v>
      </c>
      <c r="D176" s="49">
        <f>VLOOKUP($A176,'Data shares'!$C:$FB,66)</f>
        <v>78745800</v>
      </c>
      <c r="E176" s="49">
        <f>VLOOKUP($A176,'Data shares'!$C:$FB,67)</f>
        <v>102956000</v>
      </c>
      <c r="F176" s="50">
        <f>VLOOKUP($A176,'Data shares'!$C:$FB,69)*100</f>
        <v>-23.52</v>
      </c>
      <c r="G176" s="49">
        <f>VLOOKUP($A176,'Data shares'!$C:$FB,42)</f>
        <v>15369200</v>
      </c>
      <c r="H176" s="49">
        <f>VLOOKUP($A176,'Data shares'!$C:$FB,43)</f>
        <v>17063200</v>
      </c>
      <c r="I176" s="50">
        <f>VLOOKUP($A176,'Data shares'!$C:$FB,45)*100</f>
        <v>-9.93</v>
      </c>
      <c r="J176" s="49">
        <f>VLOOKUP($A176,'Data shares'!$C:$FB,58)</f>
        <v>42599200</v>
      </c>
      <c r="K176" s="49">
        <f>VLOOKUP($A176,'Data shares'!$C:$FB,59)</f>
        <v>63541800</v>
      </c>
      <c r="L176" s="50">
        <f>VLOOKUP($A176,'Data shares'!$C:$FB,61)*100</f>
        <v>-32.96</v>
      </c>
      <c r="M176" s="49">
        <f>VLOOKUP($A176,'Data shares'!$C:$FB,62)</f>
        <v>20777400</v>
      </c>
      <c r="N176" s="49">
        <f>VLOOKUP($A176,'Data shares'!$C:$FB,63)</f>
        <v>22351000</v>
      </c>
      <c r="O176" s="140">
        <f>VLOOKUP($A176,'Data shares'!$C:$FB,65)*100</f>
        <v>-7.04</v>
      </c>
    </row>
    <row r="177" spans="1:15" x14ac:dyDescent="0.25">
      <c r="A177" s="101" t="str">
        <f>'Data shares'!C172</f>
        <v>RELIANCE</v>
      </c>
      <c r="B177" s="50">
        <f>VLOOKUP($A177,'Data shares'!$C:$FB,7)</f>
        <v>1504.2</v>
      </c>
      <c r="C177" s="50">
        <f>VLOOKUP($A177,'Data shares'!$C:$FB,10)*100</f>
        <v>-0.22999999999999998</v>
      </c>
      <c r="D177" s="49">
        <f>VLOOKUP($A177,'Data shares'!$C:$FB,66)</f>
        <v>141066000</v>
      </c>
      <c r="E177" s="49">
        <f>VLOOKUP($A177,'Data shares'!$C:$FB,67)</f>
        <v>423958000</v>
      </c>
      <c r="F177" s="50">
        <f>VLOOKUP($A177,'Data shares'!$C:$FB,69)*100</f>
        <v>-66.73</v>
      </c>
      <c r="G177" s="49">
        <f>VLOOKUP($A177,'Data shares'!$C:$FB,42)</f>
        <v>14486500</v>
      </c>
      <c r="H177" s="49">
        <f>VLOOKUP($A177,'Data shares'!$C:$FB,43)</f>
        <v>44085500</v>
      </c>
      <c r="I177" s="50">
        <f>VLOOKUP($A177,'Data shares'!$C:$FB,45)*100</f>
        <v>-67.14</v>
      </c>
      <c r="J177" s="49">
        <f>VLOOKUP($A177,'Data shares'!$C:$FB,58)</f>
        <v>80708000</v>
      </c>
      <c r="K177" s="49">
        <f>VLOOKUP($A177,'Data shares'!$C:$FB,59)</f>
        <v>227327000</v>
      </c>
      <c r="L177" s="50">
        <f>VLOOKUP($A177,'Data shares'!$C:$FB,61)*100</f>
        <v>-64.5</v>
      </c>
      <c r="M177" s="49">
        <f>VLOOKUP($A177,'Data shares'!$C:$FB,62)</f>
        <v>45871500</v>
      </c>
      <c r="N177" s="49">
        <f>VLOOKUP($A177,'Data shares'!$C:$FB,63)</f>
        <v>152545500</v>
      </c>
      <c r="O177" s="140">
        <f>VLOOKUP($A177,'Data shares'!$C:$FB,65)*100</f>
        <v>-69.930000000000007</v>
      </c>
    </row>
    <row r="178" spans="1:15" x14ac:dyDescent="0.25">
      <c r="A178" s="101" t="str">
        <f>'Data shares'!C173</f>
        <v>RVNL</v>
      </c>
      <c r="B178" s="50">
        <f>VLOOKUP($A178,'Data shares'!$C:$FB,7)</f>
        <v>357.4</v>
      </c>
      <c r="C178" s="50">
        <f>VLOOKUP($A178,'Data shares'!$C:$FB,10)*100</f>
        <v>-0.25</v>
      </c>
      <c r="D178" s="49">
        <f>VLOOKUP($A178,'Data shares'!$C:$FB,66)</f>
        <v>38892075</v>
      </c>
      <c r="E178" s="49">
        <f>VLOOKUP($A178,'Data shares'!$C:$FB,67)</f>
        <v>44438500</v>
      </c>
      <c r="F178" s="50">
        <f>VLOOKUP($A178,'Data shares'!$C:$FB,69)*100</f>
        <v>-12.479999999999999</v>
      </c>
      <c r="G178" s="49">
        <f>VLOOKUP($A178,'Data shares'!$C:$FB,42)</f>
        <v>8544575</v>
      </c>
      <c r="H178" s="49">
        <f>VLOOKUP($A178,'Data shares'!$C:$FB,43)</f>
        <v>6504125</v>
      </c>
      <c r="I178" s="50">
        <f>VLOOKUP($A178,'Data shares'!$C:$FB,45)*100</f>
        <v>31.369999999999997</v>
      </c>
      <c r="J178" s="49">
        <f>VLOOKUP($A178,'Data shares'!$C:$FB,58)</f>
        <v>23317250</v>
      </c>
      <c r="K178" s="49">
        <f>VLOOKUP($A178,'Data shares'!$C:$FB,59)</f>
        <v>29450800</v>
      </c>
      <c r="L178" s="50">
        <f>VLOOKUP($A178,'Data shares'!$C:$FB,61)*100</f>
        <v>-20.830000000000002</v>
      </c>
      <c r="M178" s="49">
        <f>VLOOKUP($A178,'Data shares'!$C:$FB,62)</f>
        <v>7030250</v>
      </c>
      <c r="N178" s="49">
        <f>VLOOKUP($A178,'Data shares'!$C:$FB,63)</f>
        <v>8483575</v>
      </c>
      <c r="O178" s="140">
        <f>VLOOKUP($A178,'Data shares'!$C:$FB,65)*100</f>
        <v>-17.130000000000003</v>
      </c>
    </row>
    <row r="179" spans="1:15" x14ac:dyDescent="0.25">
      <c r="A179" s="101" t="str">
        <f>'Data shares'!C174</f>
        <v>SAIL</v>
      </c>
      <c r="B179" s="50">
        <f>VLOOKUP($A179,'Data shares'!$C:$FB,7)</f>
        <v>150.37</v>
      </c>
      <c r="C179" s="50">
        <f>VLOOKUP($A179,'Data shares'!$C:$FB,10)*100</f>
        <v>2.68</v>
      </c>
      <c r="D179" s="49">
        <f>VLOOKUP($A179,'Data shares'!$C:$FB,66)</f>
        <v>3905700</v>
      </c>
      <c r="E179" s="49">
        <f>VLOOKUP($A179,'Data shares'!$C:$FB,67)</f>
        <v>7444800</v>
      </c>
      <c r="F179" s="50">
        <f>VLOOKUP($A179,'Data shares'!$C:$FB,69)*100</f>
        <v>-47.54</v>
      </c>
      <c r="G179" s="49">
        <f>VLOOKUP($A179,'Data shares'!$C:$FB,42)</f>
        <v>2016300</v>
      </c>
      <c r="H179" s="49">
        <f>VLOOKUP($A179,'Data shares'!$C:$FB,43)</f>
        <v>2711900</v>
      </c>
      <c r="I179" s="50">
        <f>VLOOKUP($A179,'Data shares'!$C:$FB,45)*100</f>
        <v>-25.650000000000002</v>
      </c>
      <c r="J179" s="49">
        <f>VLOOKUP($A179,'Data shares'!$C:$FB,58)</f>
        <v>968200</v>
      </c>
      <c r="K179" s="49">
        <f>VLOOKUP($A179,'Data shares'!$C:$FB,59)</f>
        <v>2335900</v>
      </c>
      <c r="L179" s="50">
        <f>VLOOKUP($A179,'Data shares'!$C:$FB,61)*100</f>
        <v>-58.550000000000004</v>
      </c>
      <c r="M179" s="49">
        <f>VLOOKUP($A179,'Data shares'!$C:$FB,62)</f>
        <v>921200</v>
      </c>
      <c r="N179" s="49">
        <f>VLOOKUP($A179,'Data shares'!$C:$FB,63)</f>
        <v>2397000</v>
      </c>
      <c r="O179" s="140">
        <f>VLOOKUP($A179,'Data shares'!$C:$FB,65)*100</f>
        <v>-61.57</v>
      </c>
    </row>
    <row r="180" spans="1:15" x14ac:dyDescent="0.25">
      <c r="A180" s="101" t="str">
        <f>'Data shares'!C175</f>
        <v>SAMMAANCAP</v>
      </c>
      <c r="B180" s="50">
        <f>VLOOKUP($A180,'Data shares'!$C:$FB,7)</f>
        <v>149.94999999999999</v>
      </c>
      <c r="C180" s="50">
        <f>VLOOKUP($A180,'Data shares'!$C:$FB,10)*100</f>
        <v>0.57000000000000006</v>
      </c>
      <c r="D180" s="49">
        <f>VLOOKUP($A180,'Data shares'!$C:$FB,66)</f>
        <v>1216900</v>
      </c>
      <c r="E180" s="49">
        <f>VLOOKUP($A180,'Data shares'!$C:$FB,67)</f>
        <v>5344900</v>
      </c>
      <c r="F180" s="50">
        <f>VLOOKUP($A180,'Data shares'!$C:$FB,69)*100</f>
        <v>-77.23</v>
      </c>
      <c r="G180" s="49">
        <f>VLOOKUP($A180,'Data shares'!$C:$FB,42)</f>
        <v>683700</v>
      </c>
      <c r="H180" s="49">
        <f>VLOOKUP($A180,'Data shares'!$C:$FB,43)</f>
        <v>2700400</v>
      </c>
      <c r="I180" s="50">
        <f>VLOOKUP($A180,'Data shares'!$C:$FB,45)*100</f>
        <v>-74.680000000000007</v>
      </c>
      <c r="J180" s="49">
        <f>VLOOKUP($A180,'Data shares'!$C:$FB,58)</f>
        <v>348300</v>
      </c>
      <c r="K180" s="49">
        <f>VLOOKUP($A180,'Data shares'!$C:$FB,59)</f>
        <v>1870500</v>
      </c>
      <c r="L180" s="50">
        <f>VLOOKUP($A180,'Data shares'!$C:$FB,61)*100</f>
        <v>-81.38</v>
      </c>
      <c r="M180" s="49">
        <f>VLOOKUP($A180,'Data shares'!$C:$FB,62)</f>
        <v>184900</v>
      </c>
      <c r="N180" s="49">
        <f>VLOOKUP($A180,'Data shares'!$C:$FB,63)</f>
        <v>774000</v>
      </c>
      <c r="O180" s="140">
        <f>VLOOKUP($A180,'Data shares'!$C:$FB,65)*100</f>
        <v>-76.11</v>
      </c>
    </row>
    <row r="181" spans="1:15" x14ac:dyDescent="0.25">
      <c r="A181" s="101" t="str">
        <f>'Data shares'!C176</f>
        <v>SBICARD</v>
      </c>
      <c r="B181" s="50">
        <f>VLOOKUP($A181,'Data shares'!$C:$FB,7)</f>
        <v>885.6</v>
      </c>
      <c r="C181" s="50">
        <f>VLOOKUP($A181,'Data shares'!$C:$FB,10)*100</f>
        <v>-1.77</v>
      </c>
      <c r="D181" s="49">
        <f>VLOOKUP($A181,'Data shares'!$C:$FB,66)</f>
        <v>13336000</v>
      </c>
      <c r="E181" s="49">
        <f>VLOOKUP($A181,'Data shares'!$C:$FB,67)</f>
        <v>27371200</v>
      </c>
      <c r="F181" s="50">
        <f>VLOOKUP($A181,'Data shares'!$C:$FB,69)*100</f>
        <v>-51.28</v>
      </c>
      <c r="G181" s="49">
        <f>VLOOKUP($A181,'Data shares'!$C:$FB,42)</f>
        <v>2699200</v>
      </c>
      <c r="H181" s="49">
        <f>VLOOKUP($A181,'Data shares'!$C:$FB,43)</f>
        <v>6167200</v>
      </c>
      <c r="I181" s="50">
        <f>VLOOKUP($A181,'Data shares'!$C:$FB,45)*100</f>
        <v>-56.230000000000004</v>
      </c>
      <c r="J181" s="49">
        <f>VLOOKUP($A181,'Data shares'!$C:$FB,58)</f>
        <v>7166400</v>
      </c>
      <c r="K181" s="49">
        <f>VLOOKUP($A181,'Data shares'!$C:$FB,59)</f>
        <v>15193600</v>
      </c>
      <c r="L181" s="50">
        <f>VLOOKUP($A181,'Data shares'!$C:$FB,61)*100</f>
        <v>-52.83</v>
      </c>
      <c r="M181" s="49">
        <f>VLOOKUP($A181,'Data shares'!$C:$FB,62)</f>
        <v>3470400</v>
      </c>
      <c r="N181" s="49">
        <f>VLOOKUP($A181,'Data shares'!$C:$FB,63)</f>
        <v>6010400</v>
      </c>
      <c r="O181" s="140">
        <f>VLOOKUP($A181,'Data shares'!$C:$FB,65)*100</f>
        <v>-42.26</v>
      </c>
    </row>
    <row r="182" spans="1:15" x14ac:dyDescent="0.25">
      <c r="A182" s="101" t="str">
        <f>'Data shares'!C177</f>
        <v>SBILIFE</v>
      </c>
      <c r="B182" s="50">
        <f>VLOOKUP($A182,'Data shares'!$C:$FB,7)</f>
        <v>2070.8000000000002</v>
      </c>
      <c r="C182" s="50">
        <f>VLOOKUP($A182,'Data shares'!$C:$FB,10)*100</f>
        <v>-1.1900000000000002</v>
      </c>
      <c r="D182" s="49">
        <f>VLOOKUP($A182,'Data shares'!$C:$FB,66)</f>
        <v>9691125</v>
      </c>
      <c r="E182" s="49">
        <f>VLOOKUP($A182,'Data shares'!$C:$FB,67)</f>
        <v>7821000</v>
      </c>
      <c r="F182" s="50">
        <f>VLOOKUP($A182,'Data shares'!$C:$FB,69)*100</f>
        <v>23.91</v>
      </c>
      <c r="G182" s="49">
        <f>VLOOKUP($A182,'Data shares'!$C:$FB,42)</f>
        <v>1576500</v>
      </c>
      <c r="H182" s="49">
        <f>VLOOKUP($A182,'Data shares'!$C:$FB,43)</f>
        <v>1012500</v>
      </c>
      <c r="I182" s="50">
        <f>VLOOKUP($A182,'Data shares'!$C:$FB,45)*100</f>
        <v>55.7</v>
      </c>
      <c r="J182" s="49">
        <f>VLOOKUP($A182,'Data shares'!$C:$FB,58)</f>
        <v>5925000</v>
      </c>
      <c r="K182" s="49">
        <f>VLOOKUP($A182,'Data shares'!$C:$FB,59)</f>
        <v>5011500</v>
      </c>
      <c r="L182" s="50">
        <f>VLOOKUP($A182,'Data shares'!$C:$FB,61)*100</f>
        <v>18.23</v>
      </c>
      <c r="M182" s="49">
        <f>VLOOKUP($A182,'Data shares'!$C:$FB,62)</f>
        <v>2189625</v>
      </c>
      <c r="N182" s="49">
        <f>VLOOKUP($A182,'Data shares'!$C:$FB,63)</f>
        <v>1797000</v>
      </c>
      <c r="O182" s="140">
        <f>VLOOKUP($A182,'Data shares'!$C:$FB,65)*100</f>
        <v>21.85</v>
      </c>
    </row>
    <row r="183" spans="1:15" x14ac:dyDescent="0.25">
      <c r="A183" s="101" t="str">
        <f>'Data shares'!C178</f>
        <v>SBIN</v>
      </c>
      <c r="B183" s="50">
        <f>VLOOKUP($A183,'Data shares'!$C:$FB,7)</f>
        <v>1007.15</v>
      </c>
      <c r="C183" s="50">
        <f>VLOOKUP($A183,'Data shares'!$C:$FB,10)*100</f>
        <v>-1.1499999999999999</v>
      </c>
      <c r="D183" s="49">
        <f>VLOOKUP($A183,'Data shares'!$C:$FB,66)</f>
        <v>129539250</v>
      </c>
      <c r="E183" s="49">
        <f>VLOOKUP($A183,'Data shares'!$C:$FB,67)</f>
        <v>169794750</v>
      </c>
      <c r="F183" s="50">
        <f>VLOOKUP($A183,'Data shares'!$C:$FB,69)*100</f>
        <v>-23.71</v>
      </c>
      <c r="G183" s="49">
        <f>VLOOKUP($A183,'Data shares'!$C:$FB,42)</f>
        <v>14262750</v>
      </c>
      <c r="H183" s="49">
        <f>VLOOKUP($A183,'Data shares'!$C:$FB,43)</f>
        <v>15252000</v>
      </c>
      <c r="I183" s="50">
        <f>VLOOKUP($A183,'Data shares'!$C:$FB,45)*100</f>
        <v>-6.49</v>
      </c>
      <c r="J183" s="49">
        <f>VLOOKUP($A183,'Data shares'!$C:$FB,58)</f>
        <v>65037750</v>
      </c>
      <c r="K183" s="49">
        <f>VLOOKUP($A183,'Data shares'!$C:$FB,59)</f>
        <v>97500750</v>
      </c>
      <c r="L183" s="50">
        <f>VLOOKUP($A183,'Data shares'!$C:$FB,61)*100</f>
        <v>-33.300000000000004</v>
      </c>
      <c r="M183" s="49">
        <f>VLOOKUP($A183,'Data shares'!$C:$FB,62)</f>
        <v>50238750</v>
      </c>
      <c r="N183" s="49">
        <f>VLOOKUP($A183,'Data shares'!$C:$FB,63)</f>
        <v>57042000</v>
      </c>
      <c r="O183" s="140">
        <f>VLOOKUP($A183,'Data shares'!$C:$FB,65)*100</f>
        <v>-11.93</v>
      </c>
    </row>
    <row r="184" spans="1:15" x14ac:dyDescent="0.25">
      <c r="A184" s="101" t="str">
        <f>'Data shares'!C179</f>
        <v>SHREECEM</v>
      </c>
      <c r="B184" s="50">
        <f>VLOOKUP($A184,'Data shares'!$C:$FB,7)</f>
        <v>27320</v>
      </c>
      <c r="C184" s="50">
        <f>VLOOKUP($A184,'Data shares'!$C:$FB,10)*100</f>
        <v>-1.26</v>
      </c>
      <c r="D184" s="49">
        <f>VLOOKUP($A184,'Data shares'!$C:$FB,66)</f>
        <v>119175</v>
      </c>
      <c r="E184" s="49">
        <f>VLOOKUP($A184,'Data shares'!$C:$FB,67)</f>
        <v>409050</v>
      </c>
      <c r="F184" s="50">
        <f>VLOOKUP($A184,'Data shares'!$C:$FB,69)*100</f>
        <v>-70.87</v>
      </c>
      <c r="G184" s="49">
        <f>VLOOKUP($A184,'Data shares'!$C:$FB,42)</f>
        <v>33175</v>
      </c>
      <c r="H184" s="49">
        <f>VLOOKUP($A184,'Data shares'!$C:$FB,43)</f>
        <v>93800</v>
      </c>
      <c r="I184" s="50">
        <f>VLOOKUP($A184,'Data shares'!$C:$FB,45)*100</f>
        <v>-64.63</v>
      </c>
      <c r="J184" s="49">
        <f>VLOOKUP($A184,'Data shares'!$C:$FB,58)</f>
        <v>48725</v>
      </c>
      <c r="K184" s="49">
        <f>VLOOKUP($A184,'Data shares'!$C:$FB,59)</f>
        <v>221125</v>
      </c>
      <c r="L184" s="50">
        <f>VLOOKUP($A184,'Data shares'!$C:$FB,61)*100</f>
        <v>-77.959999999999994</v>
      </c>
      <c r="M184" s="49">
        <f>VLOOKUP($A184,'Data shares'!$C:$FB,62)</f>
        <v>37275</v>
      </c>
      <c r="N184" s="49">
        <f>VLOOKUP($A184,'Data shares'!$C:$FB,63)</f>
        <v>94125</v>
      </c>
      <c r="O184" s="140">
        <f>VLOOKUP($A184,'Data shares'!$C:$FB,65)*100</f>
        <v>-60.4</v>
      </c>
    </row>
    <row r="185" spans="1:15" x14ac:dyDescent="0.25">
      <c r="A185" s="101" t="str">
        <f>'Data shares'!C180</f>
        <v>SHRIRAMFIN</v>
      </c>
      <c r="B185" s="50">
        <f>VLOOKUP($A185,'Data shares'!$C:$FB,7)</f>
        <v>995.85</v>
      </c>
      <c r="C185" s="50">
        <f>VLOOKUP($A185,'Data shares'!$C:$FB,10)*100</f>
        <v>-0.67999999999999994</v>
      </c>
      <c r="D185" s="49">
        <f>VLOOKUP($A185,'Data shares'!$C:$FB,66)</f>
        <v>20224050</v>
      </c>
      <c r="E185" s="49">
        <f>VLOOKUP($A185,'Data shares'!$C:$FB,67)</f>
        <v>25203750</v>
      </c>
      <c r="F185" s="50">
        <f>VLOOKUP($A185,'Data shares'!$C:$FB,69)*100</f>
        <v>-19.759999999999998</v>
      </c>
      <c r="G185" s="49">
        <f>VLOOKUP($A185,'Data shares'!$C:$FB,42)</f>
        <v>4269375</v>
      </c>
      <c r="H185" s="49">
        <f>VLOOKUP($A185,'Data shares'!$C:$FB,43)</f>
        <v>5671050</v>
      </c>
      <c r="I185" s="50">
        <f>VLOOKUP($A185,'Data shares'!$C:$FB,45)*100</f>
        <v>-24.72</v>
      </c>
      <c r="J185" s="49">
        <f>VLOOKUP($A185,'Data shares'!$C:$FB,58)</f>
        <v>9929700</v>
      </c>
      <c r="K185" s="49">
        <f>VLOOKUP($A185,'Data shares'!$C:$FB,59)</f>
        <v>12096150</v>
      </c>
      <c r="L185" s="50">
        <f>VLOOKUP($A185,'Data shares'!$C:$FB,61)*100</f>
        <v>-17.91</v>
      </c>
      <c r="M185" s="49">
        <f>VLOOKUP($A185,'Data shares'!$C:$FB,62)</f>
        <v>6024975</v>
      </c>
      <c r="N185" s="49">
        <f>VLOOKUP($A185,'Data shares'!$C:$FB,63)</f>
        <v>7436550</v>
      </c>
      <c r="O185" s="140">
        <f>VLOOKUP($A185,'Data shares'!$C:$FB,65)*100</f>
        <v>-18.98</v>
      </c>
    </row>
    <row r="186" spans="1:15" x14ac:dyDescent="0.25">
      <c r="A186" s="101" t="str">
        <f>'Data shares'!C181</f>
        <v>SIEMENS</v>
      </c>
      <c r="B186" s="50">
        <f>VLOOKUP($A186,'Data shares'!$C:$FB,7)</f>
        <v>3133.6</v>
      </c>
      <c r="C186" s="50">
        <f>VLOOKUP($A186,'Data shares'!$C:$FB,10)*100</f>
        <v>0.18</v>
      </c>
      <c r="D186" s="49">
        <f>VLOOKUP($A186,'Data shares'!$C:$FB,66)</f>
        <v>2667875</v>
      </c>
      <c r="E186" s="49">
        <f>VLOOKUP($A186,'Data shares'!$C:$FB,67)</f>
        <v>3094700</v>
      </c>
      <c r="F186" s="50">
        <f>VLOOKUP($A186,'Data shares'!$C:$FB,69)*100</f>
        <v>-13.79</v>
      </c>
      <c r="G186" s="49">
        <f>VLOOKUP($A186,'Data shares'!$C:$FB,42)</f>
        <v>333900</v>
      </c>
      <c r="H186" s="49">
        <f>VLOOKUP($A186,'Data shares'!$C:$FB,43)</f>
        <v>473550</v>
      </c>
      <c r="I186" s="50">
        <f>VLOOKUP($A186,'Data shares'!$C:$FB,45)*100</f>
        <v>-29.49</v>
      </c>
      <c r="J186" s="49">
        <f>VLOOKUP($A186,'Data shares'!$C:$FB,58)</f>
        <v>1666175</v>
      </c>
      <c r="K186" s="49">
        <f>VLOOKUP($A186,'Data shares'!$C:$FB,59)</f>
        <v>1853425</v>
      </c>
      <c r="L186" s="50">
        <f>VLOOKUP($A186,'Data shares'!$C:$FB,61)*100</f>
        <v>-10.100000000000001</v>
      </c>
      <c r="M186" s="49">
        <f>VLOOKUP($A186,'Data shares'!$C:$FB,62)</f>
        <v>667800</v>
      </c>
      <c r="N186" s="49">
        <f>VLOOKUP($A186,'Data shares'!$C:$FB,63)</f>
        <v>767725</v>
      </c>
      <c r="O186" s="140">
        <f>VLOOKUP($A186,'Data shares'!$C:$FB,65)*100</f>
        <v>-13.020000000000001</v>
      </c>
    </row>
    <row r="187" spans="1:15" x14ac:dyDescent="0.25">
      <c r="A187" s="101" t="str">
        <f>'Data shares'!C182</f>
        <v>SOLARINDS</v>
      </c>
      <c r="B187" s="50">
        <f>VLOOKUP($A187,'Data shares'!$C:$FB,7)</f>
        <v>13328</v>
      </c>
      <c r="C187" s="50">
        <f>VLOOKUP($A187,'Data shares'!$C:$FB,10)*100</f>
        <v>3.6700000000000004</v>
      </c>
      <c r="D187" s="49">
        <f>VLOOKUP($A187,'Data shares'!$C:$FB,66)</f>
        <v>3124050</v>
      </c>
      <c r="E187" s="49">
        <f>VLOOKUP($A187,'Data shares'!$C:$FB,67)</f>
        <v>738350</v>
      </c>
      <c r="F187" s="50">
        <f>VLOOKUP($A187,'Data shares'!$C:$FB,69)*100</f>
        <v>323.11</v>
      </c>
      <c r="G187" s="49">
        <f>VLOOKUP($A187,'Data shares'!$C:$FB,42)</f>
        <v>294150</v>
      </c>
      <c r="H187" s="49">
        <f>VLOOKUP($A187,'Data shares'!$C:$FB,43)</f>
        <v>100400</v>
      </c>
      <c r="I187" s="50">
        <f>VLOOKUP($A187,'Data shares'!$C:$FB,45)*100</f>
        <v>192.98</v>
      </c>
      <c r="J187" s="49">
        <f>VLOOKUP($A187,'Data shares'!$C:$FB,58)</f>
        <v>2282950</v>
      </c>
      <c r="K187" s="49">
        <f>VLOOKUP($A187,'Data shares'!$C:$FB,59)</f>
        <v>466450</v>
      </c>
      <c r="L187" s="50">
        <f>VLOOKUP($A187,'Data shares'!$C:$FB,61)*100</f>
        <v>389.43</v>
      </c>
      <c r="M187" s="49">
        <f>VLOOKUP($A187,'Data shares'!$C:$FB,62)</f>
        <v>546950</v>
      </c>
      <c r="N187" s="49">
        <f>VLOOKUP($A187,'Data shares'!$C:$FB,63)</f>
        <v>171500</v>
      </c>
      <c r="O187" s="140">
        <f>VLOOKUP($A187,'Data shares'!$C:$FB,65)*100</f>
        <v>218.92000000000002</v>
      </c>
    </row>
    <row r="188" spans="1:15" x14ac:dyDescent="0.25">
      <c r="A188" s="101" t="str">
        <f>'Data shares'!C183</f>
        <v>SONACOMS</v>
      </c>
      <c r="B188" s="50">
        <f>VLOOKUP($A188,'Data shares'!$C:$FB,7)</f>
        <v>473.8</v>
      </c>
      <c r="C188" s="50">
        <f>VLOOKUP($A188,'Data shares'!$C:$FB,10)*100</f>
        <v>-0.55999999999999994</v>
      </c>
      <c r="D188" s="49">
        <f>VLOOKUP($A188,'Data shares'!$C:$FB,66)</f>
        <v>4826500</v>
      </c>
      <c r="E188" s="49">
        <f>VLOOKUP($A188,'Data shares'!$C:$FB,67)</f>
        <v>8129100</v>
      </c>
      <c r="F188" s="50">
        <f>VLOOKUP($A188,'Data shares'!$C:$FB,69)*100</f>
        <v>-40.630000000000003</v>
      </c>
      <c r="G188" s="49">
        <f>VLOOKUP($A188,'Data shares'!$C:$FB,42)</f>
        <v>1482250</v>
      </c>
      <c r="H188" s="49">
        <f>VLOOKUP($A188,'Data shares'!$C:$FB,43)</f>
        <v>2538200</v>
      </c>
      <c r="I188" s="50">
        <f>VLOOKUP($A188,'Data shares'!$C:$FB,45)*100</f>
        <v>-41.6</v>
      </c>
      <c r="J188" s="49">
        <f>VLOOKUP($A188,'Data shares'!$C:$FB,58)</f>
        <v>2140075</v>
      </c>
      <c r="K188" s="49">
        <f>VLOOKUP($A188,'Data shares'!$C:$FB,59)</f>
        <v>3601500</v>
      </c>
      <c r="L188" s="50">
        <f>VLOOKUP($A188,'Data shares'!$C:$FB,61)*100</f>
        <v>-40.58</v>
      </c>
      <c r="M188" s="49">
        <f>VLOOKUP($A188,'Data shares'!$C:$FB,62)</f>
        <v>1204175</v>
      </c>
      <c r="N188" s="49">
        <f>VLOOKUP($A188,'Data shares'!$C:$FB,63)</f>
        <v>1989400</v>
      </c>
      <c r="O188" s="140">
        <f>VLOOKUP($A188,'Data shares'!$C:$FB,65)*100</f>
        <v>-39.47</v>
      </c>
    </row>
    <row r="189" spans="1:15" x14ac:dyDescent="0.25">
      <c r="A189" s="101" t="str">
        <f>'Data shares'!C215</f>
        <v>ZYDUSLIFE</v>
      </c>
      <c r="B189" s="50">
        <f>VLOOKUP($A189,'Data shares'!$C:$FB,7)</f>
        <v>927.55</v>
      </c>
      <c r="C189" s="50">
        <f>VLOOKUP($A189,'Data shares'!$C:$FB,10)*100</f>
        <v>-0.38</v>
      </c>
      <c r="D189" s="49">
        <f>VLOOKUP($A189,'Data shares'!$C:$FB,66)</f>
        <v>12229200</v>
      </c>
      <c r="E189" s="49">
        <f>VLOOKUP($A189,'Data shares'!$C:$FB,67)</f>
        <v>9478800</v>
      </c>
      <c r="F189" s="50">
        <f>VLOOKUP($A189,'Data shares'!$C:$FB,69)*100</f>
        <v>29.020000000000003</v>
      </c>
      <c r="G189" s="49">
        <f>VLOOKUP($A189,'Data shares'!$C:$FB,42)</f>
        <v>2389500</v>
      </c>
      <c r="H189" s="49">
        <f>VLOOKUP($A189,'Data shares'!$C:$FB,43)</f>
        <v>1607400</v>
      </c>
      <c r="I189" s="50">
        <f>VLOOKUP($A189,'Data shares'!$C:$FB,45)*100</f>
        <v>48.66</v>
      </c>
      <c r="J189" s="49">
        <f>VLOOKUP($A189,'Data shares'!$C:$FB,58)</f>
        <v>6742800</v>
      </c>
      <c r="K189" s="49">
        <f>VLOOKUP($A189,'Data shares'!$C:$FB,59)</f>
        <v>6529500</v>
      </c>
      <c r="L189" s="50">
        <f>VLOOKUP($A189,'Data shares'!$C:$FB,61)*100</f>
        <v>3.27</v>
      </c>
      <c r="M189" s="49">
        <f>VLOOKUP($A189,'Data shares'!$C:$FB,62)</f>
        <v>3096900</v>
      </c>
      <c r="N189" s="49">
        <f>VLOOKUP($A189,'Data shares'!$C:$FB,63)</f>
        <v>1341900</v>
      </c>
      <c r="O189" s="140">
        <f>VLOOKUP($A189,'Data shares'!$C:$FB,65)*100</f>
        <v>130.78</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12872520744</v>
      </c>
      <c r="E209" s="133">
        <f>SUM(E7:E172)</f>
        <v>31700725944</v>
      </c>
      <c r="F209" s="134">
        <f>(D209-E209)/E209</f>
        <v>-0.59393608945298038</v>
      </c>
      <c r="G209" s="133">
        <f>SUM(G7:G172)</f>
        <v>1690745235</v>
      </c>
      <c r="H209" s="133">
        <f>SUM(H7:H172)</f>
        <v>1900518256</v>
      </c>
      <c r="I209" s="134">
        <f>(G209-H209)/H209</f>
        <v>-0.11037674609951234</v>
      </c>
      <c r="J209" s="133">
        <f>SUM(J7:J172)</f>
        <v>7022521968</v>
      </c>
      <c r="K209" s="133">
        <f>SUM(K7:K172)</f>
        <v>16158795324</v>
      </c>
      <c r="L209" s="134">
        <f>(J209-K209)/K209</f>
        <v>-0.56540559941558677</v>
      </c>
      <c r="M209" s="133">
        <f>SUM(M7:M172)</f>
        <v>4159253541</v>
      </c>
      <c r="N209" s="133">
        <f>SUM(N7:N172)</f>
        <v>13641412364</v>
      </c>
      <c r="O209" s="134">
        <f>(M209-N209)/N209</f>
        <v>-0.6951009594888895</v>
      </c>
    </row>
    <row r="210" spans="1:15" x14ac:dyDescent="0.25">
      <c r="A210" s="133" t="s">
        <v>398</v>
      </c>
      <c r="B210" s="133"/>
      <c r="C210" s="133"/>
      <c r="D210" s="133">
        <f>D209/10000000</f>
        <v>1287.2520744000001</v>
      </c>
      <c r="E210" s="133">
        <f>E209/10000000</f>
        <v>3170.0725944000001</v>
      </c>
      <c r="F210" s="134">
        <f>(D210-E210)/E210</f>
        <v>-0.59393608945298038</v>
      </c>
      <c r="G210" s="133">
        <f>G209/10000000</f>
        <v>169.0745235</v>
      </c>
      <c r="H210" s="133">
        <f>H209/10000000</f>
        <v>190.0518256</v>
      </c>
      <c r="I210" s="134">
        <f>(G210-H210)/H210</f>
        <v>-0.11037674609951235</v>
      </c>
      <c r="J210" s="133">
        <f>J209/10000000</f>
        <v>702.25219679999998</v>
      </c>
      <c r="K210" s="133">
        <f>K209/10000000</f>
        <v>1615.8795324</v>
      </c>
      <c r="L210" s="134">
        <f>(J210-K210)/K210</f>
        <v>-0.56540559941558677</v>
      </c>
      <c r="M210" s="133">
        <f>M209/10000000</f>
        <v>415.92535409999999</v>
      </c>
      <c r="N210" s="133">
        <f>N209/10000000</f>
        <v>1364.1412364</v>
      </c>
      <c r="O210" s="134">
        <f>(M210-N210)/N210</f>
        <v>-0.69510095948888939</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46029</v>
      </c>
      <c r="C6" s="76" t="s">
        <v>322</v>
      </c>
      <c r="D6" s="76" t="s">
        <v>328</v>
      </c>
      <c r="E6" s="3">
        <f>B6</f>
        <v>46029</v>
      </c>
      <c r="F6" s="76" t="s">
        <v>322</v>
      </c>
      <c r="G6" s="76" t="s">
        <v>328</v>
      </c>
      <c r="H6" s="3">
        <f>E6</f>
        <v>46029</v>
      </c>
      <c r="I6" s="76" t="s">
        <v>333</v>
      </c>
      <c r="J6" s="3">
        <f>E6</f>
        <v>46029</v>
      </c>
      <c r="K6" s="76" t="s">
        <v>333</v>
      </c>
      <c r="L6" s="3">
        <f>E6</f>
        <v>46029</v>
      </c>
      <c r="M6" s="76" t="s">
        <v>333</v>
      </c>
      <c r="N6" s="3">
        <f>E6</f>
        <v>46029</v>
      </c>
      <c r="O6" s="76" t="s">
        <v>333</v>
      </c>
    </row>
    <row r="7" spans="1:19" x14ac:dyDescent="0.25">
      <c r="A7" s="105" t="str">
        <f>'Data shares'!C2</f>
        <v>360ONE</v>
      </c>
      <c r="B7" s="143">
        <f>VLOOKUP($A7,'Data shares'!$C:$FA,118)</f>
        <v>0.54</v>
      </c>
      <c r="C7" s="143">
        <f>VLOOKUP($A7,'Data shares'!$C:$FA,119)</f>
        <v>0.55000000000000004</v>
      </c>
      <c r="D7" s="143">
        <f>VLOOKUP($A7,'Data shares'!$C:$FA,121)*100</f>
        <v>-1.82</v>
      </c>
      <c r="E7" s="143">
        <f>VLOOKUP($A7,'Data shares'!$C:$FA,124)</f>
        <v>0.59</v>
      </c>
      <c r="F7" s="143">
        <f>VLOOKUP($A7,'Data shares'!$C:$FA,125)</f>
        <v>0.33</v>
      </c>
      <c r="G7" s="143">
        <f>VLOOKUP($A7,'Data shares'!$C:$FA,127)*100</f>
        <v>78.790000000000006</v>
      </c>
      <c r="H7" s="103">
        <f>VLOOKUP($A7,'OI(Volume)'!$A$7:$O$427,8)</f>
        <v>1036000</v>
      </c>
      <c r="I7" s="103">
        <f>VLOOKUP($A7,'OI(Volume)'!$A$7:$O$427,9)</f>
        <v>2500</v>
      </c>
      <c r="J7" s="103">
        <f>VLOOKUP($A7,'OI(Volume)'!$A$7:$O$427,11)</f>
        <v>557000</v>
      </c>
      <c r="K7" s="103">
        <f>VLOOKUP($A7,'OI(Volume)'!$A$7:$O$427,12)</f>
        <v>-11500</v>
      </c>
      <c r="L7" s="103">
        <f>VLOOKUP($A7,'OI(Value)'!$A$7:$O$306,8,0)</f>
        <v>124</v>
      </c>
      <c r="M7" s="103">
        <f>VLOOKUP($A7,'OI(Value)'!$A$7:$O$306,9,0)</f>
        <v>0</v>
      </c>
      <c r="N7" s="103">
        <f>VLOOKUP($A7,'OI(Value)'!$A$7:$O$306,11,0)</f>
        <v>67</v>
      </c>
      <c r="O7" s="103">
        <f>VLOOKUP($A7,'OI(Value)'!$A$7:$O$306,12,0)</f>
        <v>-1</v>
      </c>
      <c r="P7" s="179">
        <f>VLOOKUP(A7,'OI(Value)'!A7:O182,8,0)</f>
        <v>124</v>
      </c>
      <c r="Q7" s="179">
        <f>VLOOKUP(A7,'OI(Value)'!A7:O182,9,0)</f>
        <v>0</v>
      </c>
      <c r="R7" s="179">
        <f>VLOOKUP(A7,'OI(Value)'!A7:O182,11,0)</f>
        <v>67</v>
      </c>
      <c r="S7" s="179">
        <f>VLOOKUP(A7,'OI(Value)'!A7:O182,12,0)</f>
        <v>-1</v>
      </c>
    </row>
    <row r="8" spans="1:19" x14ac:dyDescent="0.25">
      <c r="A8" s="105" t="str">
        <f>'Data shares'!C3</f>
        <v>ABB</v>
      </c>
      <c r="B8" s="143">
        <f>VLOOKUP($A8,'Data shares'!$C:$FA,118)</f>
        <v>0.65</v>
      </c>
      <c r="C8" s="143">
        <f>VLOOKUP($A8,'Data shares'!$C:$FA,119)</f>
        <v>0.84</v>
      </c>
      <c r="D8" s="143">
        <f>VLOOKUP($A8,'Data shares'!$C:$FA,121)*100</f>
        <v>-22.62</v>
      </c>
      <c r="E8" s="143">
        <f>VLOOKUP($A8,'Data shares'!$C:$FA,124)</f>
        <v>0.22</v>
      </c>
      <c r="F8" s="143">
        <f>VLOOKUP($A8,'Data shares'!$C:$FA,125)</f>
        <v>0.2</v>
      </c>
      <c r="G8" s="143">
        <f>VLOOKUP($A8,'Data shares'!$C:$FA,127)*100</f>
        <v>10</v>
      </c>
      <c r="H8" s="103">
        <f>VLOOKUP($A8,'OI(Volume)'!$A$7:$O$427,8)</f>
        <v>782500</v>
      </c>
      <c r="I8" s="103">
        <f>VLOOKUP($A8,'OI(Volume)'!$A$7:$O$427,9)</f>
        <v>220250</v>
      </c>
      <c r="J8" s="103">
        <f>VLOOKUP($A8,'OI(Volume)'!$A$7:$O$427,11)</f>
        <v>507875</v>
      </c>
      <c r="K8" s="103">
        <f>VLOOKUP($A8,'OI(Volume)'!$A$7:$O$427,12)</f>
        <v>36875</v>
      </c>
      <c r="L8" s="103">
        <f>VLOOKUP($A8,'OI(Value)'!$A$7:$O$306,8,0)</f>
        <v>416</v>
      </c>
      <c r="M8" s="103">
        <f>VLOOKUP($A8,'OI(Value)'!$A$7:$O$306,9,0)</f>
        <v>117</v>
      </c>
      <c r="N8" s="103">
        <f>VLOOKUP($A8,'OI(Value)'!$A$7:$O$306,11,0)</f>
        <v>270</v>
      </c>
      <c r="O8" s="103">
        <f>VLOOKUP($A8,'OI(Value)'!$A$7:$O$306,12,0)</f>
        <v>20</v>
      </c>
      <c r="P8" s="179">
        <f>VLOOKUP(A8,'OI(Value)'!A8:O209,8,0)</f>
        <v>416</v>
      </c>
      <c r="Q8" s="179">
        <f>VLOOKUP(A8,'OI(Value)'!A8:O209,9,0)</f>
        <v>117</v>
      </c>
      <c r="R8" s="179">
        <f>VLOOKUP(A8,'OI(Value)'!A8:O209,11,0)</f>
        <v>270</v>
      </c>
      <c r="S8" s="179">
        <f>VLOOKUP(A8,'OI(Value)'!A8:O209,11,0)</f>
        <v>270</v>
      </c>
    </row>
    <row r="9" spans="1:19" x14ac:dyDescent="0.25">
      <c r="A9" s="105" t="str">
        <f>'Data shares'!C4</f>
        <v>ABCAPITAL</v>
      </c>
      <c r="B9" s="143">
        <f>VLOOKUP($A9,'Data shares'!$C:$FA,118)</f>
        <v>0.46</v>
      </c>
      <c r="C9" s="143">
        <f>VLOOKUP($A9,'Data shares'!$C:$FA,119)</f>
        <v>0.43</v>
      </c>
      <c r="D9" s="143">
        <f>VLOOKUP($A9,'Data shares'!$C:$FA,121)*100</f>
        <v>6.98</v>
      </c>
      <c r="E9" s="143">
        <f>VLOOKUP($A9,'Data shares'!$C:$FA,124)</f>
        <v>0.33</v>
      </c>
      <c r="F9" s="143">
        <f>VLOOKUP($A9,'Data shares'!$C:$FA,125)</f>
        <v>0.27</v>
      </c>
      <c r="G9" s="143">
        <f>VLOOKUP($A9,'Data shares'!$C:$FA,127)*100</f>
        <v>22.220000000000002</v>
      </c>
      <c r="H9" s="103">
        <f>VLOOKUP($A9,'OI(Volume)'!$A$7:$O$427,8)</f>
        <v>24350500</v>
      </c>
      <c r="I9" s="103">
        <f>VLOOKUP($A9,'OI(Volume)'!$A$7:$O$427,9)</f>
        <v>-589000</v>
      </c>
      <c r="J9" s="103">
        <f>VLOOKUP($A9,'OI(Volume)'!$A$7:$O$427,11)</f>
        <v>11098000</v>
      </c>
      <c r="K9" s="103">
        <f>VLOOKUP($A9,'OI(Volume)'!$A$7:$O$427,12)</f>
        <v>455700</v>
      </c>
      <c r="L9" s="103">
        <f>VLOOKUP($A9,'OI(Value)'!$A$7:$O$306,8,0)</f>
        <v>883</v>
      </c>
      <c r="M9" s="103">
        <f>VLOOKUP($A9,'OI(Value)'!$A$7:$O$306,9,0)</f>
        <v>-21</v>
      </c>
      <c r="N9" s="103">
        <f>VLOOKUP($A9,'OI(Value)'!$A$7:$O$306,11,0)</f>
        <v>402</v>
      </c>
      <c r="O9" s="103">
        <f>VLOOKUP($A9,'OI(Value)'!$A$7:$O$306,12,0)</f>
        <v>17</v>
      </c>
      <c r="P9" s="179">
        <f>VLOOKUP(A9,'OI(Value)'!A9:O210,8,0)</f>
        <v>883</v>
      </c>
      <c r="Q9" s="179">
        <f>VLOOKUP(A9,'OI(Value)'!A9:O210,9,0)</f>
        <v>-21</v>
      </c>
      <c r="R9" s="179">
        <f>VLOOKUP(A9,'OI(Value)'!A9:O210,11,0)</f>
        <v>402</v>
      </c>
      <c r="S9" s="179">
        <f>VLOOKUP(A9,'OI(Value)'!A9:O210,11,0)</f>
        <v>402</v>
      </c>
    </row>
    <row r="10" spans="1:19" x14ac:dyDescent="0.25">
      <c r="A10" s="105" t="str">
        <f>'Data shares'!C5</f>
        <v>ADANIENSOL</v>
      </c>
      <c r="B10" s="143">
        <f>VLOOKUP($A10,'Data shares'!$C:$FA,118)</f>
        <v>0.57999999999999996</v>
      </c>
      <c r="C10" s="143">
        <f>VLOOKUP($A10,'Data shares'!$C:$FA,119)</f>
        <v>0.59</v>
      </c>
      <c r="D10" s="143">
        <f>VLOOKUP($A10,'Data shares'!$C:$FA,121)*100</f>
        <v>-1.69</v>
      </c>
      <c r="E10" s="143">
        <f>VLOOKUP($A10,'Data shares'!$C:$FA,124)</f>
        <v>0.23</v>
      </c>
      <c r="F10" s="143">
        <f>VLOOKUP($A10,'Data shares'!$C:$FA,125)</f>
        <v>0.55000000000000004</v>
      </c>
      <c r="G10" s="143">
        <f>VLOOKUP($A10,'Data shares'!$C:$FA,127)*100</f>
        <v>-58.18</v>
      </c>
      <c r="H10" s="103">
        <f>VLOOKUP($A10,'OI(Volume)'!$A$7:$O$427,8)</f>
        <v>3604500</v>
      </c>
      <c r="I10" s="103">
        <f>VLOOKUP($A10,'OI(Volume)'!$A$7:$O$427,9)</f>
        <v>86400</v>
      </c>
      <c r="J10" s="103">
        <f>VLOOKUP($A10,'OI(Volume)'!$A$7:$O$427,11)</f>
        <v>2098575</v>
      </c>
      <c r="K10" s="103">
        <f>VLOOKUP($A10,'OI(Volume)'!$A$7:$O$427,12)</f>
        <v>22950</v>
      </c>
      <c r="L10" s="103">
        <f>VLOOKUP($A10,'OI(Value)'!$A$7:$O$306,8,0)</f>
        <v>373</v>
      </c>
      <c r="M10" s="103">
        <f>VLOOKUP($A10,'OI(Value)'!$A$7:$O$306,9,0)</f>
        <v>9</v>
      </c>
      <c r="N10" s="103">
        <f>VLOOKUP($A10,'OI(Value)'!$A$7:$O$306,11,0)</f>
        <v>217</v>
      </c>
      <c r="O10" s="103">
        <f>VLOOKUP($A10,'OI(Value)'!$A$7:$O$306,12,0)</f>
        <v>2</v>
      </c>
      <c r="P10" s="179">
        <f>VLOOKUP(A10,'OI(Value)'!A10:O211,8,0)</f>
        <v>373</v>
      </c>
      <c r="Q10" s="179">
        <f>VLOOKUP(A10,'OI(Value)'!A10:O211,9,0)</f>
        <v>9</v>
      </c>
      <c r="R10" s="179">
        <f>VLOOKUP(A10,'OI(Value)'!A10:O211,11,0)</f>
        <v>217</v>
      </c>
      <c r="S10" s="179">
        <f>VLOOKUP(A10,'OI(Value)'!A10:O211,11,0)</f>
        <v>217</v>
      </c>
    </row>
    <row r="11" spans="1:19" x14ac:dyDescent="0.25">
      <c r="A11" s="105" t="str">
        <f>'Data shares'!C6</f>
        <v>ADANIENT</v>
      </c>
      <c r="B11" s="143">
        <f>VLOOKUP($A11,'Data shares'!$C:$FA,118)</f>
        <v>0.85</v>
      </c>
      <c r="C11" s="143">
        <f>VLOOKUP($A11,'Data shares'!$C:$FA,119)</f>
        <v>0.86</v>
      </c>
      <c r="D11" s="143">
        <f>VLOOKUP($A11,'Data shares'!$C:$FA,121)*100</f>
        <v>-1.1599999999999999</v>
      </c>
      <c r="E11" s="143">
        <f>VLOOKUP($A11,'Data shares'!$C:$FA,124)</f>
        <v>0.41</v>
      </c>
      <c r="F11" s="143">
        <f>VLOOKUP($A11,'Data shares'!$C:$FA,125)</f>
        <v>0.75</v>
      </c>
      <c r="G11" s="143">
        <f>VLOOKUP($A11,'Data shares'!$C:$FA,127)*100</f>
        <v>-45.33</v>
      </c>
      <c r="H11" s="103">
        <f>VLOOKUP($A11,'OI(Volume)'!$A$7:$O$427,8)</f>
        <v>6997305</v>
      </c>
      <c r="I11" s="103">
        <f>VLOOKUP($A11,'OI(Volume)'!$A$7:$O$427,9)</f>
        <v>260487</v>
      </c>
      <c r="J11" s="103">
        <f>VLOOKUP($A11,'OI(Volume)'!$A$7:$O$427,11)</f>
        <v>5915805</v>
      </c>
      <c r="K11" s="103">
        <f>VLOOKUP($A11,'OI(Volume)'!$A$7:$O$427,12)</f>
        <v>95790</v>
      </c>
      <c r="L11" s="103">
        <f>VLOOKUP($A11,'OI(Value)'!$A$7:$O$306,8,0)</f>
        <v>1598</v>
      </c>
      <c r="M11" s="103">
        <f>VLOOKUP($A11,'OI(Value)'!$A$7:$O$306,9,0)</f>
        <v>59</v>
      </c>
      <c r="N11" s="103">
        <f>VLOOKUP($A11,'OI(Value)'!$A$7:$O$306,11,0)</f>
        <v>1351</v>
      </c>
      <c r="O11" s="103">
        <f>VLOOKUP($A11,'OI(Value)'!$A$7:$O$306,12,0)</f>
        <v>22</v>
      </c>
      <c r="P11" s="179">
        <f>VLOOKUP(A11,'OI(Value)'!A11:O212,8,0)</f>
        <v>1598</v>
      </c>
      <c r="Q11" s="179">
        <f>VLOOKUP(A11,'OI(Value)'!A11:O212,9,0)</f>
        <v>59</v>
      </c>
      <c r="R11" s="179">
        <f>VLOOKUP(A11,'OI(Value)'!A11:O212,11,0)</f>
        <v>1351</v>
      </c>
      <c r="S11" s="179">
        <f>VLOOKUP(A11,'OI(Value)'!A11:O212,11,0)</f>
        <v>1351</v>
      </c>
    </row>
    <row r="12" spans="1:19" x14ac:dyDescent="0.25">
      <c r="A12" s="105" t="str">
        <f>'Data shares'!C7</f>
        <v>ADANIGREEN</v>
      </c>
      <c r="B12" s="143">
        <f>VLOOKUP($A12,'Data shares'!$C:$FA,118)</f>
        <v>0.6</v>
      </c>
      <c r="C12" s="143">
        <f>VLOOKUP($A12,'Data shares'!$C:$FA,119)</f>
        <v>0.61</v>
      </c>
      <c r="D12" s="143">
        <f>VLOOKUP($A12,'Data shares'!$C:$FA,121)*100</f>
        <v>-1.6400000000000001</v>
      </c>
      <c r="E12" s="143">
        <f>VLOOKUP($A12,'Data shares'!$C:$FA,124)</f>
        <v>0.24</v>
      </c>
      <c r="F12" s="143">
        <f>VLOOKUP($A12,'Data shares'!$C:$FA,125)</f>
        <v>0.34</v>
      </c>
      <c r="G12" s="143">
        <f>VLOOKUP($A12,'Data shares'!$C:$FA,127)*100</f>
        <v>-29.409999999999997</v>
      </c>
      <c r="H12" s="103">
        <f>VLOOKUP($A12,'OI(Volume)'!$A$7:$O$427,8)</f>
        <v>6669000</v>
      </c>
      <c r="I12" s="103">
        <f>VLOOKUP($A12,'OI(Volume)'!$A$7:$O$427,9)</f>
        <v>204000</v>
      </c>
      <c r="J12" s="103">
        <f>VLOOKUP($A12,'OI(Volume)'!$A$7:$O$427,11)</f>
        <v>4022400</v>
      </c>
      <c r="K12" s="103">
        <f>VLOOKUP($A12,'OI(Volume)'!$A$7:$O$427,12)</f>
        <v>85800</v>
      </c>
      <c r="L12" s="103">
        <f>VLOOKUP($A12,'OI(Value)'!$A$7:$O$306,8,0)</f>
        <v>682</v>
      </c>
      <c r="M12" s="103">
        <f>VLOOKUP($A12,'OI(Value)'!$A$7:$O$306,9,0)</f>
        <v>21</v>
      </c>
      <c r="N12" s="103">
        <f>VLOOKUP($A12,'OI(Value)'!$A$7:$O$306,11,0)</f>
        <v>411</v>
      </c>
      <c r="O12" s="103">
        <f>VLOOKUP($A12,'OI(Value)'!$A$7:$O$306,12,0)</f>
        <v>9</v>
      </c>
      <c r="P12" s="179">
        <f>VLOOKUP(A12,'OI(Value)'!A12:O213,8,0)</f>
        <v>682</v>
      </c>
      <c r="Q12" s="179">
        <f>VLOOKUP(A12,'OI(Value)'!A12:O213,9,0)</f>
        <v>21</v>
      </c>
      <c r="R12" s="179">
        <f>VLOOKUP(A12,'OI(Value)'!A12:O213,11,0)</f>
        <v>411</v>
      </c>
      <c r="S12" s="179">
        <f>VLOOKUP(A12,'OI(Value)'!A12:O213,11,0)</f>
        <v>411</v>
      </c>
    </row>
    <row r="13" spans="1:19" x14ac:dyDescent="0.25">
      <c r="A13" s="105" t="str">
        <f>'Data shares'!C8</f>
        <v>ADANIPORTS</v>
      </c>
      <c r="B13" s="143">
        <f>VLOOKUP($A13,'Data shares'!$C:$FA,118)</f>
        <v>0.72</v>
      </c>
      <c r="C13" s="143">
        <f>VLOOKUP($A13,'Data shares'!$C:$FA,119)</f>
        <v>0.75</v>
      </c>
      <c r="D13" s="143">
        <f>VLOOKUP($A13,'Data shares'!$C:$FA,121)*100</f>
        <v>-4</v>
      </c>
      <c r="E13" s="143">
        <f>VLOOKUP($A13,'Data shares'!$C:$FA,124)</f>
        <v>0.59</v>
      </c>
      <c r="F13" s="143">
        <f>VLOOKUP($A13,'Data shares'!$C:$FA,125)</f>
        <v>0.59</v>
      </c>
      <c r="G13" s="143">
        <f>VLOOKUP($A13,'Data shares'!$C:$FA,127)*100</f>
        <v>0</v>
      </c>
      <c r="H13" s="103">
        <f>VLOOKUP($A13,'OI(Volume)'!$A$7:$O$427,8)</f>
        <v>6432925</v>
      </c>
      <c r="I13" s="103">
        <f>VLOOKUP($A13,'OI(Volume)'!$A$7:$O$427,9)</f>
        <v>334400</v>
      </c>
      <c r="J13" s="103">
        <f>VLOOKUP($A13,'OI(Volume)'!$A$7:$O$427,11)</f>
        <v>4613675</v>
      </c>
      <c r="K13" s="103">
        <f>VLOOKUP($A13,'OI(Volume)'!$A$7:$O$427,12)</f>
        <v>11875</v>
      </c>
      <c r="L13" s="103">
        <f>VLOOKUP($A13,'OI(Value)'!$A$7:$O$306,8,0)</f>
        <v>947</v>
      </c>
      <c r="M13" s="103">
        <f>VLOOKUP($A13,'OI(Value)'!$A$7:$O$306,9,0)</f>
        <v>49</v>
      </c>
      <c r="N13" s="103">
        <f>VLOOKUP($A13,'OI(Value)'!$A$7:$O$306,11,0)</f>
        <v>679</v>
      </c>
      <c r="O13" s="103">
        <f>VLOOKUP($A13,'OI(Value)'!$A$7:$O$306,12,0)</f>
        <v>2</v>
      </c>
      <c r="P13" s="179">
        <f>VLOOKUP(A13,'OI(Value)'!A13:O214,8,0)</f>
        <v>947</v>
      </c>
      <c r="Q13" s="179">
        <f>VLOOKUP(A13,'OI(Value)'!A13:O214,9,0)</f>
        <v>49</v>
      </c>
      <c r="R13" s="179">
        <f>VLOOKUP(A13,'OI(Value)'!A13:O214,11,0)</f>
        <v>679</v>
      </c>
      <c r="S13" s="179">
        <f>VLOOKUP(A13,'OI(Value)'!A13:O214,11,0)</f>
        <v>679</v>
      </c>
    </row>
    <row r="14" spans="1:19" x14ac:dyDescent="0.25">
      <c r="A14" s="105" t="str">
        <f>'Data shares'!C9</f>
        <v>ALKEM</v>
      </c>
      <c r="B14" s="143">
        <f>VLOOKUP($A14,'Data shares'!$C:$FA,118)</f>
        <v>0.71</v>
      </c>
      <c r="C14" s="143">
        <f>VLOOKUP($A14,'Data shares'!$C:$FA,119)</f>
        <v>0.78</v>
      </c>
      <c r="D14" s="143">
        <f>VLOOKUP($A14,'Data shares'!$C:$FA,121)*100</f>
        <v>-8.9700000000000006</v>
      </c>
      <c r="E14" s="143">
        <f>VLOOKUP($A14,'Data shares'!$C:$FA,124)</f>
        <v>0.17</v>
      </c>
      <c r="F14" s="143">
        <f>VLOOKUP($A14,'Data shares'!$C:$FA,125)</f>
        <v>0.21</v>
      </c>
      <c r="G14" s="143">
        <f>VLOOKUP($A14,'Data shares'!$C:$FA,127)*100</f>
        <v>-19.05</v>
      </c>
      <c r="H14" s="103">
        <f>VLOOKUP($A14,'OI(Volume)'!$A$7:$O$427,8)</f>
        <v>211250</v>
      </c>
      <c r="I14" s="103">
        <f>VLOOKUP($A14,'OI(Volume)'!$A$7:$O$427,9)</f>
        <v>51750</v>
      </c>
      <c r="J14" s="103">
        <f>VLOOKUP($A14,'OI(Volume)'!$A$7:$O$427,11)</f>
        <v>149750</v>
      </c>
      <c r="K14" s="103">
        <f>VLOOKUP($A14,'OI(Volume)'!$A$7:$O$427,12)</f>
        <v>25375</v>
      </c>
      <c r="L14" s="103">
        <f>VLOOKUP($A14,'OI(Value)'!$A$7:$O$306,8,0)</f>
        <v>123</v>
      </c>
      <c r="M14" s="103">
        <f>VLOOKUP($A14,'OI(Value)'!$A$7:$O$306,9,0)</f>
        <v>30</v>
      </c>
      <c r="N14" s="103">
        <f>VLOOKUP($A14,'OI(Value)'!$A$7:$O$306,11,0)</f>
        <v>87</v>
      </c>
      <c r="O14" s="103">
        <f>VLOOKUP($A14,'OI(Value)'!$A$7:$O$306,12,0)</f>
        <v>15</v>
      </c>
      <c r="P14" s="179">
        <f>VLOOKUP(A14,'OI(Value)'!A14:O215,8,0)</f>
        <v>123</v>
      </c>
      <c r="Q14" s="179">
        <f>VLOOKUP(A14,'OI(Value)'!A14:O215,9,0)</f>
        <v>30</v>
      </c>
      <c r="R14" s="179">
        <f>VLOOKUP(A14,'OI(Value)'!A14:O215,11,0)</f>
        <v>87</v>
      </c>
      <c r="S14" s="179">
        <f>VLOOKUP(A14,'OI(Value)'!A14:O215,11,0)</f>
        <v>87</v>
      </c>
    </row>
    <row r="15" spans="1:19" x14ac:dyDescent="0.25">
      <c r="A15" s="105" t="str">
        <f>'Data shares'!C10</f>
        <v>AMBER</v>
      </c>
      <c r="B15" s="143">
        <f>VLOOKUP($A15,'Data shares'!$C:$FA,118)</f>
        <v>0.72</v>
      </c>
      <c r="C15" s="143">
        <f>VLOOKUP($A15,'Data shares'!$C:$FA,119)</f>
        <v>0.79</v>
      </c>
      <c r="D15" s="143">
        <f>VLOOKUP($A15,'Data shares'!$C:$FA,121)*100</f>
        <v>-8.86</v>
      </c>
      <c r="E15" s="143">
        <f>VLOOKUP($A15,'Data shares'!$C:$FA,124)</f>
        <v>0.48</v>
      </c>
      <c r="F15" s="143">
        <f>VLOOKUP($A15,'Data shares'!$C:$FA,125)</f>
        <v>0.87</v>
      </c>
      <c r="G15" s="143">
        <f>VLOOKUP($A15,'Data shares'!$C:$FA,127)*100</f>
        <v>-44.83</v>
      </c>
      <c r="H15" s="103">
        <f>VLOOKUP($A15,'OI(Volume)'!$A$7:$O$427,8)</f>
        <v>459800</v>
      </c>
      <c r="I15" s="103">
        <f>VLOOKUP($A15,'OI(Volume)'!$A$7:$O$427,9)</f>
        <v>42600</v>
      </c>
      <c r="J15" s="103">
        <f>VLOOKUP($A15,'OI(Volume)'!$A$7:$O$427,11)</f>
        <v>329900</v>
      </c>
      <c r="K15" s="103">
        <f>VLOOKUP($A15,'OI(Volume)'!$A$7:$O$427,12)</f>
        <v>100</v>
      </c>
      <c r="L15" s="103">
        <f>VLOOKUP($A15,'OI(Value)'!$A$7:$O$306,8,0)</f>
        <v>307</v>
      </c>
      <c r="M15" s="103">
        <f>VLOOKUP($A15,'OI(Value)'!$A$7:$O$306,9,0)</f>
        <v>28</v>
      </c>
      <c r="N15" s="103">
        <f>VLOOKUP($A15,'OI(Value)'!$A$7:$O$306,11,0)</f>
        <v>220</v>
      </c>
      <c r="O15" s="103">
        <f>VLOOKUP($A15,'OI(Value)'!$A$7:$O$306,12,0)</f>
        <v>0</v>
      </c>
      <c r="P15" s="179">
        <f>VLOOKUP(A15,'OI(Value)'!A15:O216,8,0)</f>
        <v>307</v>
      </c>
      <c r="Q15" s="179">
        <f>VLOOKUP(A15,'OI(Value)'!A15:O216,9,0)</f>
        <v>28</v>
      </c>
      <c r="R15" s="179">
        <f>VLOOKUP(A15,'OI(Value)'!A15:O216,11,0)</f>
        <v>220</v>
      </c>
      <c r="S15" s="179">
        <f>VLOOKUP(A15,'OI(Value)'!A15:O216,11,0)</f>
        <v>220</v>
      </c>
    </row>
    <row r="16" spans="1:19" x14ac:dyDescent="0.25">
      <c r="A16" s="105" t="str">
        <f>'Data shares'!C11</f>
        <v>AMBUJACEM</v>
      </c>
      <c r="B16" s="143">
        <f>VLOOKUP($A16,'Data shares'!$C:$FA,118)</f>
        <v>0.9</v>
      </c>
      <c r="C16" s="143">
        <f>VLOOKUP($A16,'Data shares'!$C:$FA,119)</f>
        <v>0.9</v>
      </c>
      <c r="D16" s="143">
        <f>VLOOKUP($A16,'Data shares'!$C:$FA,121)*100</f>
        <v>0</v>
      </c>
      <c r="E16" s="143">
        <f>VLOOKUP($A16,'Data shares'!$C:$FA,124)</f>
        <v>0.46</v>
      </c>
      <c r="F16" s="143">
        <f>VLOOKUP($A16,'Data shares'!$C:$FA,125)</f>
        <v>0.65</v>
      </c>
      <c r="G16" s="143">
        <f>VLOOKUP($A16,'Data shares'!$C:$FA,127)*100</f>
        <v>-29.23</v>
      </c>
      <c r="H16" s="103">
        <f>VLOOKUP($A16,'OI(Volume)'!$A$7:$O$427,8)</f>
        <v>11747400</v>
      </c>
      <c r="I16" s="103">
        <f>VLOOKUP($A16,'OI(Volume)'!$A$7:$O$427,9)</f>
        <v>-25200</v>
      </c>
      <c r="J16" s="103">
        <f>VLOOKUP($A16,'OI(Volume)'!$A$7:$O$427,11)</f>
        <v>10590300</v>
      </c>
      <c r="K16" s="103">
        <f>VLOOKUP($A16,'OI(Volume)'!$A$7:$O$427,12)</f>
        <v>-3150</v>
      </c>
      <c r="L16" s="103">
        <f>VLOOKUP($A16,'OI(Value)'!$A$7:$O$306,8,0)</f>
        <v>663</v>
      </c>
      <c r="M16" s="103">
        <f>VLOOKUP($A16,'OI(Value)'!$A$7:$O$306,9,0)</f>
        <v>-1</v>
      </c>
      <c r="N16" s="103">
        <f>VLOOKUP($A16,'OI(Value)'!$A$7:$O$306,11,0)</f>
        <v>598</v>
      </c>
      <c r="O16" s="103">
        <f>VLOOKUP($A16,'OI(Value)'!$A$7:$O$306,12,0)</f>
        <v>0</v>
      </c>
      <c r="P16" s="179">
        <f>VLOOKUP(A16,'OI(Value)'!A16:O217,8,0)</f>
        <v>663</v>
      </c>
      <c r="Q16" s="179">
        <f>VLOOKUP(A16,'OI(Value)'!A16:O217,9,0)</f>
        <v>-1</v>
      </c>
      <c r="R16" s="179">
        <f>VLOOKUP(A16,'OI(Value)'!A16:O217,11,0)</f>
        <v>598</v>
      </c>
      <c r="S16" s="179">
        <f>VLOOKUP(A16,'OI(Value)'!A16:O217,11,0)</f>
        <v>598</v>
      </c>
    </row>
    <row r="17" spans="1:19" x14ac:dyDescent="0.25">
      <c r="A17" s="105" t="str">
        <f>'Data shares'!C12</f>
        <v>ANGELONE</v>
      </c>
      <c r="B17" s="143">
        <f>VLOOKUP($A17,'Data shares'!$C:$FA,118)</f>
        <v>1</v>
      </c>
      <c r="C17" s="143">
        <f>VLOOKUP($A17,'Data shares'!$C:$FA,119)</f>
        <v>0.88</v>
      </c>
      <c r="D17" s="143">
        <f>VLOOKUP($A17,'Data shares'!$C:$FA,121)*100</f>
        <v>13.639999999999999</v>
      </c>
      <c r="E17" s="143">
        <f>VLOOKUP($A17,'Data shares'!$C:$FA,124)</f>
        <v>0.62</v>
      </c>
      <c r="F17" s="143">
        <f>VLOOKUP($A17,'Data shares'!$C:$FA,125)</f>
        <v>0.52</v>
      </c>
      <c r="G17" s="143">
        <f>VLOOKUP($A17,'Data shares'!$C:$FA,127)*100</f>
        <v>19.23</v>
      </c>
      <c r="H17" s="103">
        <f>VLOOKUP($A17,'OI(Volume)'!$A$7:$O$427,8)</f>
        <v>1956000</v>
      </c>
      <c r="I17" s="103">
        <f>VLOOKUP($A17,'OI(Volume)'!$A$7:$O$427,9)</f>
        <v>-172500</v>
      </c>
      <c r="J17" s="103">
        <f>VLOOKUP($A17,'OI(Volume)'!$A$7:$O$427,11)</f>
        <v>1961250</v>
      </c>
      <c r="K17" s="103">
        <f>VLOOKUP($A17,'OI(Volume)'!$A$7:$O$427,12)</f>
        <v>93500</v>
      </c>
      <c r="L17" s="103">
        <f>VLOOKUP($A17,'OI(Value)'!$A$7:$O$306,8,0)</f>
        <v>483</v>
      </c>
      <c r="M17" s="103">
        <f>VLOOKUP($A17,'OI(Value)'!$A$7:$O$306,9,0)</f>
        <v>-43</v>
      </c>
      <c r="N17" s="103">
        <f>VLOOKUP($A17,'OI(Value)'!$A$7:$O$306,11,0)</f>
        <v>484</v>
      </c>
      <c r="O17" s="103">
        <f>VLOOKUP($A17,'OI(Value)'!$A$7:$O$306,12,0)</f>
        <v>23</v>
      </c>
      <c r="P17" s="179">
        <f>VLOOKUP(A17,'OI(Value)'!A17:O218,8,0)</f>
        <v>483</v>
      </c>
      <c r="Q17" s="179">
        <f>VLOOKUP(A17,'OI(Value)'!A17:O218,9,0)</f>
        <v>-43</v>
      </c>
      <c r="R17" s="179">
        <f>VLOOKUP(A17,'OI(Value)'!A17:O218,11,0)</f>
        <v>484</v>
      </c>
      <c r="S17" s="179">
        <f>VLOOKUP(A17,'OI(Value)'!A17:O218,11,0)</f>
        <v>484</v>
      </c>
    </row>
    <row r="18" spans="1:19" x14ac:dyDescent="0.25">
      <c r="A18" s="105" t="str">
        <f>'Data shares'!C13</f>
        <v>APLAPOLLO</v>
      </c>
      <c r="B18" s="143">
        <f>VLOOKUP($A18,'Data shares'!$C:$FA,118)</f>
        <v>0.54</v>
      </c>
      <c r="C18" s="143">
        <f>VLOOKUP($A18,'Data shares'!$C:$FA,119)</f>
        <v>0.54</v>
      </c>
      <c r="D18" s="143">
        <f>VLOOKUP($A18,'Data shares'!$C:$FA,121)*100</f>
        <v>0</v>
      </c>
      <c r="E18" s="143">
        <f>VLOOKUP($A18,'Data shares'!$C:$FA,124)</f>
        <v>0.22</v>
      </c>
      <c r="F18" s="143">
        <f>VLOOKUP($A18,'Data shares'!$C:$FA,125)</f>
        <v>0.24</v>
      </c>
      <c r="G18" s="143">
        <f>VLOOKUP($A18,'Data shares'!$C:$FA,127)*100</f>
        <v>-8.33</v>
      </c>
      <c r="H18" s="103">
        <f>VLOOKUP($A18,'OI(Volume)'!$A$7:$O$427,8)</f>
        <v>1179850</v>
      </c>
      <c r="I18" s="103">
        <f>VLOOKUP($A18,'OI(Volume)'!$A$7:$O$427,9)</f>
        <v>18200</v>
      </c>
      <c r="J18" s="103">
        <f>VLOOKUP($A18,'OI(Volume)'!$A$7:$O$427,11)</f>
        <v>641550</v>
      </c>
      <c r="K18" s="103">
        <f>VLOOKUP($A18,'OI(Volume)'!$A$7:$O$427,12)</f>
        <v>11550</v>
      </c>
      <c r="L18" s="103">
        <f>VLOOKUP($A18,'OI(Value)'!$A$7:$O$306,8,0)</f>
        <v>231</v>
      </c>
      <c r="M18" s="103">
        <f>VLOOKUP($A18,'OI(Value)'!$A$7:$O$306,9,0)</f>
        <v>4</v>
      </c>
      <c r="N18" s="103">
        <f>VLOOKUP($A18,'OI(Value)'!$A$7:$O$306,11,0)</f>
        <v>126</v>
      </c>
      <c r="O18" s="103">
        <f>VLOOKUP($A18,'OI(Value)'!$A$7:$O$306,12,0)</f>
        <v>2</v>
      </c>
      <c r="P18" s="179">
        <f>VLOOKUP(A18,'OI(Value)'!A18:O219,8,0)</f>
        <v>231</v>
      </c>
      <c r="Q18" s="179">
        <f>VLOOKUP(A18,'OI(Value)'!A18:O219,9,0)</f>
        <v>4</v>
      </c>
      <c r="R18" s="179">
        <f>VLOOKUP(A18,'OI(Value)'!A18:O219,11,0)</f>
        <v>126</v>
      </c>
      <c r="S18" s="179">
        <f>VLOOKUP(A18,'OI(Value)'!A18:O219,11,0)</f>
        <v>126</v>
      </c>
    </row>
    <row r="19" spans="1:19" x14ac:dyDescent="0.25">
      <c r="A19" s="105" t="str">
        <f>'Data shares'!C14</f>
        <v>APOLLOHOSP</v>
      </c>
      <c r="B19" s="143">
        <f>VLOOKUP($A19,'Data shares'!$C:$FA,118)</f>
        <v>0.98</v>
      </c>
      <c r="C19" s="143">
        <f>VLOOKUP($A19,'Data shares'!$C:$FA,119)</f>
        <v>0.85</v>
      </c>
      <c r="D19" s="143">
        <f>VLOOKUP($A19,'Data shares'!$C:$FA,121)*100</f>
        <v>15.290000000000001</v>
      </c>
      <c r="E19" s="143">
        <f>VLOOKUP($A19,'Data shares'!$C:$FA,124)</f>
        <v>0.39</v>
      </c>
      <c r="F19" s="143">
        <f>VLOOKUP($A19,'Data shares'!$C:$FA,125)</f>
        <v>0.32</v>
      </c>
      <c r="G19" s="143">
        <f>VLOOKUP($A19,'Data shares'!$C:$FA,127)*100</f>
        <v>21.88</v>
      </c>
      <c r="H19" s="103">
        <f>VLOOKUP($A19,'OI(Volume)'!$A$7:$O$427,8)</f>
        <v>1211250</v>
      </c>
      <c r="I19" s="103">
        <f>VLOOKUP($A19,'OI(Volume)'!$A$7:$O$427,9)</f>
        <v>85375</v>
      </c>
      <c r="J19" s="103">
        <f>VLOOKUP($A19,'OI(Volume)'!$A$7:$O$427,11)</f>
        <v>1181250</v>
      </c>
      <c r="K19" s="103">
        <f>VLOOKUP($A19,'OI(Volume)'!$A$7:$O$427,12)</f>
        <v>219750</v>
      </c>
      <c r="L19" s="103">
        <f>VLOOKUP($A19,'OI(Value)'!$A$7:$O$306,8,0)</f>
        <v>905</v>
      </c>
      <c r="M19" s="103">
        <f>VLOOKUP($A19,'OI(Value)'!$A$7:$O$306,9,0)</f>
        <v>64</v>
      </c>
      <c r="N19" s="103">
        <f>VLOOKUP($A19,'OI(Value)'!$A$7:$O$306,11,0)</f>
        <v>883</v>
      </c>
      <c r="O19" s="103">
        <f>VLOOKUP($A19,'OI(Value)'!$A$7:$O$306,12,0)</f>
        <v>164</v>
      </c>
      <c r="P19" s="179">
        <f>VLOOKUP(A19,'OI(Value)'!A19:O220,8,0)</f>
        <v>905</v>
      </c>
      <c r="Q19" s="179">
        <f>VLOOKUP(A19,'OI(Value)'!A19:O220,9,0)</f>
        <v>64</v>
      </c>
      <c r="R19" s="179">
        <f>VLOOKUP(A19,'OI(Value)'!A19:O220,11,0)</f>
        <v>883</v>
      </c>
      <c r="S19" s="179">
        <f>VLOOKUP(A19,'OI(Value)'!A19:O220,11,0)</f>
        <v>883</v>
      </c>
    </row>
    <row r="20" spans="1:19" x14ac:dyDescent="0.25">
      <c r="A20" s="105" t="str">
        <f>'Data shares'!C15</f>
        <v>ASHOKLEY</v>
      </c>
      <c r="B20" s="143">
        <f>VLOOKUP($A20,'Data shares'!$C:$FA,118)</f>
        <v>0.73</v>
      </c>
      <c r="C20" s="143">
        <f>VLOOKUP($A20,'Data shares'!$C:$FA,119)</f>
        <v>0.72</v>
      </c>
      <c r="D20" s="143">
        <f>VLOOKUP($A20,'Data shares'!$C:$FA,121)*100</f>
        <v>1.39</v>
      </c>
      <c r="E20" s="143">
        <f>VLOOKUP($A20,'Data shares'!$C:$FA,124)</f>
        <v>0.59</v>
      </c>
      <c r="F20" s="143">
        <f>VLOOKUP($A20,'Data shares'!$C:$FA,125)</f>
        <v>0.4</v>
      </c>
      <c r="G20" s="143">
        <f>VLOOKUP($A20,'Data shares'!$C:$FA,127)*100</f>
        <v>47.5</v>
      </c>
      <c r="H20" s="103">
        <f>VLOOKUP($A20,'OI(Volume)'!$A$7:$O$427,8)</f>
        <v>59750000</v>
      </c>
      <c r="I20" s="103">
        <f>VLOOKUP($A20,'OI(Volume)'!$A$7:$O$427,9)</f>
        <v>-110000</v>
      </c>
      <c r="J20" s="103">
        <f>VLOOKUP($A20,'OI(Volume)'!$A$7:$O$427,11)</f>
        <v>43660000</v>
      </c>
      <c r="K20" s="103">
        <f>VLOOKUP($A20,'OI(Volume)'!$A$7:$O$427,12)</f>
        <v>825000</v>
      </c>
      <c r="L20" s="103">
        <f>VLOOKUP($A20,'OI(Value)'!$A$7:$O$306,8,0)</f>
        <v>1110</v>
      </c>
      <c r="M20" s="103">
        <f>VLOOKUP($A20,'OI(Value)'!$A$7:$O$306,9,0)</f>
        <v>-2</v>
      </c>
      <c r="N20" s="103">
        <f>VLOOKUP($A20,'OI(Value)'!$A$7:$O$306,11,0)</f>
        <v>811</v>
      </c>
      <c r="O20" s="103">
        <f>VLOOKUP($A20,'OI(Value)'!$A$7:$O$306,12,0)</f>
        <v>15</v>
      </c>
      <c r="P20" s="179">
        <f>VLOOKUP(A20,'OI(Value)'!A20:O221,8,0)</f>
        <v>1110</v>
      </c>
      <c r="Q20" s="179">
        <f>VLOOKUP(A20,'OI(Value)'!A20:O221,9,0)</f>
        <v>-2</v>
      </c>
      <c r="R20" s="179">
        <f>VLOOKUP(A20,'OI(Value)'!A20:O221,11,0)</f>
        <v>811</v>
      </c>
      <c r="S20" s="179">
        <f>VLOOKUP(A20,'OI(Value)'!A20:O221,11,0)</f>
        <v>811</v>
      </c>
    </row>
    <row r="21" spans="1:19" x14ac:dyDescent="0.25">
      <c r="A21" s="105" t="str">
        <f>'Data shares'!C16</f>
        <v>ASIANPAINT</v>
      </c>
      <c r="B21" s="143">
        <f>VLOOKUP($A21,'Data shares'!$C:$FA,118)</f>
        <v>0.73</v>
      </c>
      <c r="C21" s="143">
        <f>VLOOKUP($A21,'Data shares'!$C:$FA,119)</f>
        <v>0.72</v>
      </c>
      <c r="D21" s="143">
        <f>VLOOKUP($A21,'Data shares'!$C:$FA,121)*100</f>
        <v>1.39</v>
      </c>
      <c r="E21" s="143">
        <f>VLOOKUP($A21,'Data shares'!$C:$FA,124)</f>
        <v>0.59</v>
      </c>
      <c r="F21" s="143">
        <f>VLOOKUP($A21,'Data shares'!$C:$FA,125)</f>
        <v>0.48</v>
      </c>
      <c r="G21" s="143">
        <f>VLOOKUP($A21,'Data shares'!$C:$FA,127)*100</f>
        <v>22.919999999999998</v>
      </c>
      <c r="H21" s="103">
        <f>VLOOKUP($A21,'OI(Volume)'!$A$7:$O$427,8)</f>
        <v>4310500</v>
      </c>
      <c r="I21" s="103">
        <f>VLOOKUP($A21,'OI(Volume)'!$A$7:$O$427,9)</f>
        <v>133000</v>
      </c>
      <c r="J21" s="103">
        <f>VLOOKUP($A21,'OI(Volume)'!$A$7:$O$427,11)</f>
        <v>3134000</v>
      </c>
      <c r="K21" s="103">
        <f>VLOOKUP($A21,'OI(Volume)'!$A$7:$O$427,12)</f>
        <v>106500</v>
      </c>
      <c r="L21" s="103">
        <f>VLOOKUP($A21,'OI(Value)'!$A$7:$O$306,8,0)</f>
        <v>1212</v>
      </c>
      <c r="M21" s="103">
        <f>VLOOKUP($A21,'OI(Value)'!$A$7:$O$306,9,0)</f>
        <v>37</v>
      </c>
      <c r="N21" s="103">
        <f>VLOOKUP($A21,'OI(Value)'!$A$7:$O$306,11,0)</f>
        <v>881</v>
      </c>
      <c r="O21" s="103">
        <f>VLOOKUP($A21,'OI(Value)'!$A$7:$O$306,12,0)</f>
        <v>30</v>
      </c>
      <c r="P21" s="179">
        <f>VLOOKUP(A21,'OI(Value)'!A21:O222,8,0)</f>
        <v>1212</v>
      </c>
      <c r="Q21" s="179">
        <f>VLOOKUP(A21,'OI(Value)'!A21:O222,9,0)</f>
        <v>37</v>
      </c>
      <c r="R21" s="179">
        <f>VLOOKUP(A21,'OI(Value)'!A21:O222,11,0)</f>
        <v>881</v>
      </c>
      <c r="S21" s="179">
        <f>VLOOKUP(A21,'OI(Value)'!A21:O222,11,0)</f>
        <v>881</v>
      </c>
    </row>
    <row r="22" spans="1:19" x14ac:dyDescent="0.25">
      <c r="A22" s="105" t="str">
        <f>'Data shares'!C17</f>
        <v>ASTRAL</v>
      </c>
      <c r="B22" s="143">
        <f>VLOOKUP($A22,'Data shares'!$C:$FA,118)</f>
        <v>0.76</v>
      </c>
      <c r="C22" s="143">
        <f>VLOOKUP($A22,'Data shares'!$C:$FA,119)</f>
        <v>0.76</v>
      </c>
      <c r="D22" s="143">
        <f>VLOOKUP($A22,'Data shares'!$C:$FA,121)*100</f>
        <v>0</v>
      </c>
      <c r="E22" s="143">
        <f>VLOOKUP($A22,'Data shares'!$C:$FA,124)</f>
        <v>0.52</v>
      </c>
      <c r="F22" s="143">
        <f>VLOOKUP($A22,'Data shares'!$C:$FA,125)</f>
        <v>0.51</v>
      </c>
      <c r="G22" s="143">
        <f>VLOOKUP($A22,'Data shares'!$C:$FA,127)*100</f>
        <v>1.96</v>
      </c>
      <c r="H22" s="103">
        <f>VLOOKUP($A22,'OI(Volume)'!$A$7:$O$427,8)</f>
        <v>2489225</v>
      </c>
      <c r="I22" s="103">
        <f>VLOOKUP($A22,'OI(Volume)'!$A$7:$O$427,9)</f>
        <v>127500</v>
      </c>
      <c r="J22" s="103">
        <f>VLOOKUP($A22,'OI(Volume)'!$A$7:$O$427,11)</f>
        <v>1884450</v>
      </c>
      <c r="K22" s="103">
        <f>VLOOKUP($A22,'OI(Volume)'!$A$7:$O$427,12)</f>
        <v>88400</v>
      </c>
      <c r="L22" s="103">
        <f>VLOOKUP($A22,'OI(Value)'!$A$7:$O$306,8,0)</f>
        <v>374</v>
      </c>
      <c r="M22" s="103">
        <f>VLOOKUP($A22,'OI(Value)'!$A$7:$O$306,9,0)</f>
        <v>19</v>
      </c>
      <c r="N22" s="103">
        <f>VLOOKUP($A22,'OI(Value)'!$A$7:$O$306,11,0)</f>
        <v>283</v>
      </c>
      <c r="O22" s="103">
        <f>VLOOKUP($A22,'OI(Value)'!$A$7:$O$306,12,0)</f>
        <v>13</v>
      </c>
      <c r="P22" s="179">
        <f>VLOOKUP(A22,'OI(Value)'!A22:O223,8,0)</f>
        <v>374</v>
      </c>
      <c r="Q22" s="179">
        <f>VLOOKUP(A22,'OI(Value)'!A22:O223,9,0)</f>
        <v>19</v>
      </c>
      <c r="R22" s="179">
        <f>VLOOKUP(A22,'OI(Value)'!A22:O223,11,0)</f>
        <v>283</v>
      </c>
      <c r="S22" s="179">
        <f>VLOOKUP(A22,'OI(Value)'!A22:O223,11,0)</f>
        <v>283</v>
      </c>
    </row>
    <row r="23" spans="1:19" x14ac:dyDescent="0.25">
      <c r="A23" s="105" t="str">
        <f>'Data shares'!C18</f>
        <v>AUBANK</v>
      </c>
      <c r="B23" s="143">
        <f>VLOOKUP($A23,'Data shares'!$C:$FA,118)</f>
        <v>0.7</v>
      </c>
      <c r="C23" s="143">
        <f>VLOOKUP($A23,'Data shares'!$C:$FA,119)</f>
        <v>0.76</v>
      </c>
      <c r="D23" s="143">
        <f>VLOOKUP($A23,'Data shares'!$C:$FA,121)*100</f>
        <v>-7.89</v>
      </c>
      <c r="E23" s="143">
        <f>VLOOKUP($A23,'Data shares'!$C:$FA,124)</f>
        <v>0.62</v>
      </c>
      <c r="F23" s="143">
        <f>VLOOKUP($A23,'Data shares'!$C:$FA,125)</f>
        <v>0.72</v>
      </c>
      <c r="G23" s="143">
        <f>VLOOKUP($A23,'Data shares'!$C:$FA,127)*100</f>
        <v>-13.889999999999999</v>
      </c>
      <c r="H23" s="103">
        <f>VLOOKUP($A23,'OI(Volume)'!$A$7:$O$427,8)</f>
        <v>5363000</v>
      </c>
      <c r="I23" s="103">
        <f>VLOOKUP($A23,'OI(Volume)'!$A$7:$O$427,9)</f>
        <v>308000</v>
      </c>
      <c r="J23" s="103">
        <f>VLOOKUP($A23,'OI(Volume)'!$A$7:$O$427,11)</f>
        <v>3764000</v>
      </c>
      <c r="K23" s="103">
        <f>VLOOKUP($A23,'OI(Volume)'!$A$7:$O$427,12)</f>
        <v>-101000</v>
      </c>
      <c r="L23" s="103">
        <f>VLOOKUP($A23,'OI(Value)'!$A$7:$O$306,8,0)</f>
        <v>541</v>
      </c>
      <c r="M23" s="103">
        <f>VLOOKUP($A23,'OI(Value)'!$A$7:$O$306,9,0)</f>
        <v>31</v>
      </c>
      <c r="N23" s="103">
        <f>VLOOKUP($A23,'OI(Value)'!$A$7:$O$306,11,0)</f>
        <v>379</v>
      </c>
      <c r="O23" s="103">
        <f>VLOOKUP($A23,'OI(Value)'!$A$7:$O$306,12,0)</f>
        <v>-10</v>
      </c>
      <c r="P23" s="179">
        <f>VLOOKUP(A23,'OI(Value)'!A23:O224,8,0)</f>
        <v>541</v>
      </c>
      <c r="Q23" s="179">
        <f>VLOOKUP(A23,'OI(Value)'!A23:O224,9,0)</f>
        <v>31</v>
      </c>
      <c r="R23" s="179">
        <f>VLOOKUP(A23,'OI(Value)'!A23:O224,11,0)</f>
        <v>379</v>
      </c>
      <c r="S23" s="179">
        <f>VLOOKUP(A23,'OI(Value)'!A23:O224,11,0)</f>
        <v>379</v>
      </c>
    </row>
    <row r="24" spans="1:19" x14ac:dyDescent="0.25">
      <c r="A24" s="105" t="str">
        <f>'Data shares'!C19</f>
        <v>AUROPHARMA</v>
      </c>
      <c r="B24" s="143">
        <f>VLOOKUP($A24,'Data shares'!$C:$FA,118)</f>
        <v>0.54</v>
      </c>
      <c r="C24" s="143">
        <f>VLOOKUP($A24,'Data shares'!$C:$FA,119)</f>
        <v>0.59</v>
      </c>
      <c r="D24" s="143">
        <f>VLOOKUP($A24,'Data shares'!$C:$FA,121)*100</f>
        <v>-8.4699999999999989</v>
      </c>
      <c r="E24" s="143">
        <f>VLOOKUP($A24,'Data shares'!$C:$FA,124)</f>
        <v>0.26</v>
      </c>
      <c r="F24" s="143">
        <f>VLOOKUP($A24,'Data shares'!$C:$FA,125)</f>
        <v>0.31</v>
      </c>
      <c r="G24" s="143">
        <f>VLOOKUP($A24,'Data shares'!$C:$FA,127)*100</f>
        <v>-16.13</v>
      </c>
      <c r="H24" s="103">
        <f>VLOOKUP($A24,'OI(Volume)'!$A$7:$O$427,8)</f>
        <v>5370200</v>
      </c>
      <c r="I24" s="103">
        <f>VLOOKUP($A24,'OI(Volume)'!$A$7:$O$427,9)</f>
        <v>1233100</v>
      </c>
      <c r="J24" s="103">
        <f>VLOOKUP($A24,'OI(Volume)'!$A$7:$O$427,11)</f>
        <v>2911150</v>
      </c>
      <c r="K24" s="103">
        <f>VLOOKUP($A24,'OI(Volume)'!$A$7:$O$427,12)</f>
        <v>452100</v>
      </c>
      <c r="L24" s="103">
        <f>VLOOKUP($A24,'OI(Value)'!$A$7:$O$306,8,0)</f>
        <v>667</v>
      </c>
      <c r="M24" s="103">
        <f>VLOOKUP($A24,'OI(Value)'!$A$7:$O$306,9,0)</f>
        <v>153</v>
      </c>
      <c r="N24" s="103">
        <f>VLOOKUP($A24,'OI(Value)'!$A$7:$O$306,11,0)</f>
        <v>361</v>
      </c>
      <c r="O24" s="103">
        <f>VLOOKUP($A24,'OI(Value)'!$A$7:$O$306,12,0)</f>
        <v>56</v>
      </c>
      <c r="P24" s="179">
        <f>VLOOKUP(A24,'OI(Value)'!A24:O225,8,0)</f>
        <v>667</v>
      </c>
      <c r="Q24" s="179">
        <f>VLOOKUP(A24,'OI(Value)'!A24:O225,9,0)</f>
        <v>153</v>
      </c>
      <c r="R24" s="179">
        <f>VLOOKUP(A24,'OI(Value)'!A24:O225,11,0)</f>
        <v>361</v>
      </c>
      <c r="S24" s="179">
        <f>VLOOKUP(A24,'OI(Value)'!A24:O225,11,0)</f>
        <v>361</v>
      </c>
    </row>
    <row r="25" spans="1:19" x14ac:dyDescent="0.25">
      <c r="A25" s="105" t="str">
        <f>'Data shares'!C20</f>
        <v>AXISBANK</v>
      </c>
      <c r="B25" s="143">
        <f>VLOOKUP($A25,'Data shares'!$C:$FA,118)</f>
        <v>0.55000000000000004</v>
      </c>
      <c r="C25" s="143">
        <f>VLOOKUP($A25,'Data shares'!$C:$FA,119)</f>
        <v>0.57999999999999996</v>
      </c>
      <c r="D25" s="143">
        <f>VLOOKUP($A25,'Data shares'!$C:$FA,121)*100</f>
        <v>-5.17</v>
      </c>
      <c r="E25" s="143">
        <f>VLOOKUP($A25,'Data shares'!$C:$FA,124)</f>
        <v>0.56000000000000005</v>
      </c>
      <c r="F25" s="143">
        <f>VLOOKUP($A25,'Data shares'!$C:$FA,125)</f>
        <v>0.45</v>
      </c>
      <c r="G25" s="143">
        <f>VLOOKUP($A25,'Data shares'!$C:$FA,127)*100</f>
        <v>24.44</v>
      </c>
      <c r="H25" s="103">
        <f>VLOOKUP($A25,'OI(Volume)'!$A$7:$O$427,8)</f>
        <v>28002500</v>
      </c>
      <c r="I25" s="103">
        <f>VLOOKUP($A25,'OI(Volume)'!$A$7:$O$427,9)</f>
        <v>2882500</v>
      </c>
      <c r="J25" s="103">
        <f>VLOOKUP($A25,'OI(Volume)'!$A$7:$O$427,11)</f>
        <v>15350625</v>
      </c>
      <c r="K25" s="103">
        <f>VLOOKUP($A25,'OI(Volume)'!$A$7:$O$427,12)</f>
        <v>858125</v>
      </c>
      <c r="L25" s="103">
        <f>VLOOKUP($A25,'OI(Value)'!$A$7:$O$306,8,0)</f>
        <v>3634</v>
      </c>
      <c r="M25" s="103">
        <f>VLOOKUP($A25,'OI(Value)'!$A$7:$O$306,9,0)</f>
        <v>374</v>
      </c>
      <c r="N25" s="103">
        <f>VLOOKUP($A25,'OI(Value)'!$A$7:$O$306,11,0)</f>
        <v>1992</v>
      </c>
      <c r="O25" s="103">
        <f>VLOOKUP($A25,'OI(Value)'!$A$7:$O$306,12,0)</f>
        <v>111</v>
      </c>
      <c r="P25" s="179">
        <f>VLOOKUP(A25,'OI(Value)'!A25:O226,8,0)</f>
        <v>3634</v>
      </c>
      <c r="Q25" s="179">
        <f>VLOOKUP(A25,'OI(Value)'!A25:O226,9,0)</f>
        <v>374</v>
      </c>
      <c r="R25" s="179">
        <f>VLOOKUP(A25,'OI(Value)'!A25:O226,11,0)</f>
        <v>1992</v>
      </c>
      <c r="S25" s="179">
        <f>VLOOKUP(A25,'OI(Value)'!A25:O226,11,0)</f>
        <v>1992</v>
      </c>
    </row>
    <row r="26" spans="1:19" x14ac:dyDescent="0.25">
      <c r="A26" s="105" t="str">
        <f>'Data shares'!C21</f>
        <v>BAJAJ-AUTO</v>
      </c>
      <c r="B26" s="143">
        <f>VLOOKUP($A26,'Data shares'!$C:$FA,118)</f>
        <v>0.82</v>
      </c>
      <c r="C26" s="143">
        <f>VLOOKUP($A26,'Data shares'!$C:$FA,119)</f>
        <v>0.78</v>
      </c>
      <c r="D26" s="143">
        <f>VLOOKUP($A26,'Data shares'!$C:$FA,121)*100</f>
        <v>5.13</v>
      </c>
      <c r="E26" s="143">
        <f>VLOOKUP($A26,'Data shares'!$C:$FA,124)</f>
        <v>0.56000000000000005</v>
      </c>
      <c r="F26" s="143">
        <f>VLOOKUP($A26,'Data shares'!$C:$FA,125)</f>
        <v>0.45</v>
      </c>
      <c r="G26" s="143">
        <f>VLOOKUP($A26,'Data shares'!$C:$FA,127)*100</f>
        <v>24.44</v>
      </c>
      <c r="H26" s="103">
        <f>VLOOKUP($A26,'OI(Volume)'!$A$7:$O$427,8)</f>
        <v>1495500</v>
      </c>
      <c r="I26" s="103">
        <f>VLOOKUP($A26,'OI(Volume)'!$A$7:$O$427,9)</f>
        <v>128925</v>
      </c>
      <c r="J26" s="103">
        <f>VLOOKUP($A26,'OI(Volume)'!$A$7:$O$427,11)</f>
        <v>1224000</v>
      </c>
      <c r="K26" s="103">
        <f>VLOOKUP($A26,'OI(Volume)'!$A$7:$O$427,12)</f>
        <v>157350</v>
      </c>
      <c r="L26" s="103">
        <f>VLOOKUP($A26,'OI(Value)'!$A$7:$O$306,8,0)</f>
        <v>1466</v>
      </c>
      <c r="M26" s="103">
        <f>VLOOKUP($A26,'OI(Value)'!$A$7:$O$306,9,0)</f>
        <v>126</v>
      </c>
      <c r="N26" s="103">
        <f>VLOOKUP($A26,'OI(Value)'!$A$7:$O$306,11,0)</f>
        <v>1200</v>
      </c>
      <c r="O26" s="103">
        <f>VLOOKUP($A26,'OI(Value)'!$A$7:$O$306,12,0)</f>
        <v>154</v>
      </c>
      <c r="P26" s="179">
        <f>VLOOKUP(A26,'OI(Value)'!A26:O227,8,0)</f>
        <v>1466</v>
      </c>
      <c r="Q26" s="179">
        <f>VLOOKUP(A26,'OI(Value)'!A26:O227,9,0)</f>
        <v>126</v>
      </c>
      <c r="R26" s="179">
        <f>VLOOKUP(A26,'OI(Value)'!A26:O227,11,0)</f>
        <v>1200</v>
      </c>
      <c r="S26" s="179">
        <f>VLOOKUP(A26,'OI(Value)'!A26:O227,11,0)</f>
        <v>1200</v>
      </c>
    </row>
    <row r="27" spans="1:19" x14ac:dyDescent="0.25">
      <c r="A27" s="105" t="str">
        <f>'Data shares'!C22</f>
        <v>BAJAJFINSV</v>
      </c>
      <c r="B27" s="143">
        <f>VLOOKUP($A27,'Data shares'!$C:$FA,118)</f>
        <v>0.69</v>
      </c>
      <c r="C27" s="143">
        <f>VLOOKUP($A27,'Data shares'!$C:$FA,119)</f>
        <v>0.71</v>
      </c>
      <c r="D27" s="143">
        <f>VLOOKUP($A27,'Data shares'!$C:$FA,121)*100</f>
        <v>-2.82</v>
      </c>
      <c r="E27" s="143">
        <f>VLOOKUP($A27,'Data shares'!$C:$FA,124)</f>
        <v>0.52</v>
      </c>
      <c r="F27" s="143">
        <f>VLOOKUP($A27,'Data shares'!$C:$FA,125)</f>
        <v>0.31</v>
      </c>
      <c r="G27" s="143">
        <f>VLOOKUP($A27,'Data shares'!$C:$FA,127)*100</f>
        <v>67.739999999999995</v>
      </c>
      <c r="H27" s="103">
        <f>VLOOKUP($A27,'OI(Volume)'!$A$7:$O$427,8)</f>
        <v>4421000</v>
      </c>
      <c r="I27" s="103">
        <f>VLOOKUP($A27,'OI(Volume)'!$A$7:$O$427,9)</f>
        <v>329500</v>
      </c>
      <c r="J27" s="103">
        <f>VLOOKUP($A27,'OI(Volume)'!$A$7:$O$427,11)</f>
        <v>3045000</v>
      </c>
      <c r="K27" s="103">
        <f>VLOOKUP($A27,'OI(Volume)'!$A$7:$O$427,12)</f>
        <v>124000</v>
      </c>
      <c r="L27" s="103">
        <f>VLOOKUP($A27,'OI(Value)'!$A$7:$O$306,8,0)</f>
        <v>900</v>
      </c>
      <c r="M27" s="103">
        <f>VLOOKUP($A27,'OI(Value)'!$A$7:$O$306,9,0)</f>
        <v>67</v>
      </c>
      <c r="N27" s="103">
        <f>VLOOKUP($A27,'OI(Value)'!$A$7:$O$306,11,0)</f>
        <v>620</v>
      </c>
      <c r="O27" s="103">
        <f>VLOOKUP($A27,'OI(Value)'!$A$7:$O$306,12,0)</f>
        <v>25</v>
      </c>
      <c r="P27" s="179">
        <f>VLOOKUP(A27,'OI(Value)'!A27:O228,8,0)</f>
        <v>900</v>
      </c>
      <c r="Q27" s="179">
        <f>VLOOKUP(A27,'OI(Value)'!A27:O228,9,0)</f>
        <v>67</v>
      </c>
      <c r="R27" s="179">
        <f>VLOOKUP(A27,'OI(Value)'!A27:O228,11,0)</f>
        <v>620</v>
      </c>
      <c r="S27" s="179">
        <f>VLOOKUP(A27,'OI(Value)'!A27:O228,11,0)</f>
        <v>620</v>
      </c>
    </row>
    <row r="28" spans="1:19" x14ac:dyDescent="0.25">
      <c r="A28" s="105" t="str">
        <f>'Data shares'!C23</f>
        <v>BAJAJHLDNG</v>
      </c>
      <c r="B28" s="143">
        <f>VLOOKUP($A28,'Data shares'!$C:$FA,118)</f>
        <v>0.44</v>
      </c>
      <c r="C28" s="143">
        <f>VLOOKUP($A28,'Data shares'!$C:$FA,119)</f>
        <v>0.49</v>
      </c>
      <c r="D28" s="143">
        <f>VLOOKUP($A28,'Data shares'!$C:$FA,121)*100</f>
        <v>-10.199999999999999</v>
      </c>
      <c r="E28" s="143">
        <f>VLOOKUP($A28,'Data shares'!$C:$FA,124)</f>
        <v>0.13</v>
      </c>
      <c r="F28" s="143">
        <f>VLOOKUP($A28,'Data shares'!$C:$FA,125)</f>
        <v>0.28999999999999998</v>
      </c>
      <c r="G28" s="143">
        <f>VLOOKUP($A28,'Data shares'!$C:$FA,127)*100</f>
        <v>-55.169999999999995</v>
      </c>
      <c r="H28" s="103">
        <f>VLOOKUP($A28,'OI(Volume)'!$A$7:$O$427,8)</f>
        <v>62700</v>
      </c>
      <c r="I28" s="103">
        <f>VLOOKUP($A28,'OI(Volume)'!$A$7:$O$427,9)</f>
        <v>250</v>
      </c>
      <c r="J28" s="103">
        <f>VLOOKUP($A28,'OI(Volume)'!$A$7:$O$427,11)</f>
        <v>27900</v>
      </c>
      <c r="K28" s="103">
        <f>VLOOKUP($A28,'OI(Volume)'!$A$7:$O$427,12)</f>
        <v>-2600</v>
      </c>
      <c r="L28" s="103">
        <f>VLOOKUP($A28,'OI(Value)'!$A$7:$O$306,8,0)</f>
        <v>71</v>
      </c>
      <c r="M28" s="103">
        <f>VLOOKUP($A28,'OI(Value)'!$A$7:$O$306,9,0)</f>
        <v>0</v>
      </c>
      <c r="N28" s="103">
        <f>VLOOKUP($A28,'OI(Value)'!$A$7:$O$306,11,0)</f>
        <v>31</v>
      </c>
      <c r="O28" s="103">
        <f>VLOOKUP($A28,'OI(Value)'!$A$7:$O$306,12,0)</f>
        <v>-3</v>
      </c>
      <c r="P28" s="179">
        <f>VLOOKUP(A28,'OI(Value)'!A28:O229,8,0)</f>
        <v>71</v>
      </c>
      <c r="Q28" s="179">
        <f>VLOOKUP(A28,'OI(Value)'!A28:O229,9,0)</f>
        <v>0</v>
      </c>
      <c r="R28" s="179">
        <f>VLOOKUP(A28,'OI(Value)'!A28:O229,11,0)</f>
        <v>31</v>
      </c>
      <c r="S28" s="179">
        <f>VLOOKUP(A28,'OI(Value)'!A28:O229,11,0)</f>
        <v>31</v>
      </c>
    </row>
    <row r="29" spans="1:19" x14ac:dyDescent="0.25">
      <c r="A29" s="105" t="str">
        <f>'Data shares'!C24</f>
        <v>BAJFINANCE</v>
      </c>
      <c r="B29" s="143">
        <f>VLOOKUP($A29,'Data shares'!$C:$FA,118)</f>
        <v>0.67</v>
      </c>
      <c r="C29" s="143">
        <f>VLOOKUP($A29,'Data shares'!$C:$FA,119)</f>
        <v>0.68</v>
      </c>
      <c r="D29" s="143">
        <f>VLOOKUP($A29,'Data shares'!$C:$FA,121)*100</f>
        <v>-1.47</v>
      </c>
      <c r="E29" s="143">
        <f>VLOOKUP($A29,'Data shares'!$C:$FA,124)</f>
        <v>0.43</v>
      </c>
      <c r="F29" s="143">
        <f>VLOOKUP($A29,'Data shares'!$C:$FA,125)</f>
        <v>0.34</v>
      </c>
      <c r="G29" s="143">
        <f>VLOOKUP($A29,'Data shares'!$C:$FA,127)*100</f>
        <v>26.47</v>
      </c>
      <c r="H29" s="103">
        <f>VLOOKUP($A29,'OI(Volume)'!$A$7:$O$427,8)</f>
        <v>29601750</v>
      </c>
      <c r="I29" s="103">
        <f>VLOOKUP($A29,'OI(Volume)'!$A$7:$O$427,9)</f>
        <v>1730250</v>
      </c>
      <c r="J29" s="103">
        <f>VLOOKUP($A29,'OI(Volume)'!$A$7:$O$427,11)</f>
        <v>19955250</v>
      </c>
      <c r="K29" s="103">
        <f>VLOOKUP($A29,'OI(Volume)'!$A$7:$O$427,12)</f>
        <v>877500</v>
      </c>
      <c r="L29" s="103">
        <f>VLOOKUP($A29,'OI(Value)'!$A$7:$O$306,8,0)</f>
        <v>2881</v>
      </c>
      <c r="M29" s="103">
        <f>VLOOKUP($A29,'OI(Value)'!$A$7:$O$306,9,0)</f>
        <v>168</v>
      </c>
      <c r="N29" s="103">
        <f>VLOOKUP($A29,'OI(Value)'!$A$7:$O$306,11,0)</f>
        <v>1942</v>
      </c>
      <c r="O29" s="103">
        <f>VLOOKUP($A29,'OI(Value)'!$A$7:$O$306,12,0)</f>
        <v>85</v>
      </c>
      <c r="P29" s="179">
        <f>VLOOKUP(A29,'OI(Value)'!A29:O230,8,0)</f>
        <v>2881</v>
      </c>
      <c r="Q29" s="179">
        <f>VLOOKUP(A29,'OI(Value)'!A29:O230,9,0)</f>
        <v>168</v>
      </c>
      <c r="R29" s="179">
        <f>VLOOKUP(A29,'OI(Value)'!A29:O230,11,0)</f>
        <v>1942</v>
      </c>
      <c r="S29" s="179">
        <f>VLOOKUP(A29,'OI(Value)'!A29:O230,11,0)</f>
        <v>1942</v>
      </c>
    </row>
    <row r="30" spans="1:19" x14ac:dyDescent="0.25">
      <c r="A30" s="105" t="str">
        <f>'Data shares'!C25</f>
        <v>BANDHANBNK</v>
      </c>
      <c r="B30" s="143">
        <f>VLOOKUP($A30,'Data shares'!$C:$FA,118)</f>
        <v>0.92</v>
      </c>
      <c r="C30" s="143">
        <f>VLOOKUP($A30,'Data shares'!$C:$FA,119)</f>
        <v>0.9</v>
      </c>
      <c r="D30" s="143">
        <f>VLOOKUP($A30,'Data shares'!$C:$FA,121)*100</f>
        <v>2.2200000000000002</v>
      </c>
      <c r="E30" s="143">
        <f>VLOOKUP($A30,'Data shares'!$C:$FA,124)</f>
        <v>0.4</v>
      </c>
      <c r="F30" s="143">
        <f>VLOOKUP($A30,'Data shares'!$C:$FA,125)</f>
        <v>0.32</v>
      </c>
      <c r="G30" s="143">
        <f>VLOOKUP($A30,'Data shares'!$C:$FA,127)*100</f>
        <v>25</v>
      </c>
      <c r="H30" s="103">
        <f>VLOOKUP($A30,'OI(Volume)'!$A$7:$O$427,8)</f>
        <v>33829200</v>
      </c>
      <c r="I30" s="103">
        <f>VLOOKUP($A30,'OI(Volume)'!$A$7:$O$427,9)</f>
        <v>561600</v>
      </c>
      <c r="J30" s="103">
        <f>VLOOKUP($A30,'OI(Volume)'!$A$7:$O$427,11)</f>
        <v>31219200</v>
      </c>
      <c r="K30" s="103">
        <f>VLOOKUP($A30,'OI(Volume)'!$A$7:$O$427,12)</f>
        <v>1281600</v>
      </c>
      <c r="L30" s="103">
        <f>VLOOKUP($A30,'OI(Value)'!$A$7:$O$306,8,0)</f>
        <v>502</v>
      </c>
      <c r="M30" s="103">
        <f>VLOOKUP($A30,'OI(Value)'!$A$7:$O$306,9,0)</f>
        <v>8</v>
      </c>
      <c r="N30" s="103">
        <f>VLOOKUP($A30,'OI(Value)'!$A$7:$O$306,11,0)</f>
        <v>463</v>
      </c>
      <c r="O30" s="103">
        <f>VLOOKUP($A30,'OI(Value)'!$A$7:$O$306,12,0)</f>
        <v>19</v>
      </c>
      <c r="P30" s="179">
        <f>VLOOKUP(A30,'OI(Value)'!A30:O231,8,0)</f>
        <v>502</v>
      </c>
      <c r="Q30" s="179">
        <f>VLOOKUP(A30,'OI(Value)'!A30:O231,9,0)</f>
        <v>8</v>
      </c>
      <c r="R30" s="179">
        <f>VLOOKUP(A30,'OI(Value)'!A30:O231,11,0)</f>
        <v>463</v>
      </c>
      <c r="S30" s="179">
        <f>VLOOKUP(A30,'OI(Value)'!A30:O231,11,0)</f>
        <v>463</v>
      </c>
    </row>
    <row r="31" spans="1:19" x14ac:dyDescent="0.25">
      <c r="A31" s="105" t="str">
        <f>'Data shares'!C26</f>
        <v>BANKBARODA</v>
      </c>
      <c r="B31" s="143">
        <f>VLOOKUP($A31,'Data shares'!$C:$FA,118)</f>
        <v>0.63</v>
      </c>
      <c r="C31" s="143">
        <f>VLOOKUP($A31,'Data shares'!$C:$FA,119)</f>
        <v>0.8</v>
      </c>
      <c r="D31" s="143">
        <f>VLOOKUP($A31,'Data shares'!$C:$FA,121)*100</f>
        <v>-21.25</v>
      </c>
      <c r="E31" s="143">
        <f>VLOOKUP($A31,'Data shares'!$C:$FA,124)</f>
        <v>0.27</v>
      </c>
      <c r="F31" s="143">
        <f>VLOOKUP($A31,'Data shares'!$C:$FA,125)</f>
        <v>0.53</v>
      </c>
      <c r="G31" s="143">
        <f>VLOOKUP($A31,'Data shares'!$C:$FA,127)*100</f>
        <v>-49.059999999999995</v>
      </c>
      <c r="H31" s="103">
        <f>VLOOKUP($A31,'OI(Volume)'!$A$7:$O$427,8)</f>
        <v>50862825</v>
      </c>
      <c r="I31" s="103">
        <f>VLOOKUP($A31,'OI(Volume)'!$A$7:$O$427,9)</f>
        <v>13364325</v>
      </c>
      <c r="J31" s="103">
        <f>VLOOKUP($A31,'OI(Volume)'!$A$7:$O$427,11)</f>
        <v>31990725</v>
      </c>
      <c r="K31" s="103">
        <f>VLOOKUP($A31,'OI(Volume)'!$A$7:$O$427,12)</f>
        <v>1924650</v>
      </c>
      <c r="L31" s="103">
        <f>VLOOKUP($A31,'OI(Value)'!$A$7:$O$306,8,0)</f>
        <v>1571</v>
      </c>
      <c r="M31" s="103">
        <f>VLOOKUP($A31,'OI(Value)'!$A$7:$O$306,9,0)</f>
        <v>413</v>
      </c>
      <c r="N31" s="103">
        <f>VLOOKUP($A31,'OI(Value)'!$A$7:$O$306,11,0)</f>
        <v>988</v>
      </c>
      <c r="O31" s="103">
        <f>VLOOKUP($A31,'OI(Value)'!$A$7:$O$306,12,0)</f>
        <v>59</v>
      </c>
      <c r="P31" s="179">
        <f>VLOOKUP(A31,'OI(Value)'!A31:O232,8,0)</f>
        <v>1571</v>
      </c>
      <c r="Q31" s="179">
        <f>VLOOKUP(A31,'OI(Value)'!A31:O232,9,0)</f>
        <v>413</v>
      </c>
      <c r="R31" s="179">
        <f>VLOOKUP(A31,'OI(Value)'!A31:O232,11,0)</f>
        <v>988</v>
      </c>
      <c r="S31" s="179">
        <f>VLOOKUP(A31,'OI(Value)'!A31:O232,11,0)</f>
        <v>988</v>
      </c>
    </row>
    <row r="32" spans="1:19" x14ac:dyDescent="0.25">
      <c r="A32" s="105" t="str">
        <f>'Data shares'!C27</f>
        <v>BANKINDIA</v>
      </c>
      <c r="B32" s="143">
        <f>VLOOKUP($A32,'Data shares'!$C:$FA,118)</f>
        <v>0.85</v>
      </c>
      <c r="C32" s="143">
        <f>VLOOKUP($A32,'Data shares'!$C:$FA,119)</f>
        <v>0.88</v>
      </c>
      <c r="D32" s="143">
        <f>VLOOKUP($A32,'Data shares'!$C:$FA,121)*100</f>
        <v>-3.4099999999999997</v>
      </c>
      <c r="E32" s="143">
        <f>VLOOKUP($A32,'Data shares'!$C:$FA,124)</f>
        <v>0.45</v>
      </c>
      <c r="F32" s="143">
        <f>VLOOKUP($A32,'Data shares'!$C:$FA,125)</f>
        <v>0.32</v>
      </c>
      <c r="G32" s="143">
        <f>VLOOKUP($A32,'Data shares'!$C:$FA,127)*100</f>
        <v>40.630000000000003</v>
      </c>
      <c r="H32" s="103">
        <f>VLOOKUP($A32,'OI(Volume)'!$A$7:$O$427,8)</f>
        <v>18366400</v>
      </c>
      <c r="I32" s="103">
        <f>VLOOKUP($A32,'OI(Volume)'!$A$7:$O$427,9)</f>
        <v>1118000</v>
      </c>
      <c r="J32" s="103">
        <f>VLOOKUP($A32,'OI(Volume)'!$A$7:$O$427,11)</f>
        <v>15537600</v>
      </c>
      <c r="K32" s="103">
        <f>VLOOKUP($A32,'OI(Volume)'!$A$7:$O$427,12)</f>
        <v>426400</v>
      </c>
      <c r="L32" s="103">
        <f>VLOOKUP($A32,'OI(Value)'!$A$7:$O$306,8,0)</f>
        <v>279</v>
      </c>
      <c r="M32" s="103">
        <f>VLOOKUP($A32,'OI(Value)'!$A$7:$O$306,9,0)</f>
        <v>17</v>
      </c>
      <c r="N32" s="103">
        <f>VLOOKUP($A32,'OI(Value)'!$A$7:$O$306,11,0)</f>
        <v>236</v>
      </c>
      <c r="O32" s="103">
        <f>VLOOKUP($A32,'OI(Value)'!$A$7:$O$306,12,0)</f>
        <v>6</v>
      </c>
      <c r="P32" s="179">
        <f>VLOOKUP(A32,'OI(Value)'!A32:O233,8,0)</f>
        <v>279</v>
      </c>
      <c r="Q32" s="179">
        <f>VLOOKUP(A32,'OI(Value)'!A32:O233,9,0)</f>
        <v>17</v>
      </c>
      <c r="R32" s="179">
        <f>VLOOKUP(A32,'OI(Value)'!A32:O233,11,0)</f>
        <v>236</v>
      </c>
      <c r="S32" s="179">
        <f>VLOOKUP(A32,'OI(Value)'!A32:O233,11,0)</f>
        <v>236</v>
      </c>
    </row>
    <row r="33" spans="1:19" x14ac:dyDescent="0.25">
      <c r="A33" s="105" t="str">
        <f>'Data shares'!C28</f>
        <v>BANKNIFTY</v>
      </c>
      <c r="B33" s="143">
        <f>VLOOKUP($A33,'Data shares'!$C:$FA,118)</f>
        <v>1.0900000000000001</v>
      </c>
      <c r="C33" s="143">
        <f>VLOOKUP($A33,'Data shares'!$C:$FA,119)</f>
        <v>1.1499999999999999</v>
      </c>
      <c r="D33" s="143">
        <f>VLOOKUP($A33,'Data shares'!$C:$FA,121)*100</f>
        <v>-5.2200000000000006</v>
      </c>
      <c r="E33" s="143">
        <f>VLOOKUP($A33,'Data shares'!$C:$FA,124)</f>
        <v>1.02</v>
      </c>
      <c r="F33" s="143">
        <f>VLOOKUP($A33,'Data shares'!$C:$FA,125)</f>
        <v>0.98</v>
      </c>
      <c r="G33" s="143">
        <f>VLOOKUP($A33,'Data shares'!$C:$FA,127)*100</f>
        <v>4.08</v>
      </c>
      <c r="H33" s="103">
        <f>VLOOKUP($A33,'OI(Volume)'!$A$7:$O$427,8)</f>
        <v>12968860</v>
      </c>
      <c r="I33" s="103">
        <f>VLOOKUP($A33,'OI(Volume)'!$A$7:$O$427,9)</f>
        <v>539955</v>
      </c>
      <c r="J33" s="103">
        <f>VLOOKUP($A33,'OI(Volume)'!$A$7:$O$427,11)</f>
        <v>14193310</v>
      </c>
      <c r="K33" s="103">
        <f>VLOOKUP($A33,'OI(Volume)'!$A$7:$O$427,12)</f>
        <v>-103965</v>
      </c>
      <c r="L33" s="103">
        <f>VLOOKUP($A33,'OI(Value)'!$A$7:$O$306,8,0)</f>
        <v>78035</v>
      </c>
      <c r="M33" s="103">
        <f>VLOOKUP($A33,'OI(Value)'!$A$7:$O$306,9,0)</f>
        <v>3249</v>
      </c>
      <c r="N33" s="103">
        <f>VLOOKUP($A33,'OI(Value)'!$A$7:$O$306,11,0)</f>
        <v>85403</v>
      </c>
      <c r="O33" s="103">
        <f>VLOOKUP($A33,'OI(Value)'!$A$7:$O$306,12,0)</f>
        <v>-626</v>
      </c>
      <c r="P33" s="179">
        <f>VLOOKUP(A33,'OI(Value)'!A33:O234,8,0)</f>
        <v>78035</v>
      </c>
      <c r="Q33" s="179">
        <f>VLOOKUP(A33,'OI(Value)'!A33:O234,9,0)</f>
        <v>3249</v>
      </c>
      <c r="R33" s="179">
        <f>VLOOKUP(A33,'OI(Value)'!A33:O234,11,0)</f>
        <v>85403</v>
      </c>
      <c r="S33" s="179">
        <f>VLOOKUP(A33,'OI(Value)'!A33:O234,11,0)</f>
        <v>85403</v>
      </c>
    </row>
    <row r="34" spans="1:19" x14ac:dyDescent="0.25">
      <c r="A34" s="105" t="str">
        <f>'Data shares'!C29</f>
        <v>BDL</v>
      </c>
      <c r="B34" s="143">
        <f>VLOOKUP($A34,'Data shares'!$C:$FA,118)</f>
        <v>0.76</v>
      </c>
      <c r="C34" s="143">
        <f>VLOOKUP($A34,'Data shares'!$C:$FA,119)</f>
        <v>0.83</v>
      </c>
      <c r="D34" s="143">
        <f>VLOOKUP($A34,'Data shares'!$C:$FA,121)*100</f>
        <v>-8.43</v>
      </c>
      <c r="E34" s="143">
        <f>VLOOKUP($A34,'Data shares'!$C:$FA,124)</f>
        <v>0.49</v>
      </c>
      <c r="F34" s="143">
        <f>VLOOKUP($A34,'Data shares'!$C:$FA,125)</f>
        <v>0.54</v>
      </c>
      <c r="G34" s="143">
        <f>VLOOKUP($A34,'Data shares'!$C:$FA,127)*100</f>
        <v>-9.26</v>
      </c>
      <c r="H34" s="103">
        <f>VLOOKUP($A34,'OI(Volume)'!$A$7:$O$427,8)</f>
        <v>3663800</v>
      </c>
      <c r="I34" s="103">
        <f>VLOOKUP($A34,'OI(Volume)'!$A$7:$O$427,9)</f>
        <v>243600</v>
      </c>
      <c r="J34" s="103">
        <f>VLOOKUP($A34,'OI(Volume)'!$A$7:$O$427,11)</f>
        <v>2769550</v>
      </c>
      <c r="K34" s="103">
        <f>VLOOKUP($A34,'OI(Volume)'!$A$7:$O$427,12)</f>
        <v>-64050</v>
      </c>
      <c r="L34" s="103">
        <f>VLOOKUP($A34,'OI(Value)'!$A$7:$O$306,8,0)</f>
        <v>565</v>
      </c>
      <c r="M34" s="103">
        <f>VLOOKUP($A34,'OI(Value)'!$A$7:$O$306,9,0)</f>
        <v>38</v>
      </c>
      <c r="N34" s="103">
        <f>VLOOKUP($A34,'OI(Value)'!$A$7:$O$306,11,0)</f>
        <v>427</v>
      </c>
      <c r="O34" s="103">
        <f>VLOOKUP($A34,'OI(Value)'!$A$7:$O$306,12,0)</f>
        <v>-10</v>
      </c>
      <c r="P34" s="179">
        <f>VLOOKUP(A34,'OI(Value)'!A34:O235,8,0)</f>
        <v>565</v>
      </c>
      <c r="Q34" s="179">
        <f>VLOOKUP(A34,'OI(Value)'!A34:O235,9,0)</f>
        <v>38</v>
      </c>
      <c r="R34" s="179">
        <f>VLOOKUP(A34,'OI(Value)'!A34:O235,11,0)</f>
        <v>427</v>
      </c>
      <c r="S34" s="179">
        <f>VLOOKUP(A34,'OI(Value)'!A34:O235,11,0)</f>
        <v>427</v>
      </c>
    </row>
    <row r="35" spans="1:19" x14ac:dyDescent="0.25">
      <c r="A35" s="105" t="str">
        <f>'Data shares'!C30</f>
        <v>BEL</v>
      </c>
      <c r="B35" s="143">
        <f>VLOOKUP($A35,'Data shares'!$C:$FA,118)</f>
        <v>0.67</v>
      </c>
      <c r="C35" s="143">
        <f>VLOOKUP($A35,'Data shares'!$C:$FA,119)</f>
        <v>0.67</v>
      </c>
      <c r="D35" s="143">
        <f>VLOOKUP($A35,'Data shares'!$C:$FA,121)*100</f>
        <v>0</v>
      </c>
      <c r="E35" s="143">
        <f>VLOOKUP($A35,'Data shares'!$C:$FA,124)</f>
        <v>0.51</v>
      </c>
      <c r="F35" s="143">
        <f>VLOOKUP($A35,'Data shares'!$C:$FA,125)</f>
        <v>0.6</v>
      </c>
      <c r="G35" s="143">
        <f>VLOOKUP($A35,'Data shares'!$C:$FA,127)*100</f>
        <v>-15</v>
      </c>
      <c r="H35" s="103">
        <f>VLOOKUP($A35,'OI(Volume)'!$A$7:$O$427,8)</f>
        <v>49035675</v>
      </c>
      <c r="I35" s="103">
        <f>VLOOKUP($A35,'OI(Volume)'!$A$7:$O$427,9)</f>
        <v>1065900</v>
      </c>
      <c r="J35" s="103">
        <f>VLOOKUP($A35,'OI(Volume)'!$A$7:$O$427,11)</f>
        <v>32700900</v>
      </c>
      <c r="K35" s="103">
        <f>VLOOKUP($A35,'OI(Volume)'!$A$7:$O$427,12)</f>
        <v>346275</v>
      </c>
      <c r="L35" s="103">
        <f>VLOOKUP($A35,'OI(Value)'!$A$7:$O$306,8,0)</f>
        <v>2048</v>
      </c>
      <c r="M35" s="103">
        <f>VLOOKUP($A35,'OI(Value)'!$A$7:$O$306,9,0)</f>
        <v>45</v>
      </c>
      <c r="N35" s="103">
        <f>VLOOKUP($A35,'OI(Value)'!$A$7:$O$306,11,0)</f>
        <v>1366</v>
      </c>
      <c r="O35" s="103">
        <f>VLOOKUP($A35,'OI(Value)'!$A$7:$O$306,12,0)</f>
        <v>14</v>
      </c>
      <c r="P35" s="179">
        <f>VLOOKUP(A35,'OI(Value)'!A35:O236,8,0)</f>
        <v>2048</v>
      </c>
      <c r="Q35" s="179">
        <f>VLOOKUP(A35,'OI(Value)'!A35:O236,9,0)</f>
        <v>45</v>
      </c>
      <c r="R35" s="179">
        <f>VLOOKUP(A35,'OI(Value)'!A35:O236,11,0)</f>
        <v>1366</v>
      </c>
      <c r="S35" s="179">
        <f>VLOOKUP(A35,'OI(Value)'!A35:O236,11,0)</f>
        <v>1366</v>
      </c>
    </row>
    <row r="36" spans="1:19" x14ac:dyDescent="0.25">
      <c r="A36" s="105" t="str">
        <f>'Data shares'!C31</f>
        <v>BHARATFORG</v>
      </c>
      <c r="B36" s="143">
        <f>VLOOKUP($A36,'Data shares'!$C:$FA,118)</f>
        <v>0.65</v>
      </c>
      <c r="C36" s="143">
        <f>VLOOKUP($A36,'Data shares'!$C:$FA,119)</f>
        <v>0.68</v>
      </c>
      <c r="D36" s="143">
        <f>VLOOKUP($A36,'Data shares'!$C:$FA,121)*100</f>
        <v>-4.41</v>
      </c>
      <c r="E36" s="143">
        <f>VLOOKUP($A36,'Data shares'!$C:$FA,124)</f>
        <v>0.42</v>
      </c>
      <c r="F36" s="143">
        <f>VLOOKUP($A36,'Data shares'!$C:$FA,125)</f>
        <v>0.36</v>
      </c>
      <c r="G36" s="143">
        <f>VLOOKUP($A36,'Data shares'!$C:$FA,127)*100</f>
        <v>16.669999999999998</v>
      </c>
      <c r="H36" s="103">
        <f>VLOOKUP($A36,'OI(Volume)'!$A$7:$O$427,8)</f>
        <v>2975500</v>
      </c>
      <c r="I36" s="103">
        <f>VLOOKUP($A36,'OI(Volume)'!$A$7:$O$427,9)</f>
        <v>35000</v>
      </c>
      <c r="J36" s="103">
        <f>VLOOKUP($A36,'OI(Volume)'!$A$7:$O$427,11)</f>
        <v>1922500</v>
      </c>
      <c r="K36" s="103">
        <f>VLOOKUP($A36,'OI(Volume)'!$A$7:$O$427,12)</f>
        <v>-72500</v>
      </c>
      <c r="L36" s="103">
        <f>VLOOKUP($A36,'OI(Value)'!$A$7:$O$306,8,0)</f>
        <v>443</v>
      </c>
      <c r="M36" s="103">
        <f>VLOOKUP($A36,'OI(Value)'!$A$7:$O$306,9,0)</f>
        <v>5</v>
      </c>
      <c r="N36" s="103">
        <f>VLOOKUP($A36,'OI(Value)'!$A$7:$O$306,11,0)</f>
        <v>286</v>
      </c>
      <c r="O36" s="103">
        <f>VLOOKUP($A36,'OI(Value)'!$A$7:$O$306,12,0)</f>
        <v>-11</v>
      </c>
      <c r="P36" s="179">
        <f>VLOOKUP(A36,'OI(Value)'!A36:O237,8,0)</f>
        <v>443</v>
      </c>
      <c r="Q36" s="179">
        <f>VLOOKUP(A36,'OI(Value)'!A36:O237,9,0)</f>
        <v>5</v>
      </c>
      <c r="R36" s="179">
        <f>VLOOKUP(A36,'OI(Value)'!A36:O237,11,0)</f>
        <v>286</v>
      </c>
      <c r="S36" s="179">
        <f>VLOOKUP(A36,'OI(Value)'!A36:O237,11,0)</f>
        <v>286</v>
      </c>
    </row>
    <row r="37" spans="1:19" x14ac:dyDescent="0.25">
      <c r="A37" s="105" t="str">
        <f>'Data shares'!C32</f>
        <v>BHARTIARTL</v>
      </c>
      <c r="B37" s="143">
        <f>VLOOKUP($A37,'Data shares'!$C:$FA,118)</f>
        <v>0.57999999999999996</v>
      </c>
      <c r="C37" s="143">
        <f>VLOOKUP($A37,'Data shares'!$C:$FA,119)</f>
        <v>0.64</v>
      </c>
      <c r="D37" s="143">
        <f>VLOOKUP($A37,'Data shares'!$C:$FA,121)*100</f>
        <v>-9.379999999999999</v>
      </c>
      <c r="E37" s="143">
        <f>VLOOKUP($A37,'Data shares'!$C:$FA,124)</f>
        <v>0.59</v>
      </c>
      <c r="F37" s="143">
        <f>VLOOKUP($A37,'Data shares'!$C:$FA,125)</f>
        <v>0.61</v>
      </c>
      <c r="G37" s="143">
        <f>VLOOKUP($A37,'Data shares'!$C:$FA,127)*100</f>
        <v>-3.2800000000000002</v>
      </c>
      <c r="H37" s="103">
        <f>VLOOKUP($A37,'OI(Volume)'!$A$7:$O$427,8)</f>
        <v>9284350</v>
      </c>
      <c r="I37" s="103">
        <f>VLOOKUP($A37,'OI(Volume)'!$A$7:$O$427,9)</f>
        <v>1095825</v>
      </c>
      <c r="J37" s="103">
        <f>VLOOKUP($A37,'OI(Volume)'!$A$7:$O$427,11)</f>
        <v>5429725</v>
      </c>
      <c r="K37" s="103">
        <f>VLOOKUP($A37,'OI(Volume)'!$A$7:$O$427,12)</f>
        <v>221350</v>
      </c>
      <c r="L37" s="103">
        <f>VLOOKUP($A37,'OI(Value)'!$A$7:$O$306,8,0)</f>
        <v>1942</v>
      </c>
      <c r="M37" s="103">
        <f>VLOOKUP($A37,'OI(Value)'!$A$7:$O$306,9,0)</f>
        <v>229</v>
      </c>
      <c r="N37" s="103">
        <f>VLOOKUP($A37,'OI(Value)'!$A$7:$O$306,11,0)</f>
        <v>1136</v>
      </c>
      <c r="O37" s="103">
        <f>VLOOKUP($A37,'OI(Value)'!$A$7:$O$306,12,0)</f>
        <v>46</v>
      </c>
      <c r="P37" s="179">
        <f>VLOOKUP(A37,'OI(Value)'!A37:O238,8,0)</f>
        <v>1942</v>
      </c>
      <c r="Q37" s="179">
        <f>VLOOKUP(A37,'OI(Value)'!A37:O238,9,0)</f>
        <v>229</v>
      </c>
      <c r="R37" s="179">
        <f>VLOOKUP(A37,'OI(Value)'!A37:O238,11,0)</f>
        <v>1136</v>
      </c>
      <c r="S37" s="179">
        <f>VLOOKUP(A37,'OI(Value)'!A37:O238,11,0)</f>
        <v>1136</v>
      </c>
    </row>
    <row r="38" spans="1:19" x14ac:dyDescent="0.25">
      <c r="A38" s="105" t="str">
        <f>'Data shares'!C33</f>
        <v>BHEL</v>
      </c>
      <c r="B38" s="143">
        <f>VLOOKUP($A38,'Data shares'!$C:$FA,118)</f>
        <v>0.69</v>
      </c>
      <c r="C38" s="143">
        <f>VLOOKUP($A38,'Data shares'!$C:$FA,119)</f>
        <v>0.68</v>
      </c>
      <c r="D38" s="143">
        <f>VLOOKUP($A38,'Data shares'!$C:$FA,121)*100</f>
        <v>1.47</v>
      </c>
      <c r="E38" s="143">
        <f>VLOOKUP($A38,'Data shares'!$C:$FA,124)</f>
        <v>0.27</v>
      </c>
      <c r="F38" s="143">
        <f>VLOOKUP($A38,'Data shares'!$C:$FA,125)</f>
        <v>0.49</v>
      </c>
      <c r="G38" s="143">
        <f>VLOOKUP($A38,'Data shares'!$C:$FA,127)*100</f>
        <v>-44.9</v>
      </c>
      <c r="H38" s="103">
        <f>VLOOKUP($A38,'OI(Volume)'!$A$7:$O$427,8)</f>
        <v>37432500</v>
      </c>
      <c r="I38" s="103">
        <f>VLOOKUP($A38,'OI(Volume)'!$A$7:$O$427,9)</f>
        <v>1627500</v>
      </c>
      <c r="J38" s="103">
        <f>VLOOKUP($A38,'OI(Volume)'!$A$7:$O$427,11)</f>
        <v>26005875</v>
      </c>
      <c r="K38" s="103">
        <f>VLOOKUP($A38,'OI(Volume)'!$A$7:$O$427,12)</f>
        <v>1706250</v>
      </c>
      <c r="L38" s="103">
        <f>VLOOKUP($A38,'OI(Value)'!$A$7:$O$306,8,0)</f>
        <v>1141</v>
      </c>
      <c r="M38" s="103">
        <f>VLOOKUP($A38,'OI(Value)'!$A$7:$O$306,9,0)</f>
        <v>50</v>
      </c>
      <c r="N38" s="103">
        <f>VLOOKUP($A38,'OI(Value)'!$A$7:$O$306,11,0)</f>
        <v>793</v>
      </c>
      <c r="O38" s="103">
        <f>VLOOKUP($A38,'OI(Value)'!$A$7:$O$306,12,0)</f>
        <v>52</v>
      </c>
      <c r="P38" s="179">
        <f>VLOOKUP(A38,'OI(Value)'!A38:O239,8,0)</f>
        <v>1141</v>
      </c>
      <c r="Q38" s="179">
        <f>VLOOKUP(A38,'OI(Value)'!A38:O239,9,0)</f>
        <v>50</v>
      </c>
      <c r="R38" s="179">
        <f>VLOOKUP(A38,'OI(Value)'!A38:O239,11,0)</f>
        <v>793</v>
      </c>
      <c r="S38" s="179">
        <f>VLOOKUP(A38,'OI(Value)'!A38:O239,11,0)</f>
        <v>793</v>
      </c>
    </row>
    <row r="39" spans="1:19" x14ac:dyDescent="0.25">
      <c r="A39" s="105" t="str">
        <f>'Data shares'!C34</f>
        <v>BIOCON</v>
      </c>
      <c r="B39" s="143">
        <f>VLOOKUP($A39,'Data shares'!$C:$FA,118)</f>
        <v>0.54</v>
      </c>
      <c r="C39" s="143">
        <f>VLOOKUP($A39,'Data shares'!$C:$FA,119)</f>
        <v>0.56000000000000005</v>
      </c>
      <c r="D39" s="143">
        <f>VLOOKUP($A39,'Data shares'!$C:$FA,121)*100</f>
        <v>-3.5700000000000003</v>
      </c>
      <c r="E39" s="143">
        <f>VLOOKUP($A39,'Data shares'!$C:$FA,124)</f>
        <v>0.27</v>
      </c>
      <c r="F39" s="143">
        <f>VLOOKUP($A39,'Data shares'!$C:$FA,125)</f>
        <v>0.49</v>
      </c>
      <c r="G39" s="143">
        <f>VLOOKUP($A39,'Data shares'!$C:$FA,127)*100</f>
        <v>-44.9</v>
      </c>
      <c r="H39" s="103">
        <f>VLOOKUP($A39,'OI(Volume)'!$A$7:$O$427,8)</f>
        <v>19415000</v>
      </c>
      <c r="I39" s="103">
        <f>VLOOKUP($A39,'OI(Volume)'!$A$7:$O$427,9)</f>
        <v>2647500</v>
      </c>
      <c r="J39" s="103">
        <f>VLOOKUP($A39,'OI(Volume)'!$A$7:$O$427,11)</f>
        <v>10542500</v>
      </c>
      <c r="K39" s="103">
        <f>VLOOKUP($A39,'OI(Volume)'!$A$7:$O$427,12)</f>
        <v>1115000</v>
      </c>
      <c r="L39" s="103">
        <f>VLOOKUP($A39,'OI(Value)'!$A$7:$O$306,8,0)</f>
        <v>755</v>
      </c>
      <c r="M39" s="103">
        <f>VLOOKUP($A39,'OI(Value)'!$A$7:$O$306,9,0)</f>
        <v>103</v>
      </c>
      <c r="N39" s="103">
        <f>VLOOKUP($A39,'OI(Value)'!$A$7:$O$306,11,0)</f>
        <v>410</v>
      </c>
      <c r="O39" s="103">
        <f>VLOOKUP($A39,'OI(Value)'!$A$7:$O$306,12,0)</f>
        <v>43</v>
      </c>
      <c r="P39" s="179">
        <f>VLOOKUP(A39,'OI(Value)'!A39:O240,8,0)</f>
        <v>755</v>
      </c>
      <c r="Q39" s="179">
        <f>VLOOKUP(A39,'OI(Value)'!A39:O240,9,0)</f>
        <v>103</v>
      </c>
      <c r="R39" s="179">
        <f>VLOOKUP(A39,'OI(Value)'!A39:O240,11,0)</f>
        <v>410</v>
      </c>
      <c r="S39" s="179">
        <f>VLOOKUP(A39,'OI(Value)'!A39:O240,11,0)</f>
        <v>410</v>
      </c>
    </row>
    <row r="40" spans="1:19" x14ac:dyDescent="0.25">
      <c r="A40" s="105" t="str">
        <f>'Data shares'!C35</f>
        <v>BLUESTARCO</v>
      </c>
      <c r="B40" s="143">
        <f>VLOOKUP($A40,'Data shares'!$C:$FA,118)</f>
        <v>0.76</v>
      </c>
      <c r="C40" s="143">
        <f>VLOOKUP($A40,'Data shares'!$C:$FA,119)</f>
        <v>0.78</v>
      </c>
      <c r="D40" s="143">
        <f>VLOOKUP($A40,'Data shares'!$C:$FA,121)*100</f>
        <v>-2.56</v>
      </c>
      <c r="E40" s="143">
        <f>VLOOKUP($A40,'Data shares'!$C:$FA,124)</f>
        <v>0.49</v>
      </c>
      <c r="F40" s="143">
        <f>VLOOKUP($A40,'Data shares'!$C:$FA,125)</f>
        <v>0.55000000000000004</v>
      </c>
      <c r="G40" s="143">
        <f>VLOOKUP($A40,'Data shares'!$C:$FA,127)*100</f>
        <v>-10.91</v>
      </c>
      <c r="H40" s="103">
        <f>VLOOKUP($A40,'OI(Volume)'!$A$7:$O$427,8)</f>
        <v>607425</v>
      </c>
      <c r="I40" s="103">
        <f>VLOOKUP($A40,'OI(Volume)'!$A$7:$O$427,9)</f>
        <v>136175</v>
      </c>
      <c r="J40" s="103">
        <f>VLOOKUP($A40,'OI(Volume)'!$A$7:$O$427,11)</f>
        <v>460850</v>
      </c>
      <c r="K40" s="103">
        <f>VLOOKUP($A40,'OI(Volume)'!$A$7:$O$427,12)</f>
        <v>95550</v>
      </c>
      <c r="L40" s="103">
        <f>VLOOKUP($A40,'OI(Value)'!$A$7:$O$306,8,0)</f>
        <v>112</v>
      </c>
      <c r="M40" s="103">
        <f>VLOOKUP($A40,'OI(Value)'!$A$7:$O$306,9,0)</f>
        <v>25</v>
      </c>
      <c r="N40" s="103">
        <f>VLOOKUP($A40,'OI(Value)'!$A$7:$O$306,11,0)</f>
        <v>85</v>
      </c>
      <c r="O40" s="103">
        <f>VLOOKUP($A40,'OI(Value)'!$A$7:$O$306,12,0)</f>
        <v>18</v>
      </c>
      <c r="P40" s="179">
        <f>VLOOKUP(A40,'OI(Value)'!A40:O241,8,0)</f>
        <v>112</v>
      </c>
      <c r="Q40" s="179">
        <f>VLOOKUP(A40,'OI(Value)'!A40:O241,9,0)</f>
        <v>25</v>
      </c>
      <c r="R40" s="179">
        <f>VLOOKUP(A40,'OI(Value)'!A40:O241,11,0)</f>
        <v>85</v>
      </c>
      <c r="S40" s="179">
        <f>VLOOKUP(A40,'OI(Value)'!A40:O241,11,0)</f>
        <v>85</v>
      </c>
    </row>
    <row r="41" spans="1:19" x14ac:dyDescent="0.25">
      <c r="A41" s="105" t="str">
        <f>'Data shares'!C36</f>
        <v>BOSCHLTD</v>
      </c>
      <c r="B41" s="143">
        <f>VLOOKUP($A41,'Data shares'!$C:$FA,118)</f>
        <v>0.72</v>
      </c>
      <c r="C41" s="143">
        <f>VLOOKUP($A41,'Data shares'!$C:$FA,119)</f>
        <v>0.75</v>
      </c>
      <c r="D41" s="143">
        <f>VLOOKUP($A41,'Data shares'!$C:$FA,121)*100</f>
        <v>-4</v>
      </c>
      <c r="E41" s="143">
        <f>VLOOKUP($A41,'Data shares'!$C:$FA,124)</f>
        <v>0.88</v>
      </c>
      <c r="F41" s="143">
        <f>VLOOKUP($A41,'Data shares'!$C:$FA,125)</f>
        <v>0.53</v>
      </c>
      <c r="G41" s="143">
        <f>VLOOKUP($A41,'Data shares'!$C:$FA,127)*100</f>
        <v>66.039999999999992</v>
      </c>
      <c r="H41" s="103">
        <f>VLOOKUP($A41,'OI(Volume)'!$A$7:$O$427,8)</f>
        <v>243175</v>
      </c>
      <c r="I41" s="103">
        <f>VLOOKUP($A41,'OI(Volume)'!$A$7:$O$427,9)</f>
        <v>-2125</v>
      </c>
      <c r="J41" s="103">
        <f>VLOOKUP($A41,'OI(Volume)'!$A$7:$O$427,11)</f>
        <v>175175</v>
      </c>
      <c r="K41" s="103">
        <f>VLOOKUP($A41,'OI(Volume)'!$A$7:$O$427,12)</f>
        <v>-8675</v>
      </c>
      <c r="L41" s="103">
        <f>VLOOKUP($A41,'OI(Value)'!$A$7:$O$306,8,0)</f>
        <v>957</v>
      </c>
      <c r="M41" s="103">
        <f>VLOOKUP($A41,'OI(Value)'!$A$7:$O$306,9,0)</f>
        <v>-8</v>
      </c>
      <c r="N41" s="103">
        <f>VLOOKUP($A41,'OI(Value)'!$A$7:$O$306,11,0)</f>
        <v>689</v>
      </c>
      <c r="O41" s="103">
        <f>VLOOKUP($A41,'OI(Value)'!$A$7:$O$306,12,0)</f>
        <v>-34</v>
      </c>
      <c r="P41" s="179">
        <f>VLOOKUP(A41,'OI(Value)'!A41:O242,8,0)</f>
        <v>957</v>
      </c>
      <c r="Q41" s="179">
        <f>VLOOKUP(A41,'OI(Value)'!A41:O242,9,0)</f>
        <v>-8</v>
      </c>
      <c r="R41" s="179">
        <f>VLOOKUP(A41,'OI(Value)'!A41:O242,11,0)</f>
        <v>689</v>
      </c>
      <c r="S41" s="179">
        <f>VLOOKUP(A41,'OI(Value)'!A41:O242,11,0)</f>
        <v>689</v>
      </c>
    </row>
    <row r="42" spans="1:19" x14ac:dyDescent="0.25">
      <c r="A42" s="105" t="str">
        <f>'Data shares'!C37</f>
        <v>BPCL</v>
      </c>
      <c r="B42" s="143">
        <f>VLOOKUP($A42,'Data shares'!$C:$FA,118)</f>
        <v>0.6</v>
      </c>
      <c r="C42" s="143">
        <f>VLOOKUP($A42,'Data shares'!$C:$FA,119)</f>
        <v>0.61</v>
      </c>
      <c r="D42" s="143">
        <f>VLOOKUP($A42,'Data shares'!$C:$FA,121)*100</f>
        <v>-1.6400000000000001</v>
      </c>
      <c r="E42" s="143">
        <f>VLOOKUP($A42,'Data shares'!$C:$FA,124)</f>
        <v>0.57999999999999996</v>
      </c>
      <c r="F42" s="143">
        <f>VLOOKUP($A42,'Data shares'!$C:$FA,125)</f>
        <v>0.7</v>
      </c>
      <c r="G42" s="143">
        <f>VLOOKUP($A42,'Data shares'!$C:$FA,127)*100</f>
        <v>-17.14</v>
      </c>
      <c r="H42" s="103">
        <f>VLOOKUP($A42,'OI(Volume)'!$A$7:$O$427,8)</f>
        <v>15626200</v>
      </c>
      <c r="I42" s="103">
        <f>VLOOKUP($A42,'OI(Volume)'!$A$7:$O$427,9)</f>
        <v>1072425</v>
      </c>
      <c r="J42" s="103">
        <f>VLOOKUP($A42,'OI(Volume)'!$A$7:$O$427,11)</f>
        <v>9436550</v>
      </c>
      <c r="K42" s="103">
        <f>VLOOKUP($A42,'OI(Volume)'!$A$7:$O$427,12)</f>
        <v>537200</v>
      </c>
      <c r="L42" s="103">
        <f>VLOOKUP($A42,'OI(Value)'!$A$7:$O$306,8,0)</f>
        <v>577</v>
      </c>
      <c r="M42" s="103">
        <f>VLOOKUP($A42,'OI(Value)'!$A$7:$O$306,9,0)</f>
        <v>40</v>
      </c>
      <c r="N42" s="103">
        <f>VLOOKUP($A42,'OI(Value)'!$A$7:$O$306,11,0)</f>
        <v>348</v>
      </c>
      <c r="O42" s="103">
        <f>VLOOKUP($A42,'OI(Value)'!$A$7:$O$306,12,0)</f>
        <v>20</v>
      </c>
      <c r="P42" s="179">
        <f>VLOOKUP(A42,'OI(Value)'!A42:O243,8,0)</f>
        <v>577</v>
      </c>
      <c r="Q42" s="179">
        <f>VLOOKUP(A42,'OI(Value)'!A42:O243,9,0)</f>
        <v>40</v>
      </c>
      <c r="R42" s="179">
        <f>VLOOKUP(A42,'OI(Value)'!A42:O243,11,0)</f>
        <v>348</v>
      </c>
      <c r="S42" s="179">
        <f>VLOOKUP(A42,'OI(Value)'!A42:O243,11,0)</f>
        <v>348</v>
      </c>
    </row>
    <row r="43" spans="1:19" x14ac:dyDescent="0.25">
      <c r="A43" s="105" t="str">
        <f>'Data shares'!C38</f>
        <v>BRITANNIA</v>
      </c>
      <c r="B43" s="143">
        <f>VLOOKUP($A43,'Data shares'!$C:$FA,118)</f>
        <v>0.67</v>
      </c>
      <c r="C43" s="143">
        <f>VLOOKUP($A43,'Data shares'!$C:$FA,119)</f>
        <v>0.64</v>
      </c>
      <c r="D43" s="143">
        <f>VLOOKUP($A43,'Data shares'!$C:$FA,121)*100</f>
        <v>4.6899999999999995</v>
      </c>
      <c r="E43" s="143">
        <f>VLOOKUP($A43,'Data shares'!$C:$FA,124)</f>
        <v>0.37</v>
      </c>
      <c r="F43" s="143">
        <f>VLOOKUP($A43,'Data shares'!$C:$FA,125)</f>
        <v>0.36</v>
      </c>
      <c r="G43" s="143">
        <f>VLOOKUP($A43,'Data shares'!$C:$FA,127)*100</f>
        <v>2.78</v>
      </c>
      <c r="H43" s="103">
        <f>VLOOKUP($A43,'OI(Volume)'!$A$7:$O$427,8)</f>
        <v>768250</v>
      </c>
      <c r="I43" s="103">
        <f>VLOOKUP($A43,'OI(Volume)'!$A$7:$O$427,9)</f>
        <v>79875</v>
      </c>
      <c r="J43" s="103">
        <f>VLOOKUP($A43,'OI(Volume)'!$A$7:$O$427,11)</f>
        <v>517875</v>
      </c>
      <c r="K43" s="103">
        <f>VLOOKUP($A43,'OI(Volume)'!$A$7:$O$427,12)</f>
        <v>79250</v>
      </c>
      <c r="L43" s="103">
        <f>VLOOKUP($A43,'OI(Value)'!$A$7:$O$306,8,0)</f>
        <v>476</v>
      </c>
      <c r="M43" s="103">
        <f>VLOOKUP($A43,'OI(Value)'!$A$7:$O$306,9,0)</f>
        <v>50</v>
      </c>
      <c r="N43" s="103">
        <f>VLOOKUP($A43,'OI(Value)'!$A$7:$O$306,11,0)</f>
        <v>321</v>
      </c>
      <c r="O43" s="103">
        <f>VLOOKUP($A43,'OI(Value)'!$A$7:$O$306,12,0)</f>
        <v>49</v>
      </c>
      <c r="P43" s="179">
        <f>VLOOKUP(A43,'OI(Value)'!A43:O244,8,0)</f>
        <v>476</v>
      </c>
      <c r="Q43" s="179">
        <f>VLOOKUP(A43,'OI(Value)'!A43:O244,9,0)</f>
        <v>50</v>
      </c>
      <c r="R43" s="179">
        <f>VLOOKUP(A43,'OI(Value)'!A43:O244,11,0)</f>
        <v>321</v>
      </c>
      <c r="S43" s="179">
        <f>VLOOKUP(A43,'OI(Value)'!A43:O244,11,0)</f>
        <v>321</v>
      </c>
    </row>
    <row r="44" spans="1:19" x14ac:dyDescent="0.25">
      <c r="A44" s="105" t="str">
        <f>'Data shares'!C39</f>
        <v>BSE</v>
      </c>
      <c r="B44" s="143">
        <f>VLOOKUP($A44,'Data shares'!$C:$FA,118)</f>
        <v>0.76</v>
      </c>
      <c r="C44" s="143">
        <f>VLOOKUP($A44,'Data shares'!$C:$FA,119)</f>
        <v>0.7</v>
      </c>
      <c r="D44" s="143">
        <f>VLOOKUP($A44,'Data shares'!$C:$FA,121)*100</f>
        <v>8.57</v>
      </c>
      <c r="E44" s="143">
        <f>VLOOKUP($A44,'Data shares'!$C:$FA,124)</f>
        <v>0.51</v>
      </c>
      <c r="F44" s="143">
        <f>VLOOKUP($A44,'Data shares'!$C:$FA,125)</f>
        <v>0.51</v>
      </c>
      <c r="G44" s="143">
        <f>VLOOKUP($A44,'Data shares'!$C:$FA,127)*100</f>
        <v>0</v>
      </c>
      <c r="H44" s="103">
        <f>VLOOKUP($A44,'OI(Volume)'!$A$7:$O$427,8)</f>
        <v>6314250</v>
      </c>
      <c r="I44" s="103">
        <f>VLOOKUP($A44,'OI(Volume)'!$A$7:$O$427,9)</f>
        <v>-526500</v>
      </c>
      <c r="J44" s="103">
        <f>VLOOKUP($A44,'OI(Volume)'!$A$7:$O$427,11)</f>
        <v>4798125</v>
      </c>
      <c r="K44" s="103">
        <f>VLOOKUP($A44,'OI(Volume)'!$A$7:$O$427,12)</f>
        <v>12000</v>
      </c>
      <c r="L44" s="103">
        <f>VLOOKUP($A44,'OI(Value)'!$A$7:$O$306,8,0)</f>
        <v>1741</v>
      </c>
      <c r="M44" s="103">
        <f>VLOOKUP($A44,'OI(Value)'!$A$7:$O$306,9,0)</f>
        <v>-145</v>
      </c>
      <c r="N44" s="103">
        <f>VLOOKUP($A44,'OI(Value)'!$A$7:$O$306,11,0)</f>
        <v>1323</v>
      </c>
      <c r="O44" s="103">
        <f>VLOOKUP($A44,'OI(Value)'!$A$7:$O$306,12,0)</f>
        <v>3</v>
      </c>
      <c r="P44" s="179">
        <f>VLOOKUP(A44,'OI(Value)'!A44:O245,8,0)</f>
        <v>1741</v>
      </c>
      <c r="Q44" s="179">
        <f>VLOOKUP(A44,'OI(Value)'!A44:O245,9,0)</f>
        <v>-145</v>
      </c>
      <c r="R44" s="179">
        <f>VLOOKUP(A44,'OI(Value)'!A44:O245,11,0)</f>
        <v>1323</v>
      </c>
      <c r="S44" s="179">
        <f>VLOOKUP(A44,'OI(Value)'!A44:O245,11,0)</f>
        <v>1323</v>
      </c>
    </row>
    <row r="45" spans="1:19" x14ac:dyDescent="0.25">
      <c r="A45" s="105" t="str">
        <f>'Data shares'!C40</f>
        <v>CAMS</v>
      </c>
      <c r="B45" s="143">
        <f>VLOOKUP($A45,'Data shares'!$C:$FA,118)</f>
        <v>0.93</v>
      </c>
      <c r="C45" s="143">
        <f>VLOOKUP($A45,'Data shares'!$C:$FA,119)</f>
        <v>0.95</v>
      </c>
      <c r="D45" s="143">
        <f>VLOOKUP($A45,'Data shares'!$C:$FA,121)*100</f>
        <v>-2.11</v>
      </c>
      <c r="E45" s="143">
        <f>VLOOKUP($A45,'Data shares'!$C:$FA,124)</f>
        <v>0.33</v>
      </c>
      <c r="F45" s="143">
        <f>VLOOKUP($A45,'Data shares'!$C:$FA,125)</f>
        <v>0.4</v>
      </c>
      <c r="G45" s="143">
        <f>VLOOKUP($A45,'Data shares'!$C:$FA,127)*100</f>
        <v>-17.5</v>
      </c>
      <c r="H45" s="103">
        <f>VLOOKUP($A45,'OI(Volume)'!$A$7:$O$427,8)</f>
        <v>2765250</v>
      </c>
      <c r="I45" s="103">
        <f>VLOOKUP($A45,'OI(Volume)'!$A$7:$O$427,9)</f>
        <v>177000</v>
      </c>
      <c r="J45" s="103">
        <f>VLOOKUP($A45,'OI(Volume)'!$A$7:$O$427,11)</f>
        <v>2560500</v>
      </c>
      <c r="K45" s="103">
        <f>VLOOKUP($A45,'OI(Volume)'!$A$7:$O$427,12)</f>
        <v>102000</v>
      </c>
      <c r="L45" s="103">
        <f>VLOOKUP($A45,'OI(Value)'!$A$7:$O$306,8,0)</f>
        <v>210</v>
      </c>
      <c r="M45" s="103">
        <f>VLOOKUP($A45,'OI(Value)'!$A$7:$O$306,9,0)</f>
        <v>13</v>
      </c>
      <c r="N45" s="103">
        <f>VLOOKUP($A45,'OI(Value)'!$A$7:$O$306,11,0)</f>
        <v>194</v>
      </c>
      <c r="O45" s="103">
        <f>VLOOKUP($A45,'OI(Value)'!$A$7:$O$306,12,0)</f>
        <v>8</v>
      </c>
      <c r="P45" s="179">
        <f>VLOOKUP(A45,'OI(Value)'!A45:O246,8,0)</f>
        <v>210</v>
      </c>
      <c r="Q45" s="179">
        <f>VLOOKUP(A45,'OI(Value)'!A45:O246,9,0)</f>
        <v>13</v>
      </c>
      <c r="R45" s="179">
        <f>VLOOKUP(A45,'OI(Value)'!A45:O246,11,0)</f>
        <v>194</v>
      </c>
      <c r="S45" s="179">
        <f>VLOOKUP(A45,'OI(Value)'!A45:O246,11,0)</f>
        <v>194</v>
      </c>
    </row>
    <row r="46" spans="1:19" x14ac:dyDescent="0.25">
      <c r="A46" s="105" t="str">
        <f>'Data shares'!C41</f>
        <v>CANBK</v>
      </c>
      <c r="B46" s="143">
        <f>VLOOKUP($A46,'Data shares'!$C:$FA,118)</f>
        <v>0.73</v>
      </c>
      <c r="C46" s="143">
        <f>VLOOKUP($A46,'Data shares'!$C:$FA,119)</f>
        <v>0.78</v>
      </c>
      <c r="D46" s="143">
        <f>VLOOKUP($A46,'Data shares'!$C:$FA,121)*100</f>
        <v>-6.41</v>
      </c>
      <c r="E46" s="143">
        <f>VLOOKUP($A46,'Data shares'!$C:$FA,124)</f>
        <v>0.66</v>
      </c>
      <c r="F46" s="143">
        <f>VLOOKUP($A46,'Data shares'!$C:$FA,125)</f>
        <v>0.55000000000000004</v>
      </c>
      <c r="G46" s="143">
        <f>VLOOKUP($A46,'Data shares'!$C:$FA,127)*100</f>
        <v>20</v>
      </c>
      <c r="H46" s="103">
        <f>VLOOKUP($A46,'OI(Volume)'!$A$7:$O$427,8)</f>
        <v>95154750</v>
      </c>
      <c r="I46" s="103">
        <f>VLOOKUP($A46,'OI(Volume)'!$A$7:$O$427,9)</f>
        <v>10968750</v>
      </c>
      <c r="J46" s="103">
        <f>VLOOKUP($A46,'OI(Volume)'!$A$7:$O$427,11)</f>
        <v>69781500</v>
      </c>
      <c r="K46" s="103">
        <f>VLOOKUP($A46,'OI(Volume)'!$A$7:$O$427,12)</f>
        <v>3901500</v>
      </c>
      <c r="L46" s="103">
        <f>VLOOKUP($A46,'OI(Value)'!$A$7:$O$306,8,0)</f>
        <v>1454</v>
      </c>
      <c r="M46" s="103">
        <f>VLOOKUP($A46,'OI(Value)'!$A$7:$O$306,9,0)</f>
        <v>168</v>
      </c>
      <c r="N46" s="103">
        <f>VLOOKUP($A46,'OI(Value)'!$A$7:$O$306,11,0)</f>
        <v>1067</v>
      </c>
      <c r="O46" s="103">
        <f>VLOOKUP($A46,'OI(Value)'!$A$7:$O$306,12,0)</f>
        <v>60</v>
      </c>
      <c r="P46" s="179">
        <f>VLOOKUP(A46,'OI(Value)'!A46:O247,8,0)</f>
        <v>1454</v>
      </c>
      <c r="Q46" s="179">
        <f>VLOOKUP(A46,'OI(Value)'!A46:O247,9,0)</f>
        <v>168</v>
      </c>
      <c r="R46" s="179">
        <f>VLOOKUP(A46,'OI(Value)'!A46:O247,11,0)</f>
        <v>1067</v>
      </c>
      <c r="S46" s="179">
        <f>VLOOKUP(A46,'OI(Value)'!A46:O247,11,0)</f>
        <v>1067</v>
      </c>
    </row>
    <row r="47" spans="1:19" x14ac:dyDescent="0.25">
      <c r="A47" s="105" t="str">
        <f>'Data shares'!C42</f>
        <v>CDSL</v>
      </c>
      <c r="B47" s="143">
        <f>VLOOKUP($A47,'Data shares'!$C:$FA,118)</f>
        <v>0.68</v>
      </c>
      <c r="C47" s="143">
        <f>VLOOKUP($A47,'Data shares'!$C:$FA,119)</f>
        <v>0.72</v>
      </c>
      <c r="D47" s="143">
        <f>VLOOKUP($A47,'Data shares'!$C:$FA,121)*100</f>
        <v>-5.56</v>
      </c>
      <c r="E47" s="143">
        <f>VLOOKUP($A47,'Data shares'!$C:$FA,124)</f>
        <v>0.48</v>
      </c>
      <c r="F47" s="143">
        <f>VLOOKUP($A47,'Data shares'!$C:$FA,125)</f>
        <v>0.5</v>
      </c>
      <c r="G47" s="143">
        <f>VLOOKUP($A47,'Data shares'!$C:$FA,127)*100</f>
        <v>-4</v>
      </c>
      <c r="H47" s="103">
        <f>VLOOKUP($A47,'OI(Volume)'!$A$7:$O$427,8)</f>
        <v>7017650</v>
      </c>
      <c r="I47" s="103">
        <f>VLOOKUP($A47,'OI(Volume)'!$A$7:$O$427,9)</f>
        <v>197125</v>
      </c>
      <c r="J47" s="103">
        <f>VLOOKUP($A47,'OI(Volume)'!$A$7:$O$427,11)</f>
        <v>4748100</v>
      </c>
      <c r="K47" s="103">
        <f>VLOOKUP($A47,'OI(Volume)'!$A$7:$O$427,12)</f>
        <v>-136325</v>
      </c>
      <c r="L47" s="103">
        <f>VLOOKUP($A47,'OI(Value)'!$A$7:$O$306,8,0)</f>
        <v>1041</v>
      </c>
      <c r="M47" s="103">
        <f>VLOOKUP($A47,'OI(Value)'!$A$7:$O$306,9,0)</f>
        <v>29</v>
      </c>
      <c r="N47" s="103">
        <f>VLOOKUP($A47,'OI(Value)'!$A$7:$O$306,11,0)</f>
        <v>704</v>
      </c>
      <c r="O47" s="103">
        <f>VLOOKUP($A47,'OI(Value)'!$A$7:$O$306,12,0)</f>
        <v>-20</v>
      </c>
      <c r="P47" s="179">
        <f>VLOOKUP(A47,'OI(Value)'!A47:O248,8,0)</f>
        <v>1041</v>
      </c>
      <c r="Q47" s="179">
        <f>VLOOKUP(A47,'OI(Value)'!A47:O248,9,0)</f>
        <v>29</v>
      </c>
      <c r="R47" s="179">
        <f>VLOOKUP(A47,'OI(Value)'!A47:O248,11,0)</f>
        <v>704</v>
      </c>
      <c r="S47" s="179">
        <f>VLOOKUP(A47,'OI(Value)'!A47:O248,11,0)</f>
        <v>704</v>
      </c>
    </row>
    <row r="48" spans="1:19" x14ac:dyDescent="0.25">
      <c r="A48" s="105" t="str">
        <f>'Data shares'!C43</f>
        <v>CGPOWER</v>
      </c>
      <c r="B48" s="143">
        <f>VLOOKUP($A48,'Data shares'!$C:$FA,118)</f>
        <v>0.65</v>
      </c>
      <c r="C48" s="143">
        <f>VLOOKUP($A48,'Data shares'!$C:$FA,119)</f>
        <v>0.7</v>
      </c>
      <c r="D48" s="143">
        <f>VLOOKUP($A48,'Data shares'!$C:$FA,121)*100</f>
        <v>-7.1400000000000006</v>
      </c>
      <c r="E48" s="143">
        <f>VLOOKUP($A48,'Data shares'!$C:$FA,124)</f>
        <v>0.37</v>
      </c>
      <c r="F48" s="143">
        <f>VLOOKUP($A48,'Data shares'!$C:$FA,125)</f>
        <v>0.36</v>
      </c>
      <c r="G48" s="143">
        <f>VLOOKUP($A48,'Data shares'!$C:$FA,127)*100</f>
        <v>2.78</v>
      </c>
      <c r="H48" s="103">
        <f>VLOOKUP($A48,'OI(Volume)'!$A$7:$O$427,8)</f>
        <v>5376250</v>
      </c>
      <c r="I48" s="103">
        <f>VLOOKUP($A48,'OI(Volume)'!$A$7:$O$427,9)</f>
        <v>527850</v>
      </c>
      <c r="J48" s="103">
        <f>VLOOKUP($A48,'OI(Volume)'!$A$7:$O$427,11)</f>
        <v>3472250</v>
      </c>
      <c r="K48" s="103">
        <f>VLOOKUP($A48,'OI(Volume)'!$A$7:$O$427,12)</f>
        <v>88400</v>
      </c>
      <c r="L48" s="103">
        <f>VLOOKUP($A48,'OI(Value)'!$A$7:$O$306,8,0)</f>
        <v>343</v>
      </c>
      <c r="M48" s="103">
        <f>VLOOKUP($A48,'OI(Value)'!$A$7:$O$306,9,0)</f>
        <v>34</v>
      </c>
      <c r="N48" s="103">
        <f>VLOOKUP($A48,'OI(Value)'!$A$7:$O$306,11,0)</f>
        <v>222</v>
      </c>
      <c r="O48" s="103">
        <f>VLOOKUP($A48,'OI(Value)'!$A$7:$O$306,12,0)</f>
        <v>6</v>
      </c>
      <c r="P48" s="179">
        <f>VLOOKUP(A48,'OI(Value)'!A48:O249,8,0)</f>
        <v>343</v>
      </c>
      <c r="Q48" s="179">
        <f>VLOOKUP(A48,'OI(Value)'!A48:O249,9,0)</f>
        <v>34</v>
      </c>
      <c r="R48" s="179">
        <f>VLOOKUP(A48,'OI(Value)'!A48:O249,11,0)</f>
        <v>222</v>
      </c>
      <c r="S48" s="179">
        <f>VLOOKUP(A48,'OI(Value)'!A48:O249,11,0)</f>
        <v>222</v>
      </c>
    </row>
    <row r="49" spans="1:19" x14ac:dyDescent="0.25">
      <c r="A49" s="105" t="str">
        <f>'Data shares'!C44</f>
        <v>CHOLAFIN</v>
      </c>
      <c r="B49" s="143">
        <f>VLOOKUP($A49,'Data shares'!$C:$FA,118)</f>
        <v>0.85</v>
      </c>
      <c r="C49" s="143">
        <f>VLOOKUP($A49,'Data shares'!$C:$FA,119)</f>
        <v>0.89</v>
      </c>
      <c r="D49" s="143">
        <f>VLOOKUP($A49,'Data shares'!$C:$FA,121)*100</f>
        <v>-4.49</v>
      </c>
      <c r="E49" s="143">
        <f>VLOOKUP($A49,'Data shares'!$C:$FA,124)</f>
        <v>0.88</v>
      </c>
      <c r="F49" s="143">
        <f>VLOOKUP($A49,'Data shares'!$C:$FA,125)</f>
        <v>0.41</v>
      </c>
      <c r="G49" s="143">
        <f>VLOOKUP($A49,'Data shares'!$C:$FA,127)*100</f>
        <v>114.63000000000001</v>
      </c>
      <c r="H49" s="103">
        <f>VLOOKUP($A49,'OI(Volume)'!$A$7:$O$427,8)</f>
        <v>5303125</v>
      </c>
      <c r="I49" s="103">
        <f>VLOOKUP($A49,'OI(Volume)'!$A$7:$O$427,9)</f>
        <v>153125</v>
      </c>
      <c r="J49" s="103">
        <f>VLOOKUP($A49,'OI(Volume)'!$A$7:$O$427,11)</f>
        <v>4533125</v>
      </c>
      <c r="K49" s="103">
        <f>VLOOKUP($A49,'OI(Volume)'!$A$7:$O$427,12)</f>
        <v>-30000</v>
      </c>
      <c r="L49" s="103">
        <f>VLOOKUP($A49,'OI(Value)'!$A$7:$O$306,8,0)</f>
        <v>952</v>
      </c>
      <c r="M49" s="103">
        <f>VLOOKUP($A49,'OI(Value)'!$A$7:$O$306,9,0)</f>
        <v>27</v>
      </c>
      <c r="N49" s="103">
        <f>VLOOKUP($A49,'OI(Value)'!$A$7:$O$306,11,0)</f>
        <v>814</v>
      </c>
      <c r="O49" s="103">
        <f>VLOOKUP($A49,'OI(Value)'!$A$7:$O$306,12,0)</f>
        <v>-5</v>
      </c>
      <c r="P49" s="179">
        <f>VLOOKUP(A49,'OI(Value)'!A49:O250,8,0)</f>
        <v>952</v>
      </c>
      <c r="Q49" s="179">
        <f>VLOOKUP(A49,'OI(Value)'!A49:O250,9,0)</f>
        <v>27</v>
      </c>
      <c r="R49" s="179">
        <f>VLOOKUP(A49,'OI(Value)'!A49:O250,11,0)</f>
        <v>814</v>
      </c>
      <c r="S49" s="179">
        <f>VLOOKUP(A49,'OI(Value)'!A49:O250,11,0)</f>
        <v>814</v>
      </c>
    </row>
    <row r="50" spans="1:19" x14ac:dyDescent="0.25">
      <c r="A50" s="105" t="str">
        <f>'Data shares'!C45</f>
        <v>CIPLA</v>
      </c>
      <c r="B50" s="143">
        <f>VLOOKUP($A50,'Data shares'!$C:$FA,118)</f>
        <v>0.76</v>
      </c>
      <c r="C50" s="143">
        <f>VLOOKUP($A50,'Data shares'!$C:$FA,119)</f>
        <v>0.76</v>
      </c>
      <c r="D50" s="143">
        <f>VLOOKUP($A50,'Data shares'!$C:$FA,121)*100</f>
        <v>0</v>
      </c>
      <c r="E50" s="143">
        <f>VLOOKUP($A50,'Data shares'!$C:$FA,124)</f>
        <v>1.1599999999999999</v>
      </c>
      <c r="F50" s="143">
        <f>VLOOKUP($A50,'Data shares'!$C:$FA,125)</f>
        <v>0.36</v>
      </c>
      <c r="G50" s="143">
        <f>VLOOKUP($A50,'Data shares'!$C:$FA,127)*100</f>
        <v>222.22</v>
      </c>
      <c r="H50" s="103">
        <f>VLOOKUP($A50,'OI(Volume)'!$A$7:$O$427,8)</f>
        <v>5962500</v>
      </c>
      <c r="I50" s="103">
        <f>VLOOKUP($A50,'OI(Volume)'!$A$7:$O$427,9)</f>
        <v>2488500</v>
      </c>
      <c r="J50" s="103">
        <f>VLOOKUP($A50,'OI(Volume)'!$A$7:$O$427,11)</f>
        <v>4506375</v>
      </c>
      <c r="K50" s="103">
        <f>VLOOKUP($A50,'OI(Volume)'!$A$7:$O$427,12)</f>
        <v>1867500</v>
      </c>
      <c r="L50" s="103">
        <f>VLOOKUP($A50,'OI(Value)'!$A$7:$O$306,8,0)</f>
        <v>877</v>
      </c>
      <c r="M50" s="103">
        <f>VLOOKUP($A50,'OI(Value)'!$A$7:$O$306,9,0)</f>
        <v>366</v>
      </c>
      <c r="N50" s="103">
        <f>VLOOKUP($A50,'OI(Value)'!$A$7:$O$306,11,0)</f>
        <v>663</v>
      </c>
      <c r="O50" s="103">
        <f>VLOOKUP($A50,'OI(Value)'!$A$7:$O$306,12,0)</f>
        <v>275</v>
      </c>
      <c r="P50" s="179">
        <f>VLOOKUP(A50,'OI(Value)'!A50:O251,8,0)</f>
        <v>877</v>
      </c>
      <c r="Q50" s="179">
        <f>VLOOKUP(A50,'OI(Value)'!A50:O251,9,0)</f>
        <v>366</v>
      </c>
      <c r="R50" s="179">
        <f>VLOOKUP(A50,'OI(Value)'!A50:O251,11,0)</f>
        <v>663</v>
      </c>
      <c r="S50" s="179">
        <f>VLOOKUP(A50,'OI(Value)'!A50:O251,11,0)</f>
        <v>663</v>
      </c>
    </row>
    <row r="51" spans="1:19" x14ac:dyDescent="0.25">
      <c r="A51" s="105" t="str">
        <f>'Data shares'!C46</f>
        <v>COALINDIA</v>
      </c>
      <c r="B51" s="143">
        <f>VLOOKUP($A51,'Data shares'!$C:$FA,118)</f>
        <v>0.56000000000000005</v>
      </c>
      <c r="C51" s="143">
        <f>VLOOKUP($A51,'Data shares'!$C:$FA,119)</f>
        <v>0.56999999999999995</v>
      </c>
      <c r="D51" s="143">
        <f>VLOOKUP($A51,'Data shares'!$C:$FA,121)*100</f>
        <v>-1.7500000000000002</v>
      </c>
      <c r="E51" s="143">
        <f>VLOOKUP($A51,'Data shares'!$C:$FA,124)</f>
        <v>0.32</v>
      </c>
      <c r="F51" s="143">
        <f>VLOOKUP($A51,'Data shares'!$C:$FA,125)</f>
        <v>0.43</v>
      </c>
      <c r="G51" s="143">
        <f>VLOOKUP($A51,'Data shares'!$C:$FA,127)*100</f>
        <v>-25.580000000000002</v>
      </c>
      <c r="H51" s="103">
        <f>VLOOKUP($A51,'OI(Volume)'!$A$7:$O$427,8)</f>
        <v>48363750</v>
      </c>
      <c r="I51" s="103">
        <f>VLOOKUP($A51,'OI(Volume)'!$A$7:$O$427,9)</f>
        <v>1949400</v>
      </c>
      <c r="J51" s="103">
        <f>VLOOKUP($A51,'OI(Volume)'!$A$7:$O$427,11)</f>
        <v>27313200</v>
      </c>
      <c r="K51" s="103">
        <f>VLOOKUP($A51,'OI(Volume)'!$A$7:$O$427,12)</f>
        <v>1070550</v>
      </c>
      <c r="L51" s="103">
        <f>VLOOKUP($A51,'OI(Value)'!$A$7:$O$306,8,0)</f>
        <v>2093</v>
      </c>
      <c r="M51" s="103">
        <f>VLOOKUP($A51,'OI(Value)'!$A$7:$O$306,9,0)</f>
        <v>84</v>
      </c>
      <c r="N51" s="103">
        <f>VLOOKUP($A51,'OI(Value)'!$A$7:$O$306,11,0)</f>
        <v>1182</v>
      </c>
      <c r="O51" s="103">
        <f>VLOOKUP($A51,'OI(Value)'!$A$7:$O$306,12,0)</f>
        <v>46</v>
      </c>
      <c r="P51" s="179">
        <f>VLOOKUP(A51,'OI(Value)'!A51:O252,8,0)</f>
        <v>2093</v>
      </c>
      <c r="Q51" s="179">
        <f>VLOOKUP(A51,'OI(Value)'!A51:O252,9,0)</f>
        <v>84</v>
      </c>
      <c r="R51" s="179">
        <f>VLOOKUP(A51,'OI(Value)'!A51:O252,11,0)</f>
        <v>1182</v>
      </c>
      <c r="S51" s="179">
        <f>VLOOKUP(A51,'OI(Value)'!A51:O252,11,0)</f>
        <v>1182</v>
      </c>
    </row>
    <row r="52" spans="1:19" x14ac:dyDescent="0.25">
      <c r="A52" s="105" t="str">
        <f>'Data shares'!C47</f>
        <v>COFORGE</v>
      </c>
      <c r="B52" s="143">
        <f>VLOOKUP($A52,'Data shares'!$C:$FA,118)</f>
        <v>0.49</v>
      </c>
      <c r="C52" s="143">
        <f>VLOOKUP($A52,'Data shares'!$C:$FA,119)</f>
        <v>0.49</v>
      </c>
      <c r="D52" s="143">
        <f>VLOOKUP($A52,'Data shares'!$C:$FA,121)*100</f>
        <v>0</v>
      </c>
      <c r="E52" s="143">
        <f>VLOOKUP($A52,'Data shares'!$C:$FA,124)</f>
        <v>0.31</v>
      </c>
      <c r="F52" s="143">
        <f>VLOOKUP($A52,'Data shares'!$C:$FA,125)</f>
        <v>0.28999999999999998</v>
      </c>
      <c r="G52" s="143">
        <f>VLOOKUP($A52,'Data shares'!$C:$FA,127)*100</f>
        <v>6.9</v>
      </c>
      <c r="H52" s="103">
        <f>VLOOKUP($A52,'OI(Volume)'!$A$7:$O$427,8)</f>
        <v>10458750</v>
      </c>
      <c r="I52" s="103">
        <f>VLOOKUP($A52,'OI(Volume)'!$A$7:$O$427,9)</f>
        <v>-501750</v>
      </c>
      <c r="J52" s="103">
        <f>VLOOKUP($A52,'OI(Volume)'!$A$7:$O$427,11)</f>
        <v>5174625</v>
      </c>
      <c r="K52" s="103">
        <f>VLOOKUP($A52,'OI(Volume)'!$A$7:$O$427,12)</f>
        <v>-180000</v>
      </c>
      <c r="L52" s="103">
        <f>VLOOKUP($A52,'OI(Value)'!$A$7:$O$306,8,0)</f>
        <v>1782</v>
      </c>
      <c r="M52" s="103">
        <f>VLOOKUP($A52,'OI(Value)'!$A$7:$O$306,9,0)</f>
        <v>-86</v>
      </c>
      <c r="N52" s="103">
        <f>VLOOKUP($A52,'OI(Value)'!$A$7:$O$306,11,0)</f>
        <v>882</v>
      </c>
      <c r="O52" s="103">
        <f>VLOOKUP($A52,'OI(Value)'!$A$7:$O$306,12,0)</f>
        <v>-31</v>
      </c>
      <c r="P52" s="179">
        <f>VLOOKUP(A52,'OI(Value)'!A52:O253,8,0)</f>
        <v>1782</v>
      </c>
      <c r="Q52" s="179">
        <f>VLOOKUP(A52,'OI(Value)'!A52:O253,9,0)</f>
        <v>-86</v>
      </c>
      <c r="R52" s="179">
        <f>VLOOKUP(A52,'OI(Value)'!A52:O253,11,0)</f>
        <v>882</v>
      </c>
      <c r="S52" s="179">
        <f>VLOOKUP(A52,'OI(Value)'!A52:O253,11,0)</f>
        <v>882</v>
      </c>
    </row>
    <row r="53" spans="1:19" x14ac:dyDescent="0.25">
      <c r="A53" s="105" t="str">
        <f>'Data shares'!C48</f>
        <v>COLPAL</v>
      </c>
      <c r="B53" s="143">
        <f>VLOOKUP($A53,'Data shares'!$C:$FA,118)</f>
        <v>0.61</v>
      </c>
      <c r="C53" s="143">
        <f>VLOOKUP($A53,'Data shares'!$C:$FA,119)</f>
        <v>0.64</v>
      </c>
      <c r="D53" s="143">
        <f>VLOOKUP($A53,'Data shares'!$C:$FA,121)*100</f>
        <v>-4.6899999999999995</v>
      </c>
      <c r="E53" s="143">
        <f>VLOOKUP($A53,'Data shares'!$C:$FA,124)</f>
        <v>0.32</v>
      </c>
      <c r="F53" s="143">
        <f>VLOOKUP($A53,'Data shares'!$C:$FA,125)</f>
        <v>0.36</v>
      </c>
      <c r="G53" s="143">
        <f>VLOOKUP($A53,'Data shares'!$C:$FA,127)*100</f>
        <v>-11.110000000000001</v>
      </c>
      <c r="H53" s="103">
        <f>VLOOKUP($A53,'OI(Volume)'!$A$7:$O$427,8)</f>
        <v>2585025</v>
      </c>
      <c r="I53" s="103">
        <f>VLOOKUP($A53,'OI(Volume)'!$A$7:$O$427,9)</f>
        <v>176400</v>
      </c>
      <c r="J53" s="103">
        <f>VLOOKUP($A53,'OI(Volume)'!$A$7:$O$427,11)</f>
        <v>1579950</v>
      </c>
      <c r="K53" s="103">
        <f>VLOOKUP($A53,'OI(Volume)'!$A$7:$O$427,12)</f>
        <v>35550</v>
      </c>
      <c r="L53" s="103">
        <f>VLOOKUP($A53,'OI(Value)'!$A$7:$O$306,8,0)</f>
        <v>538</v>
      </c>
      <c r="M53" s="103">
        <f>VLOOKUP($A53,'OI(Value)'!$A$7:$O$306,9,0)</f>
        <v>37</v>
      </c>
      <c r="N53" s="103">
        <f>VLOOKUP($A53,'OI(Value)'!$A$7:$O$306,11,0)</f>
        <v>329</v>
      </c>
      <c r="O53" s="103">
        <f>VLOOKUP($A53,'OI(Value)'!$A$7:$O$306,12,0)</f>
        <v>7</v>
      </c>
      <c r="P53" s="179">
        <f>VLOOKUP(A53,'OI(Value)'!A53:O254,8,0)</f>
        <v>538</v>
      </c>
      <c r="Q53" s="179">
        <f>VLOOKUP(A53,'OI(Value)'!A53:O254,9,0)</f>
        <v>37</v>
      </c>
      <c r="R53" s="179">
        <f>VLOOKUP(A53,'OI(Value)'!A53:O254,11,0)</f>
        <v>329</v>
      </c>
      <c r="S53" s="179">
        <f>VLOOKUP(A53,'OI(Value)'!A53:O254,11,0)</f>
        <v>329</v>
      </c>
    </row>
    <row r="54" spans="1:19" x14ac:dyDescent="0.25">
      <c r="A54" s="105" t="str">
        <f>'Data shares'!C49</f>
        <v>CONCOR</v>
      </c>
      <c r="B54" s="143">
        <f>VLOOKUP($A54,'Data shares'!$C:$FA,118)</f>
        <v>0.67</v>
      </c>
      <c r="C54" s="143">
        <f>VLOOKUP($A54,'Data shares'!$C:$FA,119)</f>
        <v>0.66</v>
      </c>
      <c r="D54" s="143">
        <f>VLOOKUP($A54,'Data shares'!$C:$FA,121)*100</f>
        <v>1.52</v>
      </c>
      <c r="E54" s="143">
        <f>VLOOKUP($A54,'Data shares'!$C:$FA,124)</f>
        <v>0.33</v>
      </c>
      <c r="F54" s="143">
        <f>VLOOKUP($A54,'Data shares'!$C:$FA,125)</f>
        <v>0.3</v>
      </c>
      <c r="G54" s="143">
        <f>VLOOKUP($A54,'Data shares'!$C:$FA,127)*100</f>
        <v>10</v>
      </c>
      <c r="H54" s="103">
        <f>VLOOKUP($A54,'OI(Volume)'!$A$7:$O$427,8)</f>
        <v>13023750</v>
      </c>
      <c r="I54" s="103">
        <f>VLOOKUP($A54,'OI(Volume)'!$A$7:$O$427,9)</f>
        <v>138750</v>
      </c>
      <c r="J54" s="103">
        <f>VLOOKUP($A54,'OI(Volume)'!$A$7:$O$427,11)</f>
        <v>8740000</v>
      </c>
      <c r="K54" s="103">
        <f>VLOOKUP($A54,'OI(Volume)'!$A$7:$O$427,12)</f>
        <v>202500</v>
      </c>
      <c r="L54" s="103">
        <f>VLOOKUP($A54,'OI(Value)'!$A$7:$O$306,8,0)</f>
        <v>696</v>
      </c>
      <c r="M54" s="103">
        <f>VLOOKUP($A54,'OI(Value)'!$A$7:$O$306,9,0)</f>
        <v>7</v>
      </c>
      <c r="N54" s="103">
        <f>VLOOKUP($A54,'OI(Value)'!$A$7:$O$306,11,0)</f>
        <v>467</v>
      </c>
      <c r="O54" s="103">
        <f>VLOOKUP($A54,'OI(Value)'!$A$7:$O$306,12,0)</f>
        <v>11</v>
      </c>
      <c r="P54" s="179">
        <f>VLOOKUP(A54,'OI(Value)'!A54:O255,8,0)</f>
        <v>696</v>
      </c>
      <c r="Q54" s="179">
        <f>VLOOKUP(A54,'OI(Value)'!A54:O255,9,0)</f>
        <v>7</v>
      </c>
      <c r="R54" s="179">
        <f>VLOOKUP(A54,'OI(Value)'!A54:O255,11,0)</f>
        <v>467</v>
      </c>
      <c r="S54" s="179">
        <f>VLOOKUP(A54,'OI(Value)'!A54:O255,11,0)</f>
        <v>467</v>
      </c>
    </row>
    <row r="55" spans="1:19" x14ac:dyDescent="0.25">
      <c r="A55" s="105" t="str">
        <f>'Data shares'!C50</f>
        <v>CROMPTON</v>
      </c>
      <c r="B55" s="143">
        <f>VLOOKUP($A55,'Data shares'!$C:$FA,118)</f>
        <v>0.68</v>
      </c>
      <c r="C55" s="143">
        <f>VLOOKUP($A55,'Data shares'!$C:$FA,119)</f>
        <v>0.64</v>
      </c>
      <c r="D55" s="143">
        <f>VLOOKUP($A55,'Data shares'!$C:$FA,121)*100</f>
        <v>6.25</v>
      </c>
      <c r="E55" s="143">
        <f>VLOOKUP($A55,'Data shares'!$C:$FA,124)</f>
        <v>0.25</v>
      </c>
      <c r="F55" s="143">
        <f>VLOOKUP($A55,'Data shares'!$C:$FA,125)</f>
        <v>0.19</v>
      </c>
      <c r="G55" s="143">
        <f>VLOOKUP($A55,'Data shares'!$C:$FA,127)*100</f>
        <v>31.580000000000002</v>
      </c>
      <c r="H55" s="103">
        <f>VLOOKUP($A55,'OI(Volume)'!$A$7:$O$427,8)</f>
        <v>16520400</v>
      </c>
      <c r="I55" s="103">
        <f>VLOOKUP($A55,'OI(Volume)'!$A$7:$O$427,9)</f>
        <v>-498600</v>
      </c>
      <c r="J55" s="103">
        <f>VLOOKUP($A55,'OI(Volume)'!$A$7:$O$427,11)</f>
        <v>11194200</v>
      </c>
      <c r="K55" s="103">
        <f>VLOOKUP($A55,'OI(Volume)'!$A$7:$O$427,12)</f>
        <v>324000</v>
      </c>
      <c r="L55" s="103">
        <f>VLOOKUP($A55,'OI(Value)'!$A$7:$O$306,8,0)</f>
        <v>436</v>
      </c>
      <c r="M55" s="103">
        <f>VLOOKUP($A55,'OI(Value)'!$A$7:$O$306,9,0)</f>
        <v>-13</v>
      </c>
      <c r="N55" s="103">
        <f>VLOOKUP($A55,'OI(Value)'!$A$7:$O$306,11,0)</f>
        <v>296</v>
      </c>
      <c r="O55" s="103">
        <f>VLOOKUP($A55,'OI(Value)'!$A$7:$O$306,12,0)</f>
        <v>9</v>
      </c>
      <c r="P55" s="179">
        <f>VLOOKUP(A55,'OI(Value)'!A55:O256,8,0)</f>
        <v>436</v>
      </c>
      <c r="Q55" s="179">
        <f>VLOOKUP(A55,'OI(Value)'!A55:O256,9,0)</f>
        <v>-13</v>
      </c>
      <c r="R55" s="179">
        <f>VLOOKUP(A55,'OI(Value)'!A55:O256,11,0)</f>
        <v>296</v>
      </c>
      <c r="S55" s="179">
        <f>VLOOKUP(A55,'OI(Value)'!A55:O256,11,0)</f>
        <v>296</v>
      </c>
    </row>
    <row r="56" spans="1:19" x14ac:dyDescent="0.25">
      <c r="A56" s="105" t="str">
        <f>'Data shares'!C51</f>
        <v>CUMMINSIND</v>
      </c>
      <c r="B56" s="143">
        <f>VLOOKUP($A56,'Data shares'!$C:$FA,118)</f>
        <v>0.56000000000000005</v>
      </c>
      <c r="C56" s="143">
        <f>VLOOKUP($A56,'Data shares'!$C:$FA,119)</f>
        <v>0.53</v>
      </c>
      <c r="D56" s="143">
        <f>VLOOKUP($A56,'Data shares'!$C:$FA,121)*100</f>
        <v>5.66</v>
      </c>
      <c r="E56" s="143">
        <f>VLOOKUP($A56,'Data shares'!$C:$FA,124)</f>
        <v>0.67</v>
      </c>
      <c r="F56" s="143">
        <f>VLOOKUP($A56,'Data shares'!$C:$FA,125)</f>
        <v>0.98</v>
      </c>
      <c r="G56" s="143">
        <f>VLOOKUP($A56,'Data shares'!$C:$FA,127)*100</f>
        <v>-31.630000000000003</v>
      </c>
      <c r="H56" s="103">
        <f>VLOOKUP($A56,'OI(Volume)'!$A$7:$O$427,8)</f>
        <v>1582800</v>
      </c>
      <c r="I56" s="103">
        <f>VLOOKUP($A56,'OI(Volume)'!$A$7:$O$427,9)</f>
        <v>-12400</v>
      </c>
      <c r="J56" s="103">
        <f>VLOOKUP($A56,'OI(Volume)'!$A$7:$O$427,11)</f>
        <v>893200</v>
      </c>
      <c r="K56" s="103">
        <f>VLOOKUP($A56,'OI(Volume)'!$A$7:$O$427,12)</f>
        <v>49000</v>
      </c>
      <c r="L56" s="103">
        <f>VLOOKUP($A56,'OI(Value)'!$A$7:$O$306,8,0)</f>
        <v>660</v>
      </c>
      <c r="M56" s="103">
        <f>VLOOKUP($A56,'OI(Value)'!$A$7:$O$306,9,0)</f>
        <v>-5</v>
      </c>
      <c r="N56" s="103">
        <f>VLOOKUP($A56,'OI(Value)'!$A$7:$O$306,11,0)</f>
        <v>372</v>
      </c>
      <c r="O56" s="103">
        <f>VLOOKUP($A56,'OI(Value)'!$A$7:$O$306,12,0)</f>
        <v>20</v>
      </c>
      <c r="P56" s="179">
        <f>VLOOKUP(A56,'OI(Value)'!A56:O257,8,0)</f>
        <v>660</v>
      </c>
      <c r="Q56" s="179">
        <f>VLOOKUP(A56,'OI(Value)'!A56:O257,9,0)</f>
        <v>-5</v>
      </c>
      <c r="R56" s="179">
        <f>VLOOKUP(A56,'OI(Value)'!A56:O257,11,0)</f>
        <v>372</v>
      </c>
      <c r="S56" s="179">
        <f>VLOOKUP(A56,'OI(Value)'!A56:O257,11,0)</f>
        <v>372</v>
      </c>
    </row>
    <row r="57" spans="1:19" x14ac:dyDescent="0.25">
      <c r="A57" s="105" t="str">
        <f>'Data shares'!C52</f>
        <v>DABUR</v>
      </c>
      <c r="B57" s="143">
        <f>VLOOKUP($A57,'Data shares'!$C:$FA,118)</f>
        <v>0.65</v>
      </c>
      <c r="C57" s="143">
        <f>VLOOKUP($A57,'Data shares'!$C:$FA,119)</f>
        <v>0.65</v>
      </c>
      <c r="D57" s="143">
        <f>VLOOKUP($A57,'Data shares'!$C:$FA,121)*100</f>
        <v>0</v>
      </c>
      <c r="E57" s="143">
        <f>VLOOKUP($A57,'Data shares'!$C:$FA,124)</f>
        <v>0.47</v>
      </c>
      <c r="F57" s="143">
        <f>VLOOKUP($A57,'Data shares'!$C:$FA,125)</f>
        <v>0.5</v>
      </c>
      <c r="G57" s="143">
        <f>VLOOKUP($A57,'Data shares'!$C:$FA,127)*100</f>
        <v>-6</v>
      </c>
      <c r="H57" s="103">
        <f>VLOOKUP($A57,'OI(Volume)'!$A$7:$O$427,8)</f>
        <v>15272500</v>
      </c>
      <c r="I57" s="103">
        <f>VLOOKUP($A57,'OI(Volume)'!$A$7:$O$427,9)</f>
        <v>-60000</v>
      </c>
      <c r="J57" s="103">
        <f>VLOOKUP($A57,'OI(Volume)'!$A$7:$O$427,11)</f>
        <v>9911250</v>
      </c>
      <c r="K57" s="103">
        <f>VLOOKUP($A57,'OI(Volume)'!$A$7:$O$427,12)</f>
        <v>-36250</v>
      </c>
      <c r="L57" s="103">
        <f>VLOOKUP($A57,'OI(Value)'!$A$7:$O$306,8,0)</f>
        <v>799</v>
      </c>
      <c r="M57" s="103">
        <f>VLOOKUP($A57,'OI(Value)'!$A$7:$O$306,9,0)</f>
        <v>-3</v>
      </c>
      <c r="N57" s="103">
        <f>VLOOKUP($A57,'OI(Value)'!$A$7:$O$306,11,0)</f>
        <v>519</v>
      </c>
      <c r="O57" s="103">
        <f>VLOOKUP($A57,'OI(Value)'!$A$7:$O$306,12,0)</f>
        <v>-2</v>
      </c>
      <c r="P57" s="179">
        <f>VLOOKUP(A57,'OI(Value)'!A57:O258,8,0)</f>
        <v>799</v>
      </c>
      <c r="Q57" s="179">
        <f>VLOOKUP(A57,'OI(Value)'!A57:O258,9,0)</f>
        <v>-3</v>
      </c>
      <c r="R57" s="179">
        <f>VLOOKUP(A57,'OI(Value)'!A57:O258,11,0)</f>
        <v>519</v>
      </c>
      <c r="S57" s="179">
        <f>VLOOKUP(A57,'OI(Value)'!A57:O258,11,0)</f>
        <v>519</v>
      </c>
    </row>
    <row r="58" spans="1:19" x14ac:dyDescent="0.25">
      <c r="A58" s="105" t="str">
        <f>'Data shares'!C53</f>
        <v>DALBHARAT</v>
      </c>
      <c r="B58" s="143">
        <f>VLOOKUP($A58,'Data shares'!$C:$FA,118)</f>
        <v>0.59</v>
      </c>
      <c r="C58" s="143">
        <f>VLOOKUP($A58,'Data shares'!$C:$FA,119)</f>
        <v>0.55000000000000004</v>
      </c>
      <c r="D58" s="143">
        <f>VLOOKUP($A58,'Data shares'!$C:$FA,121)*100</f>
        <v>7.2700000000000005</v>
      </c>
      <c r="E58" s="143">
        <f>VLOOKUP($A58,'Data shares'!$C:$FA,124)</f>
        <v>0.3</v>
      </c>
      <c r="F58" s="143">
        <f>VLOOKUP($A58,'Data shares'!$C:$FA,125)</f>
        <v>0.43</v>
      </c>
      <c r="G58" s="143">
        <f>VLOOKUP($A58,'Data shares'!$C:$FA,127)*100</f>
        <v>-30.23</v>
      </c>
      <c r="H58" s="103">
        <f>VLOOKUP($A58,'OI(Volume)'!$A$7:$O$427,8)</f>
        <v>936975</v>
      </c>
      <c r="I58" s="103">
        <f>VLOOKUP($A58,'OI(Volume)'!$A$7:$O$427,9)</f>
        <v>52650</v>
      </c>
      <c r="J58" s="103">
        <f>VLOOKUP($A58,'OI(Volume)'!$A$7:$O$427,11)</f>
        <v>555425</v>
      </c>
      <c r="K58" s="103">
        <f>VLOOKUP($A58,'OI(Volume)'!$A$7:$O$427,12)</f>
        <v>68575</v>
      </c>
      <c r="L58" s="103">
        <f>VLOOKUP($A58,'OI(Value)'!$A$7:$O$306,8,0)</f>
        <v>200</v>
      </c>
      <c r="M58" s="103">
        <f>VLOOKUP($A58,'OI(Value)'!$A$7:$O$306,9,0)</f>
        <v>11</v>
      </c>
      <c r="N58" s="103">
        <f>VLOOKUP($A58,'OI(Value)'!$A$7:$O$306,11,0)</f>
        <v>118</v>
      </c>
      <c r="O58" s="103">
        <f>VLOOKUP($A58,'OI(Value)'!$A$7:$O$306,12,0)</f>
        <v>15</v>
      </c>
      <c r="P58" s="179">
        <f>VLOOKUP(A58,'OI(Value)'!A58:O259,8,0)</f>
        <v>200</v>
      </c>
      <c r="Q58" s="179">
        <f>VLOOKUP(A58,'OI(Value)'!A58:O259,9,0)</f>
        <v>11</v>
      </c>
      <c r="R58" s="179">
        <f>VLOOKUP(A58,'OI(Value)'!A58:O259,11,0)</f>
        <v>118</v>
      </c>
      <c r="S58" s="179">
        <f>VLOOKUP(A58,'OI(Value)'!A58:O259,11,0)</f>
        <v>118</v>
      </c>
    </row>
    <row r="59" spans="1:19" x14ac:dyDescent="0.25">
      <c r="A59" s="105" t="str">
        <f>'Data shares'!C54</f>
        <v>DELHIVERY</v>
      </c>
      <c r="B59" s="143">
        <f>VLOOKUP($A59,'Data shares'!$C:$FA,118)</f>
        <v>0.77</v>
      </c>
      <c r="C59" s="143">
        <f>VLOOKUP($A59,'Data shares'!$C:$FA,119)</f>
        <v>0.85</v>
      </c>
      <c r="D59" s="143">
        <f>VLOOKUP($A59,'Data shares'!$C:$FA,121)*100</f>
        <v>-9.41</v>
      </c>
      <c r="E59" s="143">
        <f>VLOOKUP($A59,'Data shares'!$C:$FA,124)</f>
        <v>0.4</v>
      </c>
      <c r="F59" s="143">
        <f>VLOOKUP($A59,'Data shares'!$C:$FA,125)</f>
        <v>0.35</v>
      </c>
      <c r="G59" s="143">
        <f>VLOOKUP($A59,'Data shares'!$C:$FA,127)*100</f>
        <v>14.29</v>
      </c>
      <c r="H59" s="103">
        <f>VLOOKUP($A59,'OI(Volume)'!$A$7:$O$427,8)</f>
        <v>6550775</v>
      </c>
      <c r="I59" s="103">
        <f>VLOOKUP($A59,'OI(Volume)'!$A$7:$O$427,9)</f>
        <v>1112200</v>
      </c>
      <c r="J59" s="103">
        <f>VLOOKUP($A59,'OI(Volume)'!$A$7:$O$427,11)</f>
        <v>5017350</v>
      </c>
      <c r="K59" s="103">
        <f>VLOOKUP($A59,'OI(Volume)'!$A$7:$O$427,12)</f>
        <v>417075</v>
      </c>
      <c r="L59" s="103">
        <f>VLOOKUP($A59,'OI(Value)'!$A$7:$O$306,8,0)</f>
        <v>278</v>
      </c>
      <c r="M59" s="103">
        <f>VLOOKUP($A59,'OI(Value)'!$A$7:$O$306,9,0)</f>
        <v>47</v>
      </c>
      <c r="N59" s="103">
        <f>VLOOKUP($A59,'OI(Value)'!$A$7:$O$306,11,0)</f>
        <v>213</v>
      </c>
      <c r="O59" s="103">
        <f>VLOOKUP($A59,'OI(Value)'!$A$7:$O$306,12,0)</f>
        <v>18</v>
      </c>
      <c r="P59" s="179">
        <f>VLOOKUP(A59,'OI(Value)'!A59:O260,8,0)</f>
        <v>278</v>
      </c>
      <c r="Q59" s="179">
        <f>VLOOKUP(A59,'OI(Value)'!A59:O260,9,0)</f>
        <v>47</v>
      </c>
      <c r="R59" s="179">
        <f>VLOOKUP(A59,'OI(Value)'!A59:O260,11,0)</f>
        <v>213</v>
      </c>
      <c r="S59" s="179">
        <f>VLOOKUP(A59,'OI(Value)'!A59:O260,11,0)</f>
        <v>213</v>
      </c>
    </row>
    <row r="60" spans="1:19" x14ac:dyDescent="0.25">
      <c r="A60" s="105" t="str">
        <f>'Data shares'!C55</f>
        <v>DIVISLAB</v>
      </c>
      <c r="B60" s="143">
        <f>VLOOKUP($A60,'Data shares'!$C:$FA,118)</f>
        <v>0.64</v>
      </c>
      <c r="C60" s="143">
        <f>VLOOKUP($A60,'Data shares'!$C:$FA,119)</f>
        <v>0.66</v>
      </c>
      <c r="D60" s="143">
        <f>VLOOKUP($A60,'Data shares'!$C:$FA,121)*100</f>
        <v>-3.0300000000000002</v>
      </c>
      <c r="E60" s="143">
        <f>VLOOKUP($A60,'Data shares'!$C:$FA,124)</f>
        <v>0.28999999999999998</v>
      </c>
      <c r="F60" s="143">
        <f>VLOOKUP($A60,'Data shares'!$C:$FA,125)</f>
        <v>0.22</v>
      </c>
      <c r="G60" s="143">
        <f>VLOOKUP($A60,'Data shares'!$C:$FA,127)*100</f>
        <v>31.819999999999997</v>
      </c>
      <c r="H60" s="103">
        <f>VLOOKUP($A60,'OI(Volume)'!$A$7:$O$427,8)</f>
        <v>1244400</v>
      </c>
      <c r="I60" s="103">
        <f>VLOOKUP($A60,'OI(Volume)'!$A$7:$O$427,9)</f>
        <v>124100</v>
      </c>
      <c r="J60" s="103">
        <f>VLOOKUP($A60,'OI(Volume)'!$A$7:$O$427,11)</f>
        <v>793100</v>
      </c>
      <c r="K60" s="103">
        <f>VLOOKUP($A60,'OI(Volume)'!$A$7:$O$427,12)</f>
        <v>55900</v>
      </c>
      <c r="L60" s="103">
        <f>VLOOKUP($A60,'OI(Value)'!$A$7:$O$306,8,0)</f>
        <v>828</v>
      </c>
      <c r="M60" s="103">
        <f>VLOOKUP($A60,'OI(Value)'!$A$7:$O$306,9,0)</f>
        <v>83</v>
      </c>
      <c r="N60" s="103">
        <f>VLOOKUP($A60,'OI(Value)'!$A$7:$O$306,11,0)</f>
        <v>528</v>
      </c>
      <c r="O60" s="103">
        <f>VLOOKUP($A60,'OI(Value)'!$A$7:$O$306,12,0)</f>
        <v>37</v>
      </c>
      <c r="P60" s="179">
        <f>VLOOKUP(A60,'OI(Value)'!A60:O261,8,0)</f>
        <v>828</v>
      </c>
      <c r="Q60" s="179">
        <f>VLOOKUP(A60,'OI(Value)'!A60:O261,9,0)</f>
        <v>83</v>
      </c>
      <c r="R60" s="179">
        <f>VLOOKUP(A60,'OI(Value)'!A60:O261,11,0)</f>
        <v>528</v>
      </c>
      <c r="S60" s="179">
        <f>VLOOKUP(A60,'OI(Value)'!A60:O261,11,0)</f>
        <v>528</v>
      </c>
    </row>
    <row r="61" spans="1:19" x14ac:dyDescent="0.25">
      <c r="A61" s="105" t="str">
        <f>'Data shares'!C56</f>
        <v>DIXON</v>
      </c>
      <c r="B61" s="143">
        <f>VLOOKUP($A61,'Data shares'!$C:$FA,118)</f>
        <v>0.59</v>
      </c>
      <c r="C61" s="143">
        <f>VLOOKUP($A61,'Data shares'!$C:$FA,119)</f>
        <v>0.57999999999999996</v>
      </c>
      <c r="D61" s="143">
        <f>VLOOKUP($A61,'Data shares'!$C:$FA,121)*100</f>
        <v>1.72</v>
      </c>
      <c r="E61" s="143">
        <f>VLOOKUP($A61,'Data shares'!$C:$FA,124)</f>
        <v>0.7</v>
      </c>
      <c r="F61" s="143">
        <f>VLOOKUP($A61,'Data shares'!$C:$FA,125)</f>
        <v>0.8</v>
      </c>
      <c r="G61" s="143">
        <f>VLOOKUP($A61,'Data shares'!$C:$FA,127)*100</f>
        <v>-12.5</v>
      </c>
      <c r="H61" s="103">
        <f>VLOOKUP($A61,'OI(Volume)'!$A$7:$O$427,8)</f>
        <v>3022950</v>
      </c>
      <c r="I61" s="103">
        <f>VLOOKUP($A61,'OI(Volume)'!$A$7:$O$427,9)</f>
        <v>110800</v>
      </c>
      <c r="J61" s="103">
        <f>VLOOKUP($A61,'OI(Volume)'!$A$7:$O$427,11)</f>
        <v>1794500</v>
      </c>
      <c r="K61" s="103">
        <f>VLOOKUP($A61,'OI(Volume)'!$A$7:$O$427,12)</f>
        <v>108400</v>
      </c>
      <c r="L61" s="103">
        <f>VLOOKUP($A61,'OI(Value)'!$A$7:$O$306,8,0)</f>
        <v>3575</v>
      </c>
      <c r="M61" s="103">
        <f>VLOOKUP($A61,'OI(Value)'!$A$7:$O$306,9,0)</f>
        <v>131</v>
      </c>
      <c r="N61" s="103">
        <f>VLOOKUP($A61,'OI(Value)'!$A$7:$O$306,11,0)</f>
        <v>2122</v>
      </c>
      <c r="O61" s="103">
        <f>VLOOKUP($A61,'OI(Value)'!$A$7:$O$306,12,0)</f>
        <v>128</v>
      </c>
      <c r="P61" s="179">
        <f>VLOOKUP(A61,'OI(Value)'!A61:O262,8,0)</f>
        <v>3575</v>
      </c>
      <c r="Q61" s="179">
        <f>VLOOKUP(A61,'OI(Value)'!A61:O262,9,0)</f>
        <v>131</v>
      </c>
      <c r="R61" s="179">
        <f>VLOOKUP(A61,'OI(Value)'!A61:O262,11,0)</f>
        <v>2122</v>
      </c>
      <c r="S61" s="179">
        <f>VLOOKUP(A61,'OI(Value)'!A61:O262,11,0)</f>
        <v>2122</v>
      </c>
    </row>
    <row r="62" spans="1:19" x14ac:dyDescent="0.25">
      <c r="A62" s="105" t="str">
        <f>'Data shares'!C57</f>
        <v>DLF</v>
      </c>
      <c r="B62" s="143">
        <f>VLOOKUP($A62,'Data shares'!$C:$FA,118)</f>
        <v>0.75</v>
      </c>
      <c r="C62" s="143">
        <f>VLOOKUP($A62,'Data shares'!$C:$FA,119)</f>
        <v>0.8</v>
      </c>
      <c r="D62" s="143">
        <f>VLOOKUP($A62,'Data shares'!$C:$FA,121)*100</f>
        <v>-6.25</v>
      </c>
      <c r="E62" s="143">
        <f>VLOOKUP($A62,'Data shares'!$C:$FA,124)</f>
        <v>0.38</v>
      </c>
      <c r="F62" s="143">
        <f>VLOOKUP($A62,'Data shares'!$C:$FA,125)</f>
        <v>0.28999999999999998</v>
      </c>
      <c r="G62" s="143">
        <f>VLOOKUP($A62,'Data shares'!$C:$FA,127)*100</f>
        <v>31.03</v>
      </c>
      <c r="H62" s="103">
        <f>VLOOKUP($A62,'OI(Volume)'!$A$7:$O$427,8)</f>
        <v>14850825</v>
      </c>
      <c r="I62" s="103">
        <f>VLOOKUP($A62,'OI(Volume)'!$A$7:$O$427,9)</f>
        <v>889350</v>
      </c>
      <c r="J62" s="103">
        <f>VLOOKUP($A62,'OI(Volume)'!$A$7:$O$427,11)</f>
        <v>11162250</v>
      </c>
      <c r="K62" s="103">
        <f>VLOOKUP($A62,'OI(Volume)'!$A$7:$O$427,12)</f>
        <v>11550</v>
      </c>
      <c r="L62" s="103">
        <f>VLOOKUP($A62,'OI(Value)'!$A$7:$O$306,8,0)</f>
        <v>1049</v>
      </c>
      <c r="M62" s="103">
        <f>VLOOKUP($A62,'OI(Value)'!$A$7:$O$306,9,0)</f>
        <v>63</v>
      </c>
      <c r="N62" s="103">
        <f>VLOOKUP($A62,'OI(Value)'!$A$7:$O$306,11,0)</f>
        <v>789</v>
      </c>
      <c r="O62" s="103">
        <f>VLOOKUP($A62,'OI(Value)'!$A$7:$O$306,12,0)</f>
        <v>1</v>
      </c>
      <c r="P62" s="179">
        <f>VLOOKUP(A62,'OI(Value)'!A62:O263,8,0)</f>
        <v>1049</v>
      </c>
      <c r="Q62" s="179">
        <f>VLOOKUP(A62,'OI(Value)'!A62:O263,9,0)</f>
        <v>63</v>
      </c>
      <c r="R62" s="179">
        <f>VLOOKUP(A62,'OI(Value)'!A62:O263,11,0)</f>
        <v>789</v>
      </c>
      <c r="S62" s="179">
        <f>VLOOKUP(A62,'OI(Value)'!A62:O263,11,0)</f>
        <v>789</v>
      </c>
    </row>
    <row r="63" spans="1:19" x14ac:dyDescent="0.25">
      <c r="A63" s="105" t="str">
        <f>'Data shares'!C58</f>
        <v>DMART</v>
      </c>
      <c r="B63" s="143">
        <f>VLOOKUP($A63,'Data shares'!$C:$FA,118)</f>
        <v>0.8</v>
      </c>
      <c r="C63" s="143">
        <f>VLOOKUP($A63,'Data shares'!$C:$FA,119)</f>
        <v>0.81</v>
      </c>
      <c r="D63" s="143">
        <f>VLOOKUP($A63,'Data shares'!$C:$FA,121)*100</f>
        <v>-1.23</v>
      </c>
      <c r="E63" s="143">
        <f>VLOOKUP($A63,'Data shares'!$C:$FA,124)</f>
        <v>0.28000000000000003</v>
      </c>
      <c r="F63" s="143">
        <f>VLOOKUP($A63,'Data shares'!$C:$FA,125)</f>
        <v>0.52</v>
      </c>
      <c r="G63" s="143">
        <f>VLOOKUP($A63,'Data shares'!$C:$FA,127)*100</f>
        <v>-46.150000000000006</v>
      </c>
      <c r="H63" s="103">
        <f>VLOOKUP($A63,'OI(Volume)'!$A$7:$O$427,8)</f>
        <v>2017950</v>
      </c>
      <c r="I63" s="103">
        <f>VLOOKUP($A63,'OI(Volume)'!$A$7:$O$427,9)</f>
        <v>195900</v>
      </c>
      <c r="J63" s="103">
        <f>VLOOKUP($A63,'OI(Volume)'!$A$7:$O$427,11)</f>
        <v>1619250</v>
      </c>
      <c r="K63" s="103">
        <f>VLOOKUP($A63,'OI(Volume)'!$A$7:$O$427,12)</f>
        <v>149850</v>
      </c>
      <c r="L63" s="103">
        <f>VLOOKUP($A63,'OI(Value)'!$A$7:$O$306,8,0)</f>
        <v>778</v>
      </c>
      <c r="M63" s="103">
        <f>VLOOKUP($A63,'OI(Value)'!$A$7:$O$306,9,0)</f>
        <v>76</v>
      </c>
      <c r="N63" s="103">
        <f>VLOOKUP($A63,'OI(Value)'!$A$7:$O$306,11,0)</f>
        <v>625</v>
      </c>
      <c r="O63" s="103">
        <f>VLOOKUP($A63,'OI(Value)'!$A$7:$O$306,12,0)</f>
        <v>58</v>
      </c>
      <c r="P63" s="179">
        <f>VLOOKUP(A63,'OI(Value)'!A63:O264,8,0)</f>
        <v>778</v>
      </c>
      <c r="Q63" s="179">
        <f>VLOOKUP(A63,'OI(Value)'!A63:O264,9,0)</f>
        <v>76</v>
      </c>
      <c r="R63" s="179">
        <f>VLOOKUP(A63,'OI(Value)'!A63:O264,11,0)</f>
        <v>625</v>
      </c>
      <c r="S63" s="179">
        <f>VLOOKUP(A63,'OI(Value)'!A63:O264,11,0)</f>
        <v>625</v>
      </c>
    </row>
    <row r="64" spans="1:19" x14ac:dyDescent="0.25">
      <c r="A64" s="105" t="str">
        <f>'Data shares'!C59</f>
        <v>DRREDDY</v>
      </c>
      <c r="B64" s="143">
        <f>VLOOKUP($A64,'Data shares'!$C:$FA,118)</f>
        <v>0.66</v>
      </c>
      <c r="C64" s="143">
        <f>VLOOKUP($A64,'Data shares'!$C:$FA,119)</f>
        <v>0.69</v>
      </c>
      <c r="D64" s="143">
        <f>VLOOKUP($A64,'Data shares'!$C:$FA,121)*100</f>
        <v>-4.3499999999999996</v>
      </c>
      <c r="E64" s="143">
        <f>VLOOKUP($A64,'Data shares'!$C:$FA,124)</f>
        <v>0.4</v>
      </c>
      <c r="F64" s="143">
        <f>VLOOKUP($A64,'Data shares'!$C:$FA,125)</f>
        <v>0.35</v>
      </c>
      <c r="G64" s="143">
        <f>VLOOKUP($A64,'Data shares'!$C:$FA,127)*100</f>
        <v>14.29</v>
      </c>
      <c r="H64" s="103">
        <f>VLOOKUP($A64,'OI(Volume)'!$A$7:$O$427,8)</f>
        <v>5410625</v>
      </c>
      <c r="I64" s="103">
        <f>VLOOKUP($A64,'OI(Volume)'!$A$7:$O$427,9)</f>
        <v>378125</v>
      </c>
      <c r="J64" s="103">
        <f>VLOOKUP($A64,'OI(Volume)'!$A$7:$O$427,11)</f>
        <v>3545000</v>
      </c>
      <c r="K64" s="103">
        <f>VLOOKUP($A64,'OI(Volume)'!$A$7:$O$427,12)</f>
        <v>71875</v>
      </c>
      <c r="L64" s="103">
        <f>VLOOKUP($A64,'OI(Value)'!$A$7:$O$306,8,0)</f>
        <v>674</v>
      </c>
      <c r="M64" s="103">
        <f>VLOOKUP($A64,'OI(Value)'!$A$7:$O$306,9,0)</f>
        <v>47</v>
      </c>
      <c r="N64" s="103">
        <f>VLOOKUP($A64,'OI(Value)'!$A$7:$O$306,11,0)</f>
        <v>442</v>
      </c>
      <c r="O64" s="103">
        <f>VLOOKUP($A64,'OI(Value)'!$A$7:$O$306,12,0)</f>
        <v>9</v>
      </c>
      <c r="P64" s="179">
        <f>VLOOKUP(A64,'OI(Value)'!A64:O265,8,0)</f>
        <v>674</v>
      </c>
      <c r="Q64" s="179">
        <f>VLOOKUP(A64,'OI(Value)'!A64:O265,9,0)</f>
        <v>47</v>
      </c>
      <c r="R64" s="179">
        <f>VLOOKUP(A64,'OI(Value)'!A64:O265,11,0)</f>
        <v>442</v>
      </c>
      <c r="S64" s="179">
        <f>VLOOKUP(A64,'OI(Value)'!A64:O265,11,0)</f>
        <v>442</v>
      </c>
    </row>
    <row r="65" spans="1:19" x14ac:dyDescent="0.25">
      <c r="A65" s="105" t="str">
        <f>'Data shares'!C60</f>
        <v>EICHERMOT</v>
      </c>
      <c r="B65" s="143">
        <f>VLOOKUP($A65,'Data shares'!$C:$FA,118)</f>
        <v>1.1100000000000001</v>
      </c>
      <c r="C65" s="143">
        <f>VLOOKUP($A65,'Data shares'!$C:$FA,119)</f>
        <v>1.04</v>
      </c>
      <c r="D65" s="143">
        <f>VLOOKUP($A65,'Data shares'!$C:$FA,121)*100</f>
        <v>6.7299999999999995</v>
      </c>
      <c r="E65" s="143">
        <f>VLOOKUP($A65,'Data shares'!$C:$FA,124)</f>
        <v>0.83</v>
      </c>
      <c r="F65" s="143">
        <f>VLOOKUP($A65,'Data shares'!$C:$FA,125)</f>
        <v>0.67</v>
      </c>
      <c r="G65" s="143">
        <f>VLOOKUP($A65,'Data shares'!$C:$FA,127)*100</f>
        <v>23.880000000000003</v>
      </c>
      <c r="H65" s="103">
        <f>VLOOKUP($A65,'OI(Volume)'!$A$7:$O$427,8)</f>
        <v>1292600</v>
      </c>
      <c r="I65" s="103">
        <f>VLOOKUP($A65,'OI(Volume)'!$A$7:$O$427,9)</f>
        <v>87400</v>
      </c>
      <c r="J65" s="103">
        <f>VLOOKUP($A65,'OI(Volume)'!$A$7:$O$427,11)</f>
        <v>1430600</v>
      </c>
      <c r="K65" s="103">
        <f>VLOOKUP($A65,'OI(Volume)'!$A$7:$O$427,12)</f>
        <v>171600</v>
      </c>
      <c r="L65" s="103">
        <f>VLOOKUP($A65,'OI(Value)'!$A$7:$O$306,8,0)</f>
        <v>985</v>
      </c>
      <c r="M65" s="103">
        <f>VLOOKUP($A65,'OI(Value)'!$A$7:$O$306,9,0)</f>
        <v>67</v>
      </c>
      <c r="N65" s="103">
        <f>VLOOKUP($A65,'OI(Value)'!$A$7:$O$306,11,0)</f>
        <v>1090</v>
      </c>
      <c r="O65" s="103">
        <f>VLOOKUP($A65,'OI(Value)'!$A$7:$O$306,12,0)</f>
        <v>131</v>
      </c>
      <c r="P65" s="179">
        <f>VLOOKUP(A65,'OI(Value)'!A65:O266,8,0)</f>
        <v>985</v>
      </c>
      <c r="Q65" s="179">
        <f>VLOOKUP(A65,'OI(Value)'!A65:O266,9,0)</f>
        <v>67</v>
      </c>
      <c r="R65" s="179">
        <f>VLOOKUP(A65,'OI(Value)'!A65:O266,11,0)</f>
        <v>1090</v>
      </c>
      <c r="S65" s="179">
        <f>VLOOKUP(A65,'OI(Value)'!A65:O266,11,0)</f>
        <v>1090</v>
      </c>
    </row>
    <row r="66" spans="1:19" x14ac:dyDescent="0.25">
      <c r="A66" s="105" t="str">
        <f>'Data shares'!C61</f>
        <v>ETERNAL</v>
      </c>
      <c r="B66" s="143">
        <f>VLOOKUP($A66,'Data shares'!$C:$FA,118)</f>
        <v>0.73</v>
      </c>
      <c r="C66" s="143">
        <f>VLOOKUP($A66,'Data shares'!$C:$FA,119)</f>
        <v>0.74</v>
      </c>
      <c r="D66" s="143">
        <f>VLOOKUP($A66,'Data shares'!$C:$FA,121)*100</f>
        <v>-1.35</v>
      </c>
      <c r="E66" s="143">
        <f>VLOOKUP($A66,'Data shares'!$C:$FA,124)</f>
        <v>0.59</v>
      </c>
      <c r="F66" s="143">
        <f>VLOOKUP($A66,'Data shares'!$C:$FA,125)</f>
        <v>0.7</v>
      </c>
      <c r="G66" s="143">
        <f>VLOOKUP($A66,'Data shares'!$C:$FA,127)*100</f>
        <v>-15.709999999999999</v>
      </c>
      <c r="H66" s="103">
        <f>VLOOKUP($A66,'OI(Volume)'!$A$7:$O$427,8)</f>
        <v>46538175</v>
      </c>
      <c r="I66" s="103">
        <f>VLOOKUP($A66,'OI(Volume)'!$A$7:$O$427,9)</f>
        <v>3171900</v>
      </c>
      <c r="J66" s="103">
        <f>VLOOKUP($A66,'OI(Volume)'!$A$7:$O$427,11)</f>
        <v>34022750</v>
      </c>
      <c r="K66" s="103">
        <f>VLOOKUP($A66,'OI(Volume)'!$A$7:$O$427,12)</f>
        <v>1724175</v>
      </c>
      <c r="L66" s="103">
        <f>VLOOKUP($A66,'OI(Value)'!$A$7:$O$306,8,0)</f>
        <v>1314</v>
      </c>
      <c r="M66" s="103">
        <f>VLOOKUP($A66,'OI(Value)'!$A$7:$O$306,9,0)</f>
        <v>90</v>
      </c>
      <c r="N66" s="103">
        <f>VLOOKUP($A66,'OI(Value)'!$A$7:$O$306,11,0)</f>
        <v>961</v>
      </c>
      <c r="O66" s="103">
        <f>VLOOKUP($A66,'OI(Value)'!$A$7:$O$306,12,0)</f>
        <v>49</v>
      </c>
      <c r="P66" s="179">
        <f>VLOOKUP(A66,'OI(Value)'!A66:O267,8,0)</f>
        <v>1314</v>
      </c>
      <c r="Q66" s="179">
        <f>VLOOKUP(A66,'OI(Value)'!A66:O267,9,0)</f>
        <v>90</v>
      </c>
      <c r="R66" s="179">
        <f>VLOOKUP(A66,'OI(Value)'!A66:O267,11,0)</f>
        <v>961</v>
      </c>
      <c r="S66" s="179">
        <f>VLOOKUP(A66,'OI(Value)'!A66:O267,11,0)</f>
        <v>961</v>
      </c>
    </row>
    <row r="67" spans="1:19" x14ac:dyDescent="0.25">
      <c r="A67" s="105" t="str">
        <f>'Data shares'!C62</f>
        <v>EXIDEIND</v>
      </c>
      <c r="B67" s="143">
        <f>VLOOKUP($A67,'Data shares'!$C:$FA,118)</f>
        <v>0.64</v>
      </c>
      <c r="C67" s="143">
        <f>VLOOKUP($A67,'Data shares'!$C:$FA,119)</f>
        <v>0.64</v>
      </c>
      <c r="D67" s="143">
        <f>VLOOKUP($A67,'Data shares'!$C:$FA,121)*100</f>
        <v>0</v>
      </c>
      <c r="E67" s="143">
        <f>VLOOKUP($A67,'Data shares'!$C:$FA,124)</f>
        <v>0.42</v>
      </c>
      <c r="F67" s="143">
        <f>VLOOKUP($A67,'Data shares'!$C:$FA,125)</f>
        <v>0.39</v>
      </c>
      <c r="G67" s="143">
        <f>VLOOKUP($A67,'Data shares'!$C:$FA,127)*100</f>
        <v>7.6899999999999995</v>
      </c>
      <c r="H67" s="103">
        <f>VLOOKUP($A67,'OI(Volume)'!$A$7:$O$427,8)</f>
        <v>15026400</v>
      </c>
      <c r="I67" s="103">
        <f>VLOOKUP($A67,'OI(Volume)'!$A$7:$O$427,9)</f>
        <v>1918800</v>
      </c>
      <c r="J67" s="103">
        <f>VLOOKUP($A67,'OI(Volume)'!$A$7:$O$427,11)</f>
        <v>9563400</v>
      </c>
      <c r="K67" s="103">
        <f>VLOOKUP($A67,'OI(Volume)'!$A$7:$O$427,12)</f>
        <v>1234800</v>
      </c>
      <c r="L67" s="103">
        <f>VLOOKUP($A67,'OI(Value)'!$A$7:$O$306,8,0)</f>
        <v>541</v>
      </c>
      <c r="M67" s="103">
        <f>VLOOKUP($A67,'OI(Value)'!$A$7:$O$306,9,0)</f>
        <v>69</v>
      </c>
      <c r="N67" s="103">
        <f>VLOOKUP($A67,'OI(Value)'!$A$7:$O$306,11,0)</f>
        <v>345</v>
      </c>
      <c r="O67" s="103">
        <f>VLOOKUP($A67,'OI(Value)'!$A$7:$O$306,12,0)</f>
        <v>44</v>
      </c>
      <c r="P67" s="179">
        <f>VLOOKUP(A67,'OI(Value)'!A67:O268,8,0)</f>
        <v>541</v>
      </c>
      <c r="Q67" s="179">
        <f>VLOOKUP(A67,'OI(Value)'!A67:O268,9,0)</f>
        <v>69</v>
      </c>
      <c r="R67" s="179">
        <f>VLOOKUP(A67,'OI(Value)'!A67:O268,11,0)</f>
        <v>345</v>
      </c>
      <c r="S67" s="179">
        <f>VLOOKUP(A67,'OI(Value)'!A67:O268,11,0)</f>
        <v>345</v>
      </c>
    </row>
    <row r="68" spans="1:19" x14ac:dyDescent="0.25">
      <c r="A68" s="105" t="str">
        <f>'Data shares'!C63</f>
        <v>FEDERALBNK</v>
      </c>
      <c r="B68" s="143">
        <f>VLOOKUP($A68,'Data shares'!$C:$FA,118)</f>
        <v>0.76</v>
      </c>
      <c r="C68" s="143">
        <f>VLOOKUP($A68,'Data shares'!$C:$FA,119)</f>
        <v>0.75</v>
      </c>
      <c r="D68" s="143">
        <f>VLOOKUP($A68,'Data shares'!$C:$FA,121)*100</f>
        <v>1.3299999999999998</v>
      </c>
      <c r="E68" s="143">
        <f>VLOOKUP($A68,'Data shares'!$C:$FA,124)</f>
        <v>0.45</v>
      </c>
      <c r="F68" s="143">
        <f>VLOOKUP($A68,'Data shares'!$C:$FA,125)</f>
        <v>0.56999999999999995</v>
      </c>
      <c r="G68" s="143">
        <f>VLOOKUP($A68,'Data shares'!$C:$FA,127)*100</f>
        <v>-21.05</v>
      </c>
      <c r="H68" s="103">
        <f>VLOOKUP($A68,'OI(Volume)'!$A$7:$O$427,8)</f>
        <v>32000000</v>
      </c>
      <c r="I68" s="103">
        <f>VLOOKUP($A68,'OI(Volume)'!$A$7:$O$427,9)</f>
        <v>1185000</v>
      </c>
      <c r="J68" s="103">
        <f>VLOOKUP($A68,'OI(Volume)'!$A$7:$O$427,11)</f>
        <v>24370000</v>
      </c>
      <c r="K68" s="103">
        <f>VLOOKUP($A68,'OI(Volume)'!$A$7:$O$427,12)</f>
        <v>1385000</v>
      </c>
      <c r="L68" s="103">
        <f>VLOOKUP($A68,'OI(Value)'!$A$7:$O$306,8,0)</f>
        <v>828</v>
      </c>
      <c r="M68" s="103">
        <f>VLOOKUP($A68,'OI(Value)'!$A$7:$O$306,9,0)</f>
        <v>31</v>
      </c>
      <c r="N68" s="103">
        <f>VLOOKUP($A68,'OI(Value)'!$A$7:$O$306,11,0)</f>
        <v>631</v>
      </c>
      <c r="O68" s="103">
        <f>VLOOKUP($A68,'OI(Value)'!$A$7:$O$306,12,0)</f>
        <v>36</v>
      </c>
      <c r="P68" s="179">
        <f>VLOOKUP(A68,'OI(Value)'!A68:O269,8,0)</f>
        <v>828</v>
      </c>
      <c r="Q68" s="179">
        <f>VLOOKUP(A68,'OI(Value)'!A68:O269,9,0)</f>
        <v>31</v>
      </c>
      <c r="R68" s="179">
        <f>VLOOKUP(A68,'OI(Value)'!A68:O269,11,0)</f>
        <v>631</v>
      </c>
      <c r="S68" s="179">
        <f>VLOOKUP(A68,'OI(Value)'!A68:O269,11,0)</f>
        <v>631</v>
      </c>
    </row>
    <row r="69" spans="1:19" x14ac:dyDescent="0.25">
      <c r="A69" s="105" t="str">
        <f>'Data shares'!C64</f>
        <v>FINNIFTY</v>
      </c>
      <c r="B69" s="143">
        <f>VLOOKUP($A69,'Data shares'!$C:$FA,118)</f>
        <v>0.75</v>
      </c>
      <c r="C69" s="143">
        <f>VLOOKUP($A69,'Data shares'!$C:$FA,119)</f>
        <v>0.75</v>
      </c>
      <c r="D69" s="143">
        <f>VLOOKUP($A69,'Data shares'!$C:$FA,121)*100</f>
        <v>0</v>
      </c>
      <c r="E69" s="143">
        <f>VLOOKUP($A69,'Data shares'!$C:$FA,124)</f>
        <v>1.04</v>
      </c>
      <c r="F69" s="143">
        <f>VLOOKUP($A69,'Data shares'!$C:$FA,125)</f>
        <v>0.76</v>
      </c>
      <c r="G69" s="143">
        <f>VLOOKUP($A69,'Data shares'!$C:$FA,127)*100</f>
        <v>36.840000000000003</v>
      </c>
      <c r="H69" s="103">
        <f>VLOOKUP($A69,'OI(Volume)'!$A$7:$O$427,8)</f>
        <v>499980</v>
      </c>
      <c r="I69" s="103">
        <f>VLOOKUP($A69,'OI(Volume)'!$A$7:$O$427,9)</f>
        <v>-41700</v>
      </c>
      <c r="J69" s="103">
        <f>VLOOKUP($A69,'OI(Volume)'!$A$7:$O$427,11)</f>
        <v>377220</v>
      </c>
      <c r="K69" s="103">
        <f>VLOOKUP($A69,'OI(Volume)'!$A$7:$O$427,12)</f>
        <v>-28500</v>
      </c>
      <c r="L69" s="103">
        <f>VLOOKUP($A69,'OI(Value)'!$A$7:$O$306,8,0)</f>
        <v>1398</v>
      </c>
      <c r="M69" s="103">
        <f>VLOOKUP($A69,'OI(Value)'!$A$7:$O$306,9,0)</f>
        <v>-117</v>
      </c>
      <c r="N69" s="103">
        <f>VLOOKUP($A69,'OI(Value)'!$A$7:$O$306,11,0)</f>
        <v>1055</v>
      </c>
      <c r="O69" s="103">
        <f>VLOOKUP($A69,'OI(Value)'!$A$7:$O$306,12,0)</f>
        <v>-80</v>
      </c>
      <c r="P69" s="179">
        <f>VLOOKUP(A69,'OI(Value)'!A69:O270,8,0)</f>
        <v>1398</v>
      </c>
      <c r="Q69" s="179">
        <f>VLOOKUP(A69,'OI(Value)'!A69:O270,9,0)</f>
        <v>-117</v>
      </c>
      <c r="R69" s="179">
        <f>VLOOKUP(A69,'OI(Value)'!A69:O270,11,0)</f>
        <v>1055</v>
      </c>
      <c r="S69" s="179">
        <f>VLOOKUP(A69,'OI(Value)'!A69:O270,11,0)</f>
        <v>1055</v>
      </c>
    </row>
    <row r="70" spans="1:19" x14ac:dyDescent="0.25">
      <c r="A70" s="105" t="str">
        <f>'Data shares'!C65</f>
        <v>FORTIS</v>
      </c>
      <c r="B70" s="143">
        <f>VLOOKUP($A70,'Data shares'!$C:$FA,118)</f>
        <v>0.65</v>
      </c>
      <c r="C70" s="143">
        <f>VLOOKUP($A70,'Data shares'!$C:$FA,119)</f>
        <v>0.64</v>
      </c>
      <c r="D70" s="143">
        <f>VLOOKUP($A70,'Data shares'!$C:$FA,121)*100</f>
        <v>1.5599999999999998</v>
      </c>
      <c r="E70" s="143">
        <f>VLOOKUP($A70,'Data shares'!$C:$FA,124)</f>
        <v>0.31</v>
      </c>
      <c r="F70" s="143">
        <f>VLOOKUP($A70,'Data shares'!$C:$FA,125)</f>
        <v>0.19</v>
      </c>
      <c r="G70" s="143">
        <f>VLOOKUP($A70,'Data shares'!$C:$FA,127)*100</f>
        <v>63.160000000000004</v>
      </c>
      <c r="H70" s="103">
        <f>VLOOKUP($A70,'OI(Volume)'!$A$7:$O$427,8)</f>
        <v>3214700</v>
      </c>
      <c r="I70" s="103">
        <f>VLOOKUP($A70,'OI(Volume)'!$A$7:$O$427,9)</f>
        <v>209250</v>
      </c>
      <c r="J70" s="103">
        <f>VLOOKUP($A70,'OI(Volume)'!$A$7:$O$427,11)</f>
        <v>2101025</v>
      </c>
      <c r="K70" s="103">
        <f>VLOOKUP($A70,'OI(Volume)'!$A$7:$O$427,12)</f>
        <v>165850</v>
      </c>
      <c r="L70" s="103">
        <f>VLOOKUP($A70,'OI(Value)'!$A$7:$O$306,8,0)</f>
        <v>303</v>
      </c>
      <c r="M70" s="103">
        <f>VLOOKUP($A70,'OI(Value)'!$A$7:$O$306,9,0)</f>
        <v>20</v>
      </c>
      <c r="N70" s="103">
        <f>VLOOKUP($A70,'OI(Value)'!$A$7:$O$306,11,0)</f>
        <v>198</v>
      </c>
      <c r="O70" s="103">
        <f>VLOOKUP($A70,'OI(Value)'!$A$7:$O$306,12,0)</f>
        <v>16</v>
      </c>
      <c r="P70" s="179">
        <f>VLOOKUP(A70,'OI(Value)'!A70:O271,8,0)</f>
        <v>303</v>
      </c>
      <c r="Q70" s="179">
        <f>VLOOKUP(A70,'OI(Value)'!A70:O271,9,0)</f>
        <v>20</v>
      </c>
      <c r="R70" s="179">
        <f>VLOOKUP(A70,'OI(Value)'!A70:O271,11,0)</f>
        <v>198</v>
      </c>
      <c r="S70" s="179">
        <f>VLOOKUP(A70,'OI(Value)'!A70:O271,11,0)</f>
        <v>198</v>
      </c>
    </row>
    <row r="71" spans="1:19" x14ac:dyDescent="0.25">
      <c r="A71" s="105" t="str">
        <f>'Data shares'!C66</f>
        <v>GAIL</v>
      </c>
      <c r="B71" s="143">
        <f>VLOOKUP($A71,'Data shares'!$C:$FA,118)</f>
        <v>0.87</v>
      </c>
      <c r="C71" s="143">
        <f>VLOOKUP($A71,'Data shares'!$C:$FA,119)</f>
        <v>0.89</v>
      </c>
      <c r="D71" s="143">
        <f>VLOOKUP($A71,'Data shares'!$C:$FA,121)*100</f>
        <v>-2.25</v>
      </c>
      <c r="E71" s="143">
        <f>VLOOKUP($A71,'Data shares'!$C:$FA,124)</f>
        <v>0.55000000000000004</v>
      </c>
      <c r="F71" s="143">
        <f>VLOOKUP($A71,'Data shares'!$C:$FA,125)</f>
        <v>0.56000000000000005</v>
      </c>
      <c r="G71" s="143">
        <f>VLOOKUP($A71,'Data shares'!$C:$FA,127)*100</f>
        <v>-1.79</v>
      </c>
      <c r="H71" s="103">
        <f>VLOOKUP($A71,'OI(Volume)'!$A$7:$O$427,8)</f>
        <v>37047150</v>
      </c>
      <c r="I71" s="103">
        <f>VLOOKUP($A71,'OI(Volume)'!$A$7:$O$427,9)</f>
        <v>2916900</v>
      </c>
      <c r="J71" s="103">
        <f>VLOOKUP($A71,'OI(Volume)'!$A$7:$O$427,11)</f>
        <v>32142600</v>
      </c>
      <c r="K71" s="103">
        <f>VLOOKUP($A71,'OI(Volume)'!$A$7:$O$427,12)</f>
        <v>1801800</v>
      </c>
      <c r="L71" s="103">
        <f>VLOOKUP($A71,'OI(Value)'!$A$7:$O$306,8,0)</f>
        <v>626</v>
      </c>
      <c r="M71" s="103">
        <f>VLOOKUP($A71,'OI(Value)'!$A$7:$O$306,9,0)</f>
        <v>49</v>
      </c>
      <c r="N71" s="103">
        <f>VLOOKUP($A71,'OI(Value)'!$A$7:$O$306,11,0)</f>
        <v>543</v>
      </c>
      <c r="O71" s="103">
        <f>VLOOKUP($A71,'OI(Value)'!$A$7:$O$306,12,0)</f>
        <v>30</v>
      </c>
      <c r="P71" s="179">
        <f>VLOOKUP(A71,'OI(Value)'!A71:O272,8,0)</f>
        <v>626</v>
      </c>
      <c r="Q71" s="179">
        <f>VLOOKUP(A71,'OI(Value)'!A71:O272,9,0)</f>
        <v>49</v>
      </c>
      <c r="R71" s="179">
        <f>VLOOKUP(A71,'OI(Value)'!A71:O272,11,0)</f>
        <v>543</v>
      </c>
      <c r="S71" s="179">
        <f>VLOOKUP(A71,'OI(Value)'!A71:O272,11,0)</f>
        <v>543</v>
      </c>
    </row>
    <row r="72" spans="1:19" x14ac:dyDescent="0.25">
      <c r="A72" s="105" t="str">
        <f>'Data shares'!C67</f>
        <v>GLENMARK</v>
      </c>
      <c r="B72" s="143">
        <f>VLOOKUP($A72,'Data shares'!$C:$FA,118)</f>
        <v>0.52</v>
      </c>
      <c r="C72" s="143">
        <f>VLOOKUP($A72,'Data shares'!$C:$FA,119)</f>
        <v>0.56999999999999995</v>
      </c>
      <c r="D72" s="143">
        <f>VLOOKUP($A72,'Data shares'!$C:$FA,121)*100</f>
        <v>-8.77</v>
      </c>
      <c r="E72" s="143">
        <f>VLOOKUP($A72,'Data shares'!$C:$FA,124)</f>
        <v>0.33</v>
      </c>
      <c r="F72" s="143">
        <f>VLOOKUP($A72,'Data shares'!$C:$FA,125)</f>
        <v>0.44</v>
      </c>
      <c r="G72" s="143">
        <f>VLOOKUP($A72,'Data shares'!$C:$FA,127)*100</f>
        <v>-25</v>
      </c>
      <c r="H72" s="103">
        <f>VLOOKUP($A72,'OI(Volume)'!$A$7:$O$427,8)</f>
        <v>3172500</v>
      </c>
      <c r="I72" s="103">
        <f>VLOOKUP($A72,'OI(Volume)'!$A$7:$O$427,9)</f>
        <v>799125</v>
      </c>
      <c r="J72" s="103">
        <f>VLOOKUP($A72,'OI(Volume)'!$A$7:$O$427,11)</f>
        <v>1655625</v>
      </c>
      <c r="K72" s="103">
        <f>VLOOKUP($A72,'OI(Volume)'!$A$7:$O$427,12)</f>
        <v>310125</v>
      </c>
      <c r="L72" s="103">
        <f>VLOOKUP($A72,'OI(Value)'!$A$7:$O$306,8,0)</f>
        <v>673</v>
      </c>
      <c r="M72" s="103">
        <f>VLOOKUP($A72,'OI(Value)'!$A$7:$O$306,9,0)</f>
        <v>170</v>
      </c>
      <c r="N72" s="103">
        <f>VLOOKUP($A72,'OI(Value)'!$A$7:$O$306,11,0)</f>
        <v>351</v>
      </c>
      <c r="O72" s="103">
        <f>VLOOKUP($A72,'OI(Value)'!$A$7:$O$306,12,0)</f>
        <v>66</v>
      </c>
      <c r="P72" s="179">
        <f>VLOOKUP(A72,'OI(Value)'!A72:O273,8,0)</f>
        <v>673</v>
      </c>
      <c r="Q72" s="179">
        <f>VLOOKUP(A72,'OI(Value)'!A72:O273,9,0)</f>
        <v>170</v>
      </c>
      <c r="R72" s="179">
        <f>VLOOKUP(A72,'OI(Value)'!A72:O273,11,0)</f>
        <v>351</v>
      </c>
      <c r="S72" s="179">
        <f>VLOOKUP(A72,'OI(Value)'!A72:O273,11,0)</f>
        <v>351</v>
      </c>
    </row>
    <row r="73" spans="1:19" x14ac:dyDescent="0.25">
      <c r="A73" s="105" t="str">
        <f>'Data shares'!C68</f>
        <v>GMRAIRPORT</v>
      </c>
      <c r="B73" s="143">
        <f>VLOOKUP($A73,'Data shares'!$C:$FA,118)</f>
        <v>0.56000000000000005</v>
      </c>
      <c r="C73" s="143">
        <f>VLOOKUP($A73,'Data shares'!$C:$FA,119)</f>
        <v>0.56999999999999995</v>
      </c>
      <c r="D73" s="143">
        <f>VLOOKUP($A73,'Data shares'!$C:$FA,121)*100</f>
        <v>-1.7500000000000002</v>
      </c>
      <c r="E73" s="143">
        <f>VLOOKUP($A73,'Data shares'!$C:$FA,124)</f>
        <v>0.28000000000000003</v>
      </c>
      <c r="F73" s="143">
        <f>VLOOKUP($A73,'Data shares'!$C:$FA,125)</f>
        <v>0.35</v>
      </c>
      <c r="G73" s="143">
        <f>VLOOKUP($A73,'Data shares'!$C:$FA,127)*100</f>
        <v>-20</v>
      </c>
      <c r="H73" s="103">
        <f>VLOOKUP($A73,'OI(Volume)'!$A$7:$O$427,8)</f>
        <v>95159925</v>
      </c>
      <c r="I73" s="103">
        <f>VLOOKUP($A73,'OI(Volume)'!$A$7:$O$427,9)</f>
        <v>5210325</v>
      </c>
      <c r="J73" s="103">
        <f>VLOOKUP($A73,'OI(Volume)'!$A$7:$O$427,11)</f>
        <v>53519175</v>
      </c>
      <c r="K73" s="103">
        <f>VLOOKUP($A73,'OI(Volume)'!$A$7:$O$427,12)</f>
        <v>1904175</v>
      </c>
      <c r="L73" s="103">
        <f>VLOOKUP($A73,'OI(Value)'!$A$7:$O$306,8,0)</f>
        <v>999</v>
      </c>
      <c r="M73" s="103">
        <f>VLOOKUP($A73,'OI(Value)'!$A$7:$O$306,9,0)</f>
        <v>55</v>
      </c>
      <c r="N73" s="103">
        <f>VLOOKUP($A73,'OI(Value)'!$A$7:$O$306,11,0)</f>
        <v>562</v>
      </c>
      <c r="O73" s="103">
        <f>VLOOKUP($A73,'OI(Value)'!$A$7:$O$306,12,0)</f>
        <v>20</v>
      </c>
      <c r="P73" s="179">
        <f>VLOOKUP(A73,'OI(Value)'!A73:O274,8,0)</f>
        <v>999</v>
      </c>
      <c r="Q73" s="179">
        <f>VLOOKUP(A73,'OI(Value)'!A73:O274,9,0)</f>
        <v>55</v>
      </c>
      <c r="R73" s="179">
        <f>VLOOKUP(A73,'OI(Value)'!A73:O274,11,0)</f>
        <v>562</v>
      </c>
      <c r="S73" s="179">
        <f>VLOOKUP(A73,'OI(Value)'!A73:O274,11,0)</f>
        <v>562</v>
      </c>
    </row>
    <row r="74" spans="1:19" x14ac:dyDescent="0.25">
      <c r="A74" s="105" t="str">
        <f>'Data shares'!C69</f>
        <v>GODREJCP</v>
      </c>
      <c r="B74" s="143">
        <f>VLOOKUP($A74,'Data shares'!$C:$FA,118)</f>
        <v>0.65</v>
      </c>
      <c r="C74" s="143">
        <f>VLOOKUP($A74,'Data shares'!$C:$FA,119)</f>
        <v>0.82</v>
      </c>
      <c r="D74" s="143">
        <f>VLOOKUP($A74,'Data shares'!$C:$FA,121)*100</f>
        <v>-20.73</v>
      </c>
      <c r="E74" s="143">
        <f>VLOOKUP($A74,'Data shares'!$C:$FA,124)</f>
        <v>0.3</v>
      </c>
      <c r="F74" s="143">
        <f>VLOOKUP($A74,'Data shares'!$C:$FA,125)</f>
        <v>0.41</v>
      </c>
      <c r="G74" s="143">
        <f>VLOOKUP($A74,'Data shares'!$C:$FA,127)*100</f>
        <v>-26.83</v>
      </c>
      <c r="H74" s="103">
        <f>VLOOKUP($A74,'OI(Volume)'!$A$7:$O$427,8)</f>
        <v>1916500</v>
      </c>
      <c r="I74" s="103">
        <f>VLOOKUP($A74,'OI(Volume)'!$A$7:$O$427,9)</f>
        <v>649500</v>
      </c>
      <c r="J74" s="103">
        <f>VLOOKUP($A74,'OI(Volume)'!$A$7:$O$427,11)</f>
        <v>1253000</v>
      </c>
      <c r="K74" s="103">
        <f>VLOOKUP($A74,'OI(Volume)'!$A$7:$O$427,12)</f>
        <v>210000</v>
      </c>
      <c r="L74" s="103">
        <f>VLOOKUP($A74,'OI(Value)'!$A$7:$O$306,8,0)</f>
        <v>240</v>
      </c>
      <c r="M74" s="103">
        <f>VLOOKUP($A74,'OI(Value)'!$A$7:$O$306,9,0)</f>
        <v>81</v>
      </c>
      <c r="N74" s="103">
        <f>VLOOKUP($A74,'OI(Value)'!$A$7:$O$306,11,0)</f>
        <v>157</v>
      </c>
      <c r="O74" s="103">
        <f>VLOOKUP($A74,'OI(Value)'!$A$7:$O$306,12,0)</f>
        <v>26</v>
      </c>
      <c r="P74" s="179">
        <f>VLOOKUP(A74,'OI(Value)'!A74:O275,8,0)</f>
        <v>240</v>
      </c>
      <c r="Q74" s="179">
        <f>VLOOKUP(A74,'OI(Value)'!A74:O275,9,0)</f>
        <v>81</v>
      </c>
      <c r="R74" s="179">
        <f>VLOOKUP(A74,'OI(Value)'!A74:O275,11,0)</f>
        <v>157</v>
      </c>
      <c r="S74" s="179">
        <f>VLOOKUP(A74,'OI(Value)'!A74:O275,11,0)</f>
        <v>157</v>
      </c>
    </row>
    <row r="75" spans="1:19" x14ac:dyDescent="0.25">
      <c r="A75" s="105" t="str">
        <f>'Data shares'!C70</f>
        <v>GODREJPROP</v>
      </c>
      <c r="B75" s="143">
        <f>VLOOKUP($A75,'Data shares'!$C:$FA,118)</f>
        <v>0.99</v>
      </c>
      <c r="C75" s="143">
        <f>VLOOKUP($A75,'Data shares'!$C:$FA,119)</f>
        <v>0.98</v>
      </c>
      <c r="D75" s="143">
        <f>VLOOKUP($A75,'Data shares'!$C:$FA,121)*100</f>
        <v>1.02</v>
      </c>
      <c r="E75" s="143">
        <f>VLOOKUP($A75,'Data shares'!$C:$FA,124)</f>
        <v>0.41</v>
      </c>
      <c r="F75" s="143">
        <f>VLOOKUP($A75,'Data shares'!$C:$FA,125)</f>
        <v>0.43</v>
      </c>
      <c r="G75" s="143">
        <f>VLOOKUP($A75,'Data shares'!$C:$FA,127)*100</f>
        <v>-4.6500000000000004</v>
      </c>
      <c r="H75" s="103">
        <f>VLOOKUP($A75,'OI(Volume)'!$A$7:$O$427,8)</f>
        <v>2265175</v>
      </c>
      <c r="I75" s="103">
        <f>VLOOKUP($A75,'OI(Volume)'!$A$7:$O$427,9)</f>
        <v>66550</v>
      </c>
      <c r="J75" s="103">
        <f>VLOOKUP($A75,'OI(Volume)'!$A$7:$O$427,11)</f>
        <v>2237400</v>
      </c>
      <c r="K75" s="103">
        <f>VLOOKUP($A75,'OI(Volume)'!$A$7:$O$427,12)</f>
        <v>87175</v>
      </c>
      <c r="L75" s="103">
        <f>VLOOKUP($A75,'OI(Value)'!$A$7:$O$306,8,0)</f>
        <v>487</v>
      </c>
      <c r="M75" s="103">
        <f>VLOOKUP($A75,'OI(Value)'!$A$7:$O$306,9,0)</f>
        <v>14</v>
      </c>
      <c r="N75" s="103">
        <f>VLOOKUP($A75,'OI(Value)'!$A$7:$O$306,11,0)</f>
        <v>481</v>
      </c>
      <c r="O75" s="103">
        <f>VLOOKUP($A75,'OI(Value)'!$A$7:$O$306,12,0)</f>
        <v>19</v>
      </c>
      <c r="P75" s="179">
        <f>VLOOKUP(A75,'OI(Value)'!A75:O276,8,0)</f>
        <v>487</v>
      </c>
      <c r="Q75" s="179">
        <f>VLOOKUP(A75,'OI(Value)'!A75:O276,9,0)</f>
        <v>14</v>
      </c>
      <c r="R75" s="179">
        <f>VLOOKUP(A75,'OI(Value)'!A75:O276,11,0)</f>
        <v>481</v>
      </c>
      <c r="S75" s="179">
        <f>VLOOKUP(A75,'OI(Value)'!A75:O276,11,0)</f>
        <v>481</v>
      </c>
    </row>
    <row r="76" spans="1:19" x14ac:dyDescent="0.25">
      <c r="A76" s="105" t="str">
        <f>'Data shares'!C71</f>
        <v>GRASIM</v>
      </c>
      <c r="B76" s="143">
        <f>VLOOKUP($A76,'Data shares'!$C:$FA,118)</f>
        <v>1.03</v>
      </c>
      <c r="C76" s="143">
        <f>VLOOKUP($A76,'Data shares'!$C:$FA,119)</f>
        <v>1.08</v>
      </c>
      <c r="D76" s="143">
        <f>VLOOKUP($A76,'Data shares'!$C:$FA,121)*100</f>
        <v>-4.63</v>
      </c>
      <c r="E76" s="143">
        <f>VLOOKUP($A76,'Data shares'!$C:$FA,124)</f>
        <v>0.89</v>
      </c>
      <c r="F76" s="143">
        <f>VLOOKUP($A76,'Data shares'!$C:$FA,125)</f>
        <v>0.52</v>
      </c>
      <c r="G76" s="143">
        <f>VLOOKUP($A76,'Data shares'!$C:$FA,127)*100</f>
        <v>71.150000000000006</v>
      </c>
      <c r="H76" s="103">
        <f>VLOOKUP($A76,'OI(Volume)'!$A$7:$O$427,8)</f>
        <v>1295500</v>
      </c>
      <c r="I76" s="103">
        <f>VLOOKUP($A76,'OI(Volume)'!$A$7:$O$427,9)</f>
        <v>90750</v>
      </c>
      <c r="J76" s="103">
        <f>VLOOKUP($A76,'OI(Volume)'!$A$7:$O$427,11)</f>
        <v>1339250</v>
      </c>
      <c r="K76" s="103">
        <f>VLOOKUP($A76,'OI(Volume)'!$A$7:$O$427,12)</f>
        <v>41250</v>
      </c>
      <c r="L76" s="103">
        <f>VLOOKUP($A76,'OI(Value)'!$A$7:$O$306,8,0)</f>
        <v>369</v>
      </c>
      <c r="M76" s="103">
        <f>VLOOKUP($A76,'OI(Value)'!$A$7:$O$306,9,0)</f>
        <v>26</v>
      </c>
      <c r="N76" s="103">
        <f>VLOOKUP($A76,'OI(Value)'!$A$7:$O$306,11,0)</f>
        <v>381</v>
      </c>
      <c r="O76" s="103">
        <f>VLOOKUP($A76,'OI(Value)'!$A$7:$O$306,12,0)</f>
        <v>12</v>
      </c>
      <c r="P76" s="179">
        <f>VLOOKUP(A76,'OI(Value)'!A76:O277,8,0)</f>
        <v>369</v>
      </c>
      <c r="Q76" s="179">
        <f>VLOOKUP(A76,'OI(Value)'!A76:O277,9,0)</f>
        <v>26</v>
      </c>
      <c r="R76" s="179">
        <f>VLOOKUP(A76,'OI(Value)'!A76:O277,11,0)</f>
        <v>381</v>
      </c>
      <c r="S76" s="179">
        <f>VLOOKUP(A76,'OI(Value)'!A76:O277,11,0)</f>
        <v>381</v>
      </c>
    </row>
    <row r="77" spans="1:19" x14ac:dyDescent="0.25">
      <c r="A77" s="105" t="str">
        <f>'Data shares'!C72</f>
        <v>HAL</v>
      </c>
      <c r="B77" s="143">
        <f>VLOOKUP($A77,'Data shares'!$C:$FA,118)</f>
        <v>0.7</v>
      </c>
      <c r="C77" s="143">
        <f>VLOOKUP($A77,'Data shares'!$C:$FA,119)</f>
        <v>0.7</v>
      </c>
      <c r="D77" s="143">
        <f>VLOOKUP($A77,'Data shares'!$C:$FA,121)*100</f>
        <v>0</v>
      </c>
      <c r="E77" s="143">
        <f>VLOOKUP($A77,'Data shares'!$C:$FA,124)</f>
        <v>0.45</v>
      </c>
      <c r="F77" s="143">
        <f>VLOOKUP($A77,'Data shares'!$C:$FA,125)</f>
        <v>0.54</v>
      </c>
      <c r="G77" s="143">
        <f>VLOOKUP($A77,'Data shares'!$C:$FA,127)*100</f>
        <v>-16.669999999999998</v>
      </c>
      <c r="H77" s="103">
        <f>VLOOKUP($A77,'OI(Volume)'!$A$7:$O$427,8)</f>
        <v>4431000</v>
      </c>
      <c r="I77" s="103">
        <f>VLOOKUP($A77,'OI(Volume)'!$A$7:$O$427,9)</f>
        <v>195000</v>
      </c>
      <c r="J77" s="103">
        <f>VLOOKUP($A77,'OI(Volume)'!$A$7:$O$427,11)</f>
        <v>3083400</v>
      </c>
      <c r="K77" s="103">
        <f>VLOOKUP($A77,'OI(Volume)'!$A$7:$O$427,12)</f>
        <v>125550</v>
      </c>
      <c r="L77" s="103">
        <f>VLOOKUP($A77,'OI(Value)'!$A$7:$O$306,8,0)</f>
        <v>2010</v>
      </c>
      <c r="M77" s="103">
        <f>VLOOKUP($A77,'OI(Value)'!$A$7:$O$306,9,0)</f>
        <v>88</v>
      </c>
      <c r="N77" s="103">
        <f>VLOOKUP($A77,'OI(Value)'!$A$7:$O$306,11,0)</f>
        <v>1398</v>
      </c>
      <c r="O77" s="103">
        <f>VLOOKUP($A77,'OI(Value)'!$A$7:$O$306,12,0)</f>
        <v>57</v>
      </c>
      <c r="P77" s="179">
        <f>VLOOKUP(A77,'OI(Value)'!A77:O278,8,0)</f>
        <v>2010</v>
      </c>
      <c r="Q77" s="179">
        <f>VLOOKUP(A77,'OI(Value)'!A77:O278,9,0)</f>
        <v>88</v>
      </c>
      <c r="R77" s="179">
        <f>VLOOKUP(A77,'OI(Value)'!A77:O278,11,0)</f>
        <v>1398</v>
      </c>
      <c r="S77" s="179">
        <f>VLOOKUP(A77,'OI(Value)'!A77:O278,11,0)</f>
        <v>1398</v>
      </c>
    </row>
    <row r="78" spans="1:19" x14ac:dyDescent="0.25">
      <c r="A78" s="105" t="str">
        <f>'Data shares'!C73</f>
        <v>HAVELLS</v>
      </c>
      <c r="B78" s="143">
        <f>VLOOKUP($A78,'Data shares'!$C:$FA,118)</f>
        <v>0.9</v>
      </c>
      <c r="C78" s="143">
        <f>VLOOKUP($A78,'Data shares'!$C:$FA,119)</f>
        <v>0.86</v>
      </c>
      <c r="D78" s="143">
        <f>VLOOKUP($A78,'Data shares'!$C:$FA,121)*100</f>
        <v>4.6500000000000004</v>
      </c>
      <c r="E78" s="143">
        <f>VLOOKUP($A78,'Data shares'!$C:$FA,124)</f>
        <v>0.69</v>
      </c>
      <c r="F78" s="143">
        <f>VLOOKUP($A78,'Data shares'!$C:$FA,125)</f>
        <v>0.3</v>
      </c>
      <c r="G78" s="143">
        <f>VLOOKUP($A78,'Data shares'!$C:$FA,127)*100</f>
        <v>130</v>
      </c>
      <c r="H78" s="103">
        <f>VLOOKUP($A78,'OI(Volume)'!$A$7:$O$427,8)</f>
        <v>2491500</v>
      </c>
      <c r="I78" s="103">
        <f>VLOOKUP($A78,'OI(Volume)'!$A$7:$O$427,9)</f>
        <v>94500</v>
      </c>
      <c r="J78" s="103">
        <f>VLOOKUP($A78,'OI(Volume)'!$A$7:$O$427,11)</f>
        <v>2237500</v>
      </c>
      <c r="K78" s="103">
        <f>VLOOKUP($A78,'OI(Volume)'!$A$7:$O$427,12)</f>
        <v>171500</v>
      </c>
      <c r="L78" s="103">
        <f>VLOOKUP($A78,'OI(Value)'!$A$7:$O$306,8,0)</f>
        <v>374</v>
      </c>
      <c r="M78" s="103">
        <f>VLOOKUP($A78,'OI(Value)'!$A$7:$O$306,9,0)</f>
        <v>14</v>
      </c>
      <c r="N78" s="103">
        <f>VLOOKUP($A78,'OI(Value)'!$A$7:$O$306,11,0)</f>
        <v>336</v>
      </c>
      <c r="O78" s="103">
        <f>VLOOKUP($A78,'OI(Value)'!$A$7:$O$306,12,0)</f>
        <v>26</v>
      </c>
      <c r="P78" s="179">
        <f>VLOOKUP(A78,'OI(Value)'!A78:O279,8,0)</f>
        <v>374</v>
      </c>
      <c r="Q78" s="179">
        <f>VLOOKUP(A78,'OI(Value)'!A78:O279,9,0)</f>
        <v>14</v>
      </c>
      <c r="R78" s="179">
        <f>VLOOKUP(A78,'OI(Value)'!A78:O279,11,0)</f>
        <v>336</v>
      </c>
      <c r="S78" s="179">
        <f>VLOOKUP(A78,'OI(Value)'!A78:O279,11,0)</f>
        <v>336</v>
      </c>
    </row>
    <row r="79" spans="1:19" x14ac:dyDescent="0.25">
      <c r="A79" s="105" t="str">
        <f>'Data shares'!C74</f>
        <v>HCLTECH</v>
      </c>
      <c r="B79" s="143">
        <f>VLOOKUP($A79,'Data shares'!$C:$FA,118)</f>
        <v>0.47</v>
      </c>
      <c r="C79" s="143">
        <f>VLOOKUP($A79,'Data shares'!$C:$FA,119)</f>
        <v>0.55000000000000004</v>
      </c>
      <c r="D79" s="143">
        <f>VLOOKUP($A79,'Data shares'!$C:$FA,121)*100</f>
        <v>-14.549999999999999</v>
      </c>
      <c r="E79" s="143">
        <f>VLOOKUP($A79,'Data shares'!$C:$FA,124)</f>
        <v>0.34</v>
      </c>
      <c r="F79" s="143">
        <f>VLOOKUP($A79,'Data shares'!$C:$FA,125)</f>
        <v>0.41</v>
      </c>
      <c r="G79" s="143">
        <f>VLOOKUP($A79,'Data shares'!$C:$FA,127)*100</f>
        <v>-17.07</v>
      </c>
      <c r="H79" s="103">
        <f>VLOOKUP($A79,'OI(Volume)'!$A$7:$O$427,8)</f>
        <v>8170400</v>
      </c>
      <c r="I79" s="103">
        <f>VLOOKUP($A79,'OI(Volume)'!$A$7:$O$427,9)</f>
        <v>2151800</v>
      </c>
      <c r="J79" s="103">
        <f>VLOOKUP($A79,'OI(Volume)'!$A$7:$O$427,11)</f>
        <v>3835650</v>
      </c>
      <c r="K79" s="103">
        <f>VLOOKUP($A79,'OI(Volume)'!$A$7:$O$427,12)</f>
        <v>514150</v>
      </c>
      <c r="L79" s="103">
        <f>VLOOKUP($A79,'OI(Value)'!$A$7:$O$306,8,0)</f>
        <v>1343</v>
      </c>
      <c r="M79" s="103">
        <f>VLOOKUP($A79,'OI(Value)'!$A$7:$O$306,9,0)</f>
        <v>354</v>
      </c>
      <c r="N79" s="103">
        <f>VLOOKUP($A79,'OI(Value)'!$A$7:$O$306,11,0)</f>
        <v>630</v>
      </c>
      <c r="O79" s="103">
        <f>VLOOKUP($A79,'OI(Value)'!$A$7:$O$306,12,0)</f>
        <v>84</v>
      </c>
      <c r="P79" s="179">
        <f>VLOOKUP(A79,'OI(Value)'!A79:O280,8,0)</f>
        <v>1343</v>
      </c>
      <c r="Q79" s="179">
        <f>VLOOKUP(A79,'OI(Value)'!A79:O280,9,0)</f>
        <v>354</v>
      </c>
      <c r="R79" s="179">
        <f>VLOOKUP(A79,'OI(Value)'!A79:O280,11,0)</f>
        <v>630</v>
      </c>
      <c r="S79" s="179">
        <f>VLOOKUP(A79,'OI(Value)'!A79:O280,11,0)</f>
        <v>630</v>
      </c>
    </row>
    <row r="80" spans="1:19" x14ac:dyDescent="0.25">
      <c r="A80" s="105" t="str">
        <f>'Data shares'!C75</f>
        <v>HDFCAMC</v>
      </c>
      <c r="B80" s="143">
        <f>VLOOKUP($A80,'Data shares'!$C:$FA,118)</f>
        <v>0.65</v>
      </c>
      <c r="C80" s="143">
        <f>VLOOKUP($A80,'Data shares'!$C:$FA,119)</f>
        <v>0.7</v>
      </c>
      <c r="D80" s="143">
        <f>VLOOKUP($A80,'Data shares'!$C:$FA,121)*100</f>
        <v>-7.1400000000000006</v>
      </c>
      <c r="E80" s="143">
        <f>VLOOKUP($A80,'Data shares'!$C:$FA,124)</f>
        <v>0.48</v>
      </c>
      <c r="F80" s="143">
        <f>VLOOKUP($A80,'Data shares'!$C:$FA,125)</f>
        <v>0.48</v>
      </c>
      <c r="G80" s="143">
        <f>VLOOKUP($A80,'Data shares'!$C:$FA,127)*100</f>
        <v>0</v>
      </c>
      <c r="H80" s="103">
        <f>VLOOKUP($A80,'OI(Volume)'!$A$7:$O$427,8)</f>
        <v>1763100</v>
      </c>
      <c r="I80" s="103">
        <f>VLOOKUP($A80,'OI(Volume)'!$A$7:$O$427,9)</f>
        <v>278400</v>
      </c>
      <c r="J80" s="103">
        <f>VLOOKUP($A80,'OI(Volume)'!$A$7:$O$427,11)</f>
        <v>1139100</v>
      </c>
      <c r="K80" s="103">
        <f>VLOOKUP($A80,'OI(Volume)'!$A$7:$O$427,12)</f>
        <v>101700</v>
      </c>
      <c r="L80" s="103">
        <f>VLOOKUP($A80,'OI(Value)'!$A$7:$O$306,8,0)</f>
        <v>465</v>
      </c>
      <c r="M80" s="103">
        <f>VLOOKUP($A80,'OI(Value)'!$A$7:$O$306,9,0)</f>
        <v>73</v>
      </c>
      <c r="N80" s="103">
        <f>VLOOKUP($A80,'OI(Value)'!$A$7:$O$306,11,0)</f>
        <v>300</v>
      </c>
      <c r="O80" s="103">
        <f>VLOOKUP($A80,'OI(Value)'!$A$7:$O$306,12,0)</f>
        <v>27</v>
      </c>
      <c r="P80" s="179">
        <f>VLOOKUP(A80,'OI(Value)'!A80:O281,8,0)</f>
        <v>465</v>
      </c>
      <c r="Q80" s="179">
        <f>VLOOKUP(A80,'OI(Value)'!A80:O281,9,0)</f>
        <v>73</v>
      </c>
      <c r="R80" s="179">
        <f>VLOOKUP(A80,'OI(Value)'!A80:O281,11,0)</f>
        <v>300</v>
      </c>
      <c r="S80" s="179">
        <f>VLOOKUP(A80,'OI(Value)'!A80:O281,11,0)</f>
        <v>300</v>
      </c>
    </row>
    <row r="81" spans="1:19" x14ac:dyDescent="0.25">
      <c r="A81" s="105" t="str">
        <f>'Data shares'!C76</f>
        <v>HDFCBANK</v>
      </c>
      <c r="B81" s="143">
        <f>VLOOKUP($A81,'Data shares'!$C:$FA,118)</f>
        <v>0.56999999999999995</v>
      </c>
      <c r="C81" s="143">
        <f>VLOOKUP($A81,'Data shares'!$C:$FA,119)</f>
        <v>0.6</v>
      </c>
      <c r="D81" s="143">
        <f>VLOOKUP($A81,'Data shares'!$C:$FA,121)*100</f>
        <v>-5</v>
      </c>
      <c r="E81" s="143">
        <f>VLOOKUP($A81,'Data shares'!$C:$FA,124)</f>
        <v>0.6</v>
      </c>
      <c r="F81" s="143">
        <f>VLOOKUP($A81,'Data shares'!$C:$FA,125)</f>
        <v>0.56999999999999995</v>
      </c>
      <c r="G81" s="143">
        <f>VLOOKUP($A81,'Data shares'!$C:$FA,127)*100</f>
        <v>5.26</v>
      </c>
      <c r="H81" s="103">
        <f>VLOOKUP($A81,'OI(Volume)'!$A$7:$O$427,8)</f>
        <v>61726500</v>
      </c>
      <c r="I81" s="103">
        <f>VLOOKUP($A81,'OI(Volume)'!$A$7:$O$427,9)</f>
        <v>11623150</v>
      </c>
      <c r="J81" s="103">
        <f>VLOOKUP($A81,'OI(Volume)'!$A$7:$O$427,11)</f>
        <v>35428250</v>
      </c>
      <c r="K81" s="103">
        <f>VLOOKUP($A81,'OI(Volume)'!$A$7:$O$427,12)</f>
        <v>5130400</v>
      </c>
      <c r="L81" s="103">
        <f>VLOOKUP($A81,'OI(Value)'!$A$7:$O$306,8,0)</f>
        <v>5880</v>
      </c>
      <c r="M81" s="103">
        <f>VLOOKUP($A81,'OI(Value)'!$A$7:$O$306,9,0)</f>
        <v>1107</v>
      </c>
      <c r="N81" s="103">
        <f>VLOOKUP($A81,'OI(Value)'!$A$7:$O$306,11,0)</f>
        <v>3375</v>
      </c>
      <c r="O81" s="103">
        <f>VLOOKUP($A81,'OI(Value)'!$A$7:$O$306,12,0)</f>
        <v>489</v>
      </c>
      <c r="P81" s="179">
        <f>VLOOKUP(A81,'OI(Value)'!A81:O282,8,0)</f>
        <v>5880</v>
      </c>
      <c r="Q81" s="179">
        <f>VLOOKUP(A81,'OI(Value)'!A81:O282,9,0)</f>
        <v>1107</v>
      </c>
      <c r="R81" s="179">
        <f>VLOOKUP(A81,'OI(Value)'!A81:O282,11,0)</f>
        <v>3375</v>
      </c>
      <c r="S81" s="179">
        <f>VLOOKUP(A81,'OI(Value)'!A81:O282,11,0)</f>
        <v>3375</v>
      </c>
    </row>
    <row r="82" spans="1:19" x14ac:dyDescent="0.25">
      <c r="A82" s="105" t="str">
        <f>'Data shares'!C77</f>
        <v>HDFCLIFE</v>
      </c>
      <c r="B82" s="143">
        <f>VLOOKUP($A82,'Data shares'!$C:$FA,118)</f>
        <v>0.65</v>
      </c>
      <c r="C82" s="143">
        <f>VLOOKUP($A82,'Data shares'!$C:$FA,119)</f>
        <v>0.65</v>
      </c>
      <c r="D82" s="143">
        <f>VLOOKUP($A82,'Data shares'!$C:$FA,121)*100</f>
        <v>0</v>
      </c>
      <c r="E82" s="143">
        <f>VLOOKUP($A82,'Data shares'!$C:$FA,124)</f>
        <v>0.47</v>
      </c>
      <c r="F82" s="143">
        <f>VLOOKUP($A82,'Data shares'!$C:$FA,125)</f>
        <v>0.35</v>
      </c>
      <c r="G82" s="143">
        <f>VLOOKUP($A82,'Data shares'!$C:$FA,127)*100</f>
        <v>34.29</v>
      </c>
      <c r="H82" s="103">
        <f>VLOOKUP($A82,'OI(Volume)'!$A$7:$O$427,8)</f>
        <v>10151900</v>
      </c>
      <c r="I82" s="103">
        <f>VLOOKUP($A82,'OI(Volume)'!$A$7:$O$427,9)</f>
        <v>624800</v>
      </c>
      <c r="J82" s="103">
        <f>VLOOKUP($A82,'OI(Volume)'!$A$7:$O$427,11)</f>
        <v>6571400</v>
      </c>
      <c r="K82" s="103">
        <f>VLOOKUP($A82,'OI(Volume)'!$A$7:$O$427,12)</f>
        <v>355300</v>
      </c>
      <c r="L82" s="103">
        <f>VLOOKUP($A82,'OI(Value)'!$A$7:$O$306,8,0)</f>
        <v>787</v>
      </c>
      <c r="M82" s="103">
        <f>VLOOKUP($A82,'OI(Value)'!$A$7:$O$306,9,0)</f>
        <v>48</v>
      </c>
      <c r="N82" s="103">
        <f>VLOOKUP($A82,'OI(Value)'!$A$7:$O$306,11,0)</f>
        <v>510</v>
      </c>
      <c r="O82" s="103">
        <f>VLOOKUP($A82,'OI(Value)'!$A$7:$O$306,12,0)</f>
        <v>28</v>
      </c>
      <c r="P82" s="179">
        <f>VLOOKUP(A82,'OI(Value)'!A82:O283,8,0)</f>
        <v>787</v>
      </c>
      <c r="Q82" s="179">
        <f>VLOOKUP(A82,'OI(Value)'!A82:O283,9,0)</f>
        <v>48</v>
      </c>
      <c r="R82" s="179">
        <f>VLOOKUP(A82,'OI(Value)'!A82:O283,11,0)</f>
        <v>510</v>
      </c>
      <c r="S82" s="179">
        <f>VLOOKUP(A82,'OI(Value)'!A82:O283,11,0)</f>
        <v>510</v>
      </c>
    </row>
    <row r="83" spans="1:19" x14ac:dyDescent="0.25">
      <c r="A83" s="105" t="str">
        <f>'Data shares'!C78</f>
        <v>HEROMOTOCO</v>
      </c>
      <c r="B83" s="143">
        <f>VLOOKUP($A83,'Data shares'!$C:$FA,118)</f>
        <v>0.67</v>
      </c>
      <c r="C83" s="143">
        <f>VLOOKUP($A83,'Data shares'!$C:$FA,119)</f>
        <v>0.67</v>
      </c>
      <c r="D83" s="143">
        <f>VLOOKUP($A83,'Data shares'!$C:$FA,121)*100</f>
        <v>0</v>
      </c>
      <c r="E83" s="143">
        <f>VLOOKUP($A83,'Data shares'!$C:$FA,124)</f>
        <v>0.68</v>
      </c>
      <c r="F83" s="143">
        <f>VLOOKUP($A83,'Data shares'!$C:$FA,125)</f>
        <v>0.49</v>
      </c>
      <c r="G83" s="143">
        <f>VLOOKUP($A83,'Data shares'!$C:$FA,127)*100</f>
        <v>38.78</v>
      </c>
      <c r="H83" s="103">
        <f>VLOOKUP($A83,'OI(Volume)'!$A$7:$O$427,8)</f>
        <v>2330250</v>
      </c>
      <c r="I83" s="103">
        <f>VLOOKUP($A83,'OI(Volume)'!$A$7:$O$427,9)</f>
        <v>19200</v>
      </c>
      <c r="J83" s="103">
        <f>VLOOKUP($A83,'OI(Volume)'!$A$7:$O$427,11)</f>
        <v>1551600</v>
      </c>
      <c r="K83" s="103">
        <f>VLOOKUP($A83,'OI(Volume)'!$A$7:$O$427,12)</f>
        <v>11550</v>
      </c>
      <c r="L83" s="103">
        <f>VLOOKUP($A83,'OI(Value)'!$A$7:$O$306,8,0)</f>
        <v>1400</v>
      </c>
      <c r="M83" s="103">
        <f>VLOOKUP($A83,'OI(Value)'!$A$7:$O$306,9,0)</f>
        <v>12</v>
      </c>
      <c r="N83" s="103">
        <f>VLOOKUP($A83,'OI(Value)'!$A$7:$O$306,11,0)</f>
        <v>932</v>
      </c>
      <c r="O83" s="103">
        <f>VLOOKUP($A83,'OI(Value)'!$A$7:$O$306,12,0)</f>
        <v>7</v>
      </c>
      <c r="P83" s="179">
        <f>VLOOKUP(A83,'OI(Value)'!A83:O284,8,0)</f>
        <v>1400</v>
      </c>
      <c r="Q83" s="179">
        <f>VLOOKUP(A83,'OI(Value)'!A83:O284,9,0)</f>
        <v>12</v>
      </c>
      <c r="R83" s="179">
        <f>VLOOKUP(A83,'OI(Value)'!A83:O284,11,0)</f>
        <v>932</v>
      </c>
      <c r="S83" s="179">
        <f>VLOOKUP(A83,'OI(Value)'!A83:O284,11,0)</f>
        <v>932</v>
      </c>
    </row>
    <row r="84" spans="1:19" x14ac:dyDescent="0.25">
      <c r="A84" s="105" t="str">
        <f>'Data shares'!C79</f>
        <v>HINDALCO</v>
      </c>
      <c r="B84" s="143">
        <f>VLOOKUP($A84,'Data shares'!$C:$FA,118)</f>
        <v>0.83</v>
      </c>
      <c r="C84" s="143">
        <f>VLOOKUP($A84,'Data shares'!$C:$FA,119)</f>
        <v>0.89</v>
      </c>
      <c r="D84" s="143">
        <f>VLOOKUP($A84,'Data shares'!$C:$FA,121)*100</f>
        <v>-6.74</v>
      </c>
      <c r="E84" s="143">
        <f>VLOOKUP($A84,'Data shares'!$C:$FA,124)</f>
        <v>0.53</v>
      </c>
      <c r="F84" s="143">
        <f>VLOOKUP($A84,'Data shares'!$C:$FA,125)</f>
        <v>0.41</v>
      </c>
      <c r="G84" s="143">
        <f>VLOOKUP($A84,'Data shares'!$C:$FA,127)*100</f>
        <v>29.270000000000003</v>
      </c>
      <c r="H84" s="103">
        <f>VLOOKUP($A84,'OI(Volume)'!$A$7:$O$427,8)</f>
        <v>16718100</v>
      </c>
      <c r="I84" s="103">
        <f>VLOOKUP($A84,'OI(Volume)'!$A$7:$O$427,9)</f>
        <v>474600</v>
      </c>
      <c r="J84" s="103">
        <f>VLOOKUP($A84,'OI(Volume)'!$A$7:$O$427,11)</f>
        <v>13913200</v>
      </c>
      <c r="K84" s="103">
        <f>VLOOKUP($A84,'OI(Volume)'!$A$7:$O$427,12)</f>
        <v>-579600</v>
      </c>
      <c r="L84" s="103">
        <f>VLOOKUP($A84,'OI(Value)'!$A$7:$O$306,8,0)</f>
        <v>1572</v>
      </c>
      <c r="M84" s="103">
        <f>VLOOKUP($A84,'OI(Value)'!$A$7:$O$306,9,0)</f>
        <v>45</v>
      </c>
      <c r="N84" s="103">
        <f>VLOOKUP($A84,'OI(Value)'!$A$7:$O$306,11,0)</f>
        <v>1308</v>
      </c>
      <c r="O84" s="103">
        <f>VLOOKUP($A84,'OI(Value)'!$A$7:$O$306,12,0)</f>
        <v>-54</v>
      </c>
      <c r="P84" s="179">
        <f>VLOOKUP(A84,'OI(Value)'!A84:O285,8,0)</f>
        <v>1572</v>
      </c>
      <c r="Q84" s="179">
        <f>VLOOKUP(A84,'OI(Value)'!A84:O285,9,0)</f>
        <v>45</v>
      </c>
      <c r="R84" s="179">
        <f>VLOOKUP(A84,'OI(Value)'!A84:O285,11,0)</f>
        <v>1308</v>
      </c>
      <c r="S84" s="179">
        <f>VLOOKUP(A84,'OI(Value)'!A84:O285,11,0)</f>
        <v>1308</v>
      </c>
    </row>
    <row r="85" spans="1:19" x14ac:dyDescent="0.25">
      <c r="A85" s="105" t="str">
        <f>'Data shares'!C80</f>
        <v>HINDPETRO</v>
      </c>
      <c r="B85" s="143">
        <f>VLOOKUP($A85,'Data shares'!$C:$FA,118)</f>
        <v>0.55000000000000004</v>
      </c>
      <c r="C85" s="143">
        <f>VLOOKUP($A85,'Data shares'!$C:$FA,119)</f>
        <v>0.55000000000000004</v>
      </c>
      <c r="D85" s="143">
        <f>VLOOKUP($A85,'Data shares'!$C:$FA,121)*100</f>
        <v>0</v>
      </c>
      <c r="E85" s="143">
        <f>VLOOKUP($A85,'Data shares'!$C:$FA,124)</f>
        <v>0.47</v>
      </c>
      <c r="F85" s="143">
        <f>VLOOKUP($A85,'Data shares'!$C:$FA,125)</f>
        <v>0.72</v>
      </c>
      <c r="G85" s="143">
        <f>VLOOKUP($A85,'Data shares'!$C:$FA,127)*100</f>
        <v>-34.72</v>
      </c>
      <c r="H85" s="103">
        <f>VLOOKUP($A85,'OI(Volume)'!$A$7:$O$427,8)</f>
        <v>15240150</v>
      </c>
      <c r="I85" s="103">
        <f>VLOOKUP($A85,'OI(Volume)'!$A$7:$O$427,9)</f>
        <v>895050</v>
      </c>
      <c r="J85" s="103">
        <f>VLOOKUP($A85,'OI(Volume)'!$A$7:$O$427,11)</f>
        <v>8316675</v>
      </c>
      <c r="K85" s="103">
        <f>VLOOKUP($A85,'OI(Volume)'!$A$7:$O$427,12)</f>
        <v>459675</v>
      </c>
      <c r="L85" s="103">
        <f>VLOOKUP($A85,'OI(Value)'!$A$7:$O$306,8,0)</f>
        <v>729</v>
      </c>
      <c r="M85" s="103">
        <f>VLOOKUP($A85,'OI(Value)'!$A$7:$O$306,9,0)</f>
        <v>43</v>
      </c>
      <c r="N85" s="103">
        <f>VLOOKUP($A85,'OI(Value)'!$A$7:$O$306,11,0)</f>
        <v>398</v>
      </c>
      <c r="O85" s="103">
        <f>VLOOKUP($A85,'OI(Value)'!$A$7:$O$306,12,0)</f>
        <v>22</v>
      </c>
      <c r="P85" s="179">
        <f>VLOOKUP(A85,'OI(Value)'!A85:O286,8,0)</f>
        <v>729</v>
      </c>
      <c r="Q85" s="179">
        <f>VLOOKUP(A85,'OI(Value)'!A85:O286,9,0)</f>
        <v>43</v>
      </c>
      <c r="R85" s="179">
        <f>VLOOKUP(A85,'OI(Value)'!A85:O286,11,0)</f>
        <v>398</v>
      </c>
      <c r="S85" s="179">
        <f>VLOOKUP(A85,'OI(Value)'!A85:O286,11,0)</f>
        <v>398</v>
      </c>
    </row>
    <row r="86" spans="1:19" x14ac:dyDescent="0.25">
      <c r="A86" s="105" t="str">
        <f>'Data shares'!C81</f>
        <v>HINDUNILVR</v>
      </c>
      <c r="B86" s="143">
        <f>VLOOKUP($A86,'Data shares'!$C:$FA,118)</f>
        <v>0.61</v>
      </c>
      <c r="C86" s="143">
        <f>VLOOKUP($A86,'Data shares'!$C:$FA,119)</f>
        <v>0.69</v>
      </c>
      <c r="D86" s="143">
        <f>VLOOKUP($A86,'Data shares'!$C:$FA,121)*100</f>
        <v>-11.59</v>
      </c>
      <c r="E86" s="143">
        <f>VLOOKUP($A86,'Data shares'!$C:$FA,124)</f>
        <v>0.55000000000000004</v>
      </c>
      <c r="F86" s="143">
        <f>VLOOKUP($A86,'Data shares'!$C:$FA,125)</f>
        <v>0.43</v>
      </c>
      <c r="G86" s="143">
        <f>VLOOKUP($A86,'Data shares'!$C:$FA,127)*100</f>
        <v>27.91</v>
      </c>
      <c r="H86" s="103">
        <f>VLOOKUP($A86,'OI(Volume)'!$A$7:$O$427,8)</f>
        <v>5576100</v>
      </c>
      <c r="I86" s="103">
        <f>VLOOKUP($A86,'OI(Volume)'!$A$7:$O$427,9)</f>
        <v>450300</v>
      </c>
      <c r="J86" s="103">
        <f>VLOOKUP($A86,'OI(Volume)'!$A$7:$O$427,11)</f>
        <v>3384600</v>
      </c>
      <c r="K86" s="103">
        <f>VLOOKUP($A86,'OI(Volume)'!$A$7:$O$427,12)</f>
        <v>-132000</v>
      </c>
      <c r="L86" s="103">
        <f>VLOOKUP($A86,'OI(Value)'!$A$7:$O$306,8,0)</f>
        <v>1337</v>
      </c>
      <c r="M86" s="103">
        <f>VLOOKUP($A86,'OI(Value)'!$A$7:$O$306,9,0)</f>
        <v>108</v>
      </c>
      <c r="N86" s="103">
        <f>VLOOKUP($A86,'OI(Value)'!$A$7:$O$306,11,0)</f>
        <v>812</v>
      </c>
      <c r="O86" s="103">
        <f>VLOOKUP($A86,'OI(Value)'!$A$7:$O$306,12,0)</f>
        <v>-32</v>
      </c>
      <c r="P86" s="179">
        <f>VLOOKUP(A86,'OI(Value)'!A86:O287,8,0)</f>
        <v>1337</v>
      </c>
      <c r="Q86" s="179">
        <f>VLOOKUP(A86,'OI(Value)'!A86:O287,9,0)</f>
        <v>108</v>
      </c>
      <c r="R86" s="179">
        <f>VLOOKUP(A86,'OI(Value)'!A86:O287,11,0)</f>
        <v>812</v>
      </c>
      <c r="S86" s="179">
        <f>VLOOKUP(A86,'OI(Value)'!A86:O287,11,0)</f>
        <v>812</v>
      </c>
    </row>
    <row r="87" spans="1:19" x14ac:dyDescent="0.25">
      <c r="A87" s="105" t="str">
        <f>'Data shares'!C82</f>
        <v>HINDZINC</v>
      </c>
      <c r="B87" s="143">
        <f>VLOOKUP($A87,'Data shares'!$C:$FA,118)</f>
        <v>0.61</v>
      </c>
      <c r="C87" s="143">
        <f>VLOOKUP($A87,'Data shares'!$C:$FA,119)</f>
        <v>0.67</v>
      </c>
      <c r="D87" s="143">
        <f>VLOOKUP($A87,'Data shares'!$C:$FA,121)*100</f>
        <v>-8.9599999999999991</v>
      </c>
      <c r="E87" s="143">
        <f>VLOOKUP($A87,'Data shares'!$C:$FA,124)</f>
        <v>0.5</v>
      </c>
      <c r="F87" s="143">
        <f>VLOOKUP($A87,'Data shares'!$C:$FA,125)</f>
        <v>0.46</v>
      </c>
      <c r="G87" s="143">
        <f>VLOOKUP($A87,'Data shares'!$C:$FA,127)*100</f>
        <v>8.6999999999999993</v>
      </c>
      <c r="H87" s="103">
        <f>VLOOKUP($A87,'OI(Volume)'!$A$7:$O$427,8)</f>
        <v>41692875</v>
      </c>
      <c r="I87" s="103">
        <f>VLOOKUP($A87,'OI(Volume)'!$A$7:$O$427,9)</f>
        <v>5005350</v>
      </c>
      <c r="J87" s="103">
        <f>VLOOKUP($A87,'OI(Volume)'!$A$7:$O$427,11)</f>
        <v>25526550</v>
      </c>
      <c r="K87" s="103">
        <f>VLOOKUP($A87,'OI(Volume)'!$A$7:$O$427,12)</f>
        <v>1010625</v>
      </c>
      <c r="L87" s="103">
        <f>VLOOKUP($A87,'OI(Value)'!$A$7:$O$306,8,0)</f>
        <v>2632</v>
      </c>
      <c r="M87" s="103">
        <f>VLOOKUP($A87,'OI(Value)'!$A$7:$O$306,9,0)</f>
        <v>316</v>
      </c>
      <c r="N87" s="103">
        <f>VLOOKUP($A87,'OI(Value)'!$A$7:$O$306,11,0)</f>
        <v>1611</v>
      </c>
      <c r="O87" s="103">
        <f>VLOOKUP($A87,'OI(Value)'!$A$7:$O$306,12,0)</f>
        <v>64</v>
      </c>
      <c r="P87" s="179">
        <f>VLOOKUP(A87,'OI(Value)'!A87:O288,8,0)</f>
        <v>2632</v>
      </c>
      <c r="Q87" s="179">
        <f>VLOOKUP(A87,'OI(Value)'!A87:O288,9,0)</f>
        <v>316</v>
      </c>
      <c r="R87" s="179">
        <f>VLOOKUP(A87,'OI(Value)'!A87:O288,11,0)</f>
        <v>1611</v>
      </c>
      <c r="S87" s="179">
        <f>VLOOKUP(A87,'OI(Value)'!A87:O288,11,0)</f>
        <v>1611</v>
      </c>
    </row>
    <row r="88" spans="1:19" x14ac:dyDescent="0.25">
      <c r="A88" s="105" t="str">
        <f>'Data shares'!C83</f>
        <v>HUDCO</v>
      </c>
      <c r="B88" s="143">
        <f>VLOOKUP($A88,'Data shares'!$C:$FA,118)</f>
        <v>0.72</v>
      </c>
      <c r="C88" s="143">
        <f>VLOOKUP($A88,'Data shares'!$C:$FA,119)</f>
        <v>0.76</v>
      </c>
      <c r="D88" s="143">
        <f>VLOOKUP($A88,'Data shares'!$C:$FA,121)*100</f>
        <v>-5.26</v>
      </c>
      <c r="E88" s="143">
        <f>VLOOKUP($A88,'Data shares'!$C:$FA,124)</f>
        <v>0.26</v>
      </c>
      <c r="F88" s="143">
        <f>VLOOKUP($A88,'Data shares'!$C:$FA,125)</f>
        <v>0.31</v>
      </c>
      <c r="G88" s="143">
        <f>VLOOKUP($A88,'Data shares'!$C:$FA,127)*100</f>
        <v>-16.13</v>
      </c>
      <c r="H88" s="103">
        <f>VLOOKUP($A88,'OI(Volume)'!$A$7:$O$427,8)</f>
        <v>19988325</v>
      </c>
      <c r="I88" s="103">
        <f>VLOOKUP($A88,'OI(Volume)'!$A$7:$O$427,9)</f>
        <v>1404150</v>
      </c>
      <c r="J88" s="103">
        <f>VLOOKUP($A88,'OI(Volume)'!$A$7:$O$427,11)</f>
        <v>14410575</v>
      </c>
      <c r="K88" s="103">
        <f>VLOOKUP($A88,'OI(Volume)'!$A$7:$O$427,12)</f>
        <v>371850</v>
      </c>
      <c r="L88" s="103">
        <f>VLOOKUP($A88,'OI(Value)'!$A$7:$O$306,8,0)</f>
        <v>455</v>
      </c>
      <c r="M88" s="103">
        <f>VLOOKUP($A88,'OI(Value)'!$A$7:$O$306,9,0)</f>
        <v>32</v>
      </c>
      <c r="N88" s="103">
        <f>VLOOKUP($A88,'OI(Value)'!$A$7:$O$306,11,0)</f>
        <v>328</v>
      </c>
      <c r="O88" s="103">
        <f>VLOOKUP($A88,'OI(Value)'!$A$7:$O$306,12,0)</f>
        <v>8</v>
      </c>
      <c r="P88" s="179">
        <f>VLOOKUP(A88,'OI(Value)'!A88:O289,8,0)</f>
        <v>455</v>
      </c>
      <c r="Q88" s="179">
        <f>VLOOKUP(A88,'OI(Value)'!A88:O289,9,0)</f>
        <v>32</v>
      </c>
      <c r="R88" s="179">
        <f>VLOOKUP(A88,'OI(Value)'!A88:O289,11,0)</f>
        <v>328</v>
      </c>
      <c r="S88" s="179">
        <f>VLOOKUP(A88,'OI(Value)'!A88:O289,11,0)</f>
        <v>328</v>
      </c>
    </row>
    <row r="89" spans="1:19" x14ac:dyDescent="0.25">
      <c r="A89" s="105" t="str">
        <f>'Data shares'!C84</f>
        <v>ICICIBANK</v>
      </c>
      <c r="B89" s="143">
        <f>VLOOKUP($A89,'Data shares'!$C:$FA,118)</f>
        <v>0.71</v>
      </c>
      <c r="C89" s="143">
        <f>VLOOKUP($A89,'Data shares'!$C:$FA,119)</f>
        <v>0.76</v>
      </c>
      <c r="D89" s="143">
        <f>VLOOKUP($A89,'Data shares'!$C:$FA,121)*100</f>
        <v>-6.58</v>
      </c>
      <c r="E89" s="143">
        <f>VLOOKUP($A89,'Data shares'!$C:$FA,124)</f>
        <v>0.68</v>
      </c>
      <c r="F89" s="143">
        <f>VLOOKUP($A89,'Data shares'!$C:$FA,125)</f>
        <v>0.57999999999999996</v>
      </c>
      <c r="G89" s="143">
        <f>VLOOKUP($A89,'Data shares'!$C:$FA,127)*100</f>
        <v>17.239999999999998</v>
      </c>
      <c r="H89" s="103">
        <f>VLOOKUP($A89,'OI(Volume)'!$A$7:$O$427,8)</f>
        <v>33915000</v>
      </c>
      <c r="I89" s="103">
        <f>VLOOKUP($A89,'OI(Volume)'!$A$7:$O$427,9)</f>
        <v>2800000</v>
      </c>
      <c r="J89" s="103">
        <f>VLOOKUP($A89,'OI(Volume)'!$A$7:$O$427,11)</f>
        <v>23943500</v>
      </c>
      <c r="K89" s="103">
        <f>VLOOKUP($A89,'OI(Volume)'!$A$7:$O$427,12)</f>
        <v>306600</v>
      </c>
      <c r="L89" s="103">
        <f>VLOOKUP($A89,'OI(Value)'!$A$7:$O$306,8,0)</f>
        <v>4852</v>
      </c>
      <c r="M89" s="103">
        <f>VLOOKUP($A89,'OI(Value)'!$A$7:$O$306,9,0)</f>
        <v>401</v>
      </c>
      <c r="N89" s="103">
        <f>VLOOKUP($A89,'OI(Value)'!$A$7:$O$306,11,0)</f>
        <v>3426</v>
      </c>
      <c r="O89" s="103">
        <f>VLOOKUP($A89,'OI(Value)'!$A$7:$O$306,12,0)</f>
        <v>44</v>
      </c>
      <c r="P89" s="179">
        <f>VLOOKUP(A89,'OI(Value)'!A89:O290,8,0)</f>
        <v>4852</v>
      </c>
      <c r="Q89" s="179">
        <f>VLOOKUP(A89,'OI(Value)'!A89:O290,9,0)</f>
        <v>401</v>
      </c>
      <c r="R89" s="179">
        <f>VLOOKUP(A89,'OI(Value)'!A89:O290,11,0)</f>
        <v>3426</v>
      </c>
      <c r="S89" s="179">
        <f>VLOOKUP(A89,'OI(Value)'!A89:O290,11,0)</f>
        <v>3426</v>
      </c>
    </row>
    <row r="90" spans="1:19" x14ac:dyDescent="0.25">
      <c r="A90" s="105" t="str">
        <f>'Data shares'!C85</f>
        <v>ICICIGI</v>
      </c>
      <c r="B90" s="143">
        <f>VLOOKUP($A90,'Data shares'!$C:$FA,118)</f>
        <v>0.86</v>
      </c>
      <c r="C90" s="143">
        <f>VLOOKUP($A90,'Data shares'!$C:$FA,119)</f>
        <v>0.94</v>
      </c>
      <c r="D90" s="143">
        <f>VLOOKUP($A90,'Data shares'!$C:$FA,121)*100</f>
        <v>-8.51</v>
      </c>
      <c r="E90" s="143">
        <f>VLOOKUP($A90,'Data shares'!$C:$FA,124)</f>
        <v>0.69</v>
      </c>
      <c r="F90" s="143">
        <f>VLOOKUP($A90,'Data shares'!$C:$FA,125)</f>
        <v>0.35</v>
      </c>
      <c r="G90" s="143">
        <f>VLOOKUP($A90,'Data shares'!$C:$FA,127)*100</f>
        <v>97.14</v>
      </c>
      <c r="H90" s="103">
        <f>VLOOKUP($A90,'OI(Volume)'!$A$7:$O$427,8)</f>
        <v>993850</v>
      </c>
      <c r="I90" s="103">
        <f>VLOOKUP($A90,'OI(Volume)'!$A$7:$O$427,9)</f>
        <v>118625</v>
      </c>
      <c r="J90" s="103">
        <f>VLOOKUP($A90,'OI(Volume)'!$A$7:$O$427,11)</f>
        <v>859625</v>
      </c>
      <c r="K90" s="103">
        <f>VLOOKUP($A90,'OI(Volume)'!$A$7:$O$427,12)</f>
        <v>40950</v>
      </c>
      <c r="L90" s="103">
        <f>VLOOKUP($A90,'OI(Value)'!$A$7:$O$306,8,0)</f>
        <v>196</v>
      </c>
      <c r="M90" s="103">
        <f>VLOOKUP($A90,'OI(Value)'!$A$7:$O$306,9,0)</f>
        <v>23</v>
      </c>
      <c r="N90" s="103">
        <f>VLOOKUP($A90,'OI(Value)'!$A$7:$O$306,11,0)</f>
        <v>170</v>
      </c>
      <c r="O90" s="103">
        <f>VLOOKUP($A90,'OI(Value)'!$A$7:$O$306,12,0)</f>
        <v>8</v>
      </c>
      <c r="P90" s="179">
        <f>VLOOKUP(A90,'OI(Value)'!A90:O291,8,0)</f>
        <v>196</v>
      </c>
      <c r="Q90" s="179">
        <f>VLOOKUP(A90,'OI(Value)'!A90:O291,9,0)</f>
        <v>23</v>
      </c>
      <c r="R90" s="179">
        <f>VLOOKUP(A90,'OI(Value)'!A90:O291,11,0)</f>
        <v>170</v>
      </c>
      <c r="S90" s="179">
        <f>VLOOKUP(A90,'OI(Value)'!A90:O291,11,0)</f>
        <v>170</v>
      </c>
    </row>
    <row r="91" spans="1:19" x14ac:dyDescent="0.25">
      <c r="A91" s="105" t="str">
        <f>'Data shares'!C86</f>
        <v>ICICIPRULI</v>
      </c>
      <c r="B91" s="143">
        <f>VLOOKUP($A91,'Data shares'!$C:$FA,118)</f>
        <v>0.94</v>
      </c>
      <c r="C91" s="143">
        <f>VLOOKUP($A91,'Data shares'!$C:$FA,119)</f>
        <v>0.98</v>
      </c>
      <c r="D91" s="143">
        <f>VLOOKUP($A91,'Data shares'!$C:$FA,121)*100</f>
        <v>-4.08</v>
      </c>
      <c r="E91" s="143">
        <f>VLOOKUP($A91,'Data shares'!$C:$FA,124)</f>
        <v>0.55000000000000004</v>
      </c>
      <c r="F91" s="143">
        <f>VLOOKUP($A91,'Data shares'!$C:$FA,125)</f>
        <v>0.61</v>
      </c>
      <c r="G91" s="143">
        <f>VLOOKUP($A91,'Data shares'!$C:$FA,127)*100</f>
        <v>-9.84</v>
      </c>
      <c r="H91" s="103">
        <f>VLOOKUP($A91,'OI(Volume)'!$A$7:$O$427,8)</f>
        <v>2730600</v>
      </c>
      <c r="I91" s="103">
        <f>VLOOKUP($A91,'OI(Volume)'!$A$7:$O$427,9)</f>
        <v>211825</v>
      </c>
      <c r="J91" s="103">
        <f>VLOOKUP($A91,'OI(Volume)'!$A$7:$O$427,11)</f>
        <v>2570575</v>
      </c>
      <c r="K91" s="103">
        <f>VLOOKUP($A91,'OI(Volume)'!$A$7:$O$427,12)</f>
        <v>112850</v>
      </c>
      <c r="L91" s="103">
        <f>VLOOKUP($A91,'OI(Value)'!$A$7:$O$306,8,0)</f>
        <v>187</v>
      </c>
      <c r="M91" s="103">
        <f>VLOOKUP($A91,'OI(Value)'!$A$7:$O$306,9,0)</f>
        <v>15</v>
      </c>
      <c r="N91" s="103">
        <f>VLOOKUP($A91,'OI(Value)'!$A$7:$O$306,11,0)</f>
        <v>176</v>
      </c>
      <c r="O91" s="103">
        <f>VLOOKUP($A91,'OI(Value)'!$A$7:$O$306,12,0)</f>
        <v>8</v>
      </c>
      <c r="P91" s="179">
        <f>VLOOKUP(A91,'OI(Value)'!A91:O292,8,0)</f>
        <v>187</v>
      </c>
      <c r="Q91" s="179">
        <f>VLOOKUP(A91,'OI(Value)'!A91:O292,9,0)</f>
        <v>15</v>
      </c>
      <c r="R91" s="179">
        <f>VLOOKUP(A91,'OI(Value)'!A91:O292,11,0)</f>
        <v>176</v>
      </c>
      <c r="S91" s="179">
        <f>VLOOKUP(A91,'OI(Value)'!A91:O292,11,0)</f>
        <v>176</v>
      </c>
    </row>
    <row r="92" spans="1:19" x14ac:dyDescent="0.25">
      <c r="A92" s="105" t="str">
        <f>'Data shares'!C87</f>
        <v>IDEA</v>
      </c>
      <c r="B92" s="143">
        <f>VLOOKUP($A92,'Data shares'!$C:$FA,118)</f>
        <v>0.61</v>
      </c>
      <c r="C92" s="143">
        <f>VLOOKUP($A92,'Data shares'!$C:$FA,119)</f>
        <v>0.62</v>
      </c>
      <c r="D92" s="143">
        <f>VLOOKUP($A92,'Data shares'!$C:$FA,121)*100</f>
        <v>-1.6099999999999999</v>
      </c>
      <c r="E92" s="143">
        <f>VLOOKUP($A92,'Data shares'!$C:$FA,124)</f>
        <v>0.37</v>
      </c>
      <c r="F92" s="143">
        <f>VLOOKUP($A92,'Data shares'!$C:$FA,125)</f>
        <v>0.4</v>
      </c>
      <c r="G92" s="143">
        <f>VLOOKUP($A92,'Data shares'!$C:$FA,127)*100</f>
        <v>-7.5</v>
      </c>
      <c r="H92" s="103">
        <f>VLOOKUP($A92,'OI(Volume)'!$A$7:$O$427,8)</f>
        <v>2552729625</v>
      </c>
      <c r="I92" s="103">
        <f>VLOOKUP($A92,'OI(Volume)'!$A$7:$O$427,9)</f>
        <v>38596500</v>
      </c>
      <c r="J92" s="103">
        <f>VLOOKUP($A92,'OI(Volume)'!$A$7:$O$427,11)</f>
        <v>1547219325</v>
      </c>
      <c r="K92" s="103">
        <f>VLOOKUP($A92,'OI(Volume)'!$A$7:$O$427,12)</f>
        <v>-19870050</v>
      </c>
      <c r="L92" s="103">
        <f>VLOOKUP($A92,'OI(Value)'!$A$7:$O$306,8,0)</f>
        <v>2941</v>
      </c>
      <c r="M92" s="103">
        <f>VLOOKUP($A92,'OI(Value)'!$A$7:$O$306,9,0)</f>
        <v>44</v>
      </c>
      <c r="N92" s="103">
        <f>VLOOKUP($A92,'OI(Value)'!$A$7:$O$306,11,0)</f>
        <v>1782</v>
      </c>
      <c r="O92" s="103">
        <f>VLOOKUP($A92,'OI(Value)'!$A$7:$O$306,12,0)</f>
        <v>-23</v>
      </c>
      <c r="P92" s="179">
        <f>VLOOKUP(A92,'OI(Value)'!A92:O293,8,0)</f>
        <v>2941</v>
      </c>
      <c r="Q92" s="179">
        <f>VLOOKUP(A92,'OI(Value)'!A92:O293,9,0)</f>
        <v>44</v>
      </c>
      <c r="R92" s="179">
        <f>VLOOKUP(A92,'OI(Value)'!A92:O293,11,0)</f>
        <v>1782</v>
      </c>
      <c r="S92" s="179">
        <f>VLOOKUP(A92,'OI(Value)'!A92:O293,11,0)</f>
        <v>1782</v>
      </c>
    </row>
    <row r="93" spans="1:19" x14ac:dyDescent="0.25">
      <c r="A93" s="105" t="str">
        <f>'Data shares'!C88</f>
        <v>IDFCFIRSTB</v>
      </c>
      <c r="B93" s="143">
        <f>VLOOKUP($A93,'Data shares'!$C:$FA,118)</f>
        <v>0.56000000000000005</v>
      </c>
      <c r="C93" s="143">
        <f>VLOOKUP($A93,'Data shares'!$C:$FA,119)</f>
        <v>0.56000000000000005</v>
      </c>
      <c r="D93" s="143">
        <f>VLOOKUP($A93,'Data shares'!$C:$FA,121)*100</f>
        <v>0</v>
      </c>
      <c r="E93" s="143">
        <f>VLOOKUP($A93,'Data shares'!$C:$FA,124)</f>
        <v>0.33</v>
      </c>
      <c r="F93" s="143">
        <f>VLOOKUP($A93,'Data shares'!$C:$FA,125)</f>
        <v>0.43</v>
      </c>
      <c r="G93" s="143">
        <f>VLOOKUP($A93,'Data shares'!$C:$FA,127)*100</f>
        <v>-23.26</v>
      </c>
      <c r="H93" s="103">
        <f>VLOOKUP($A93,'OI(Volume)'!$A$7:$O$427,8)</f>
        <v>117542075</v>
      </c>
      <c r="I93" s="103">
        <f>VLOOKUP($A93,'OI(Volume)'!$A$7:$O$427,9)</f>
        <v>4043900</v>
      </c>
      <c r="J93" s="103">
        <f>VLOOKUP($A93,'OI(Volume)'!$A$7:$O$427,11)</f>
        <v>65360925</v>
      </c>
      <c r="K93" s="103">
        <f>VLOOKUP($A93,'OI(Volume)'!$A$7:$O$427,12)</f>
        <v>2346575</v>
      </c>
      <c r="L93" s="103">
        <f>VLOOKUP($A93,'OI(Value)'!$A$7:$O$306,8,0)</f>
        <v>997</v>
      </c>
      <c r="M93" s="103">
        <f>VLOOKUP($A93,'OI(Value)'!$A$7:$O$306,9,0)</f>
        <v>34</v>
      </c>
      <c r="N93" s="103">
        <f>VLOOKUP($A93,'OI(Value)'!$A$7:$O$306,11,0)</f>
        <v>554</v>
      </c>
      <c r="O93" s="103">
        <f>VLOOKUP($A93,'OI(Value)'!$A$7:$O$306,12,0)</f>
        <v>20</v>
      </c>
      <c r="P93" s="179">
        <f>VLOOKUP(A93,'OI(Value)'!A93:O294,8,0)</f>
        <v>997</v>
      </c>
      <c r="Q93" s="179">
        <f>VLOOKUP(A93,'OI(Value)'!A93:O294,9,0)</f>
        <v>34</v>
      </c>
      <c r="R93" s="179">
        <f>VLOOKUP(A93,'OI(Value)'!A93:O294,11,0)</f>
        <v>554</v>
      </c>
      <c r="S93" s="179">
        <f>VLOOKUP(A93,'OI(Value)'!A93:O294,11,0)</f>
        <v>554</v>
      </c>
    </row>
    <row r="94" spans="1:19" x14ac:dyDescent="0.25">
      <c r="A94" s="105" t="str">
        <f>'Data shares'!C89</f>
        <v>IEX</v>
      </c>
      <c r="B94" s="143">
        <f>VLOOKUP($A94,'Data shares'!$C:$FA,118)</f>
        <v>0.68</v>
      </c>
      <c r="C94" s="143">
        <f>VLOOKUP($A94,'Data shares'!$C:$FA,119)</f>
        <v>0.59</v>
      </c>
      <c r="D94" s="143">
        <f>VLOOKUP($A94,'Data shares'!$C:$FA,121)*100</f>
        <v>15.25</v>
      </c>
      <c r="E94" s="143">
        <f>VLOOKUP($A94,'Data shares'!$C:$FA,124)</f>
        <v>0.33</v>
      </c>
      <c r="F94" s="143">
        <f>VLOOKUP($A94,'Data shares'!$C:$FA,125)</f>
        <v>0.34</v>
      </c>
      <c r="G94" s="143">
        <f>VLOOKUP($A94,'Data shares'!$C:$FA,127)*100</f>
        <v>-2.94</v>
      </c>
      <c r="H94" s="103">
        <f>VLOOKUP($A94,'OI(Volume)'!$A$7:$O$427,8)</f>
        <v>90648750</v>
      </c>
      <c r="I94" s="103">
        <f>VLOOKUP($A94,'OI(Volume)'!$A$7:$O$427,9)</f>
        <v>986250</v>
      </c>
      <c r="J94" s="103">
        <f>VLOOKUP($A94,'OI(Volume)'!$A$7:$O$427,11)</f>
        <v>62017500</v>
      </c>
      <c r="K94" s="103">
        <f>VLOOKUP($A94,'OI(Volume)'!$A$7:$O$427,12)</f>
        <v>9498750</v>
      </c>
      <c r="L94" s="103">
        <f>VLOOKUP($A94,'OI(Value)'!$A$7:$O$306,8,0)</f>
        <v>1408</v>
      </c>
      <c r="M94" s="103">
        <f>VLOOKUP($A94,'OI(Value)'!$A$7:$O$306,9,0)</f>
        <v>15</v>
      </c>
      <c r="N94" s="103">
        <f>VLOOKUP($A94,'OI(Value)'!$A$7:$O$306,11,0)</f>
        <v>963</v>
      </c>
      <c r="O94" s="103">
        <f>VLOOKUP($A94,'OI(Value)'!$A$7:$O$306,12,0)</f>
        <v>148</v>
      </c>
      <c r="P94" s="179">
        <f>VLOOKUP(A94,'OI(Value)'!A94:O295,8,0)</f>
        <v>1408</v>
      </c>
      <c r="Q94" s="179">
        <f>VLOOKUP(A94,'OI(Value)'!A94:O295,9,0)</f>
        <v>15</v>
      </c>
      <c r="R94" s="179">
        <f>VLOOKUP(A94,'OI(Value)'!A94:O295,11,0)</f>
        <v>963</v>
      </c>
      <c r="S94" s="179">
        <f>VLOOKUP(A94,'OI(Value)'!A94:O295,11,0)</f>
        <v>963</v>
      </c>
    </row>
    <row r="95" spans="1:19" x14ac:dyDescent="0.25">
      <c r="A95" s="105" t="str">
        <f>'Data shares'!C90</f>
        <v>IIFL</v>
      </c>
      <c r="B95" s="143">
        <f>VLOOKUP($A95,'Data shares'!$C:$FA,118)</f>
        <v>0.79</v>
      </c>
      <c r="C95" s="143">
        <f>VLOOKUP($A95,'Data shares'!$C:$FA,119)</f>
        <v>0.99</v>
      </c>
      <c r="D95" s="143">
        <f>VLOOKUP($A95,'Data shares'!$C:$FA,121)*100</f>
        <v>-20.200000000000003</v>
      </c>
      <c r="E95" s="143">
        <f>VLOOKUP($A95,'Data shares'!$C:$FA,124)</f>
        <v>0.74</v>
      </c>
      <c r="F95" s="143">
        <f>VLOOKUP($A95,'Data shares'!$C:$FA,125)</f>
        <v>0.39</v>
      </c>
      <c r="G95" s="143">
        <f>VLOOKUP($A95,'Data shares'!$C:$FA,127)*100</f>
        <v>89.74</v>
      </c>
      <c r="H95" s="103">
        <f>VLOOKUP($A95,'OI(Volume)'!$A$7:$O$427,8)</f>
        <v>5720550</v>
      </c>
      <c r="I95" s="103">
        <f>VLOOKUP($A95,'OI(Volume)'!$A$7:$O$427,9)</f>
        <v>717750</v>
      </c>
      <c r="J95" s="103">
        <f>VLOOKUP($A95,'OI(Volume)'!$A$7:$O$427,11)</f>
        <v>4540800</v>
      </c>
      <c r="K95" s="103">
        <f>VLOOKUP($A95,'OI(Volume)'!$A$7:$O$427,12)</f>
        <v>-414150</v>
      </c>
      <c r="L95" s="103">
        <f>VLOOKUP($A95,'OI(Value)'!$A$7:$O$306,8,0)</f>
        <v>378</v>
      </c>
      <c r="M95" s="103">
        <f>VLOOKUP($A95,'OI(Value)'!$A$7:$O$306,9,0)</f>
        <v>47</v>
      </c>
      <c r="N95" s="103">
        <f>VLOOKUP($A95,'OI(Value)'!$A$7:$O$306,11,0)</f>
        <v>300</v>
      </c>
      <c r="O95" s="103">
        <f>VLOOKUP($A95,'OI(Value)'!$A$7:$O$306,12,0)</f>
        <v>-27</v>
      </c>
      <c r="P95" s="179">
        <f>VLOOKUP(A95,'OI(Value)'!A95:O296,8,0)</f>
        <v>378</v>
      </c>
      <c r="Q95" s="179">
        <f>VLOOKUP(A95,'OI(Value)'!A95:O296,9,0)</f>
        <v>47</v>
      </c>
      <c r="R95" s="179">
        <f>VLOOKUP(A95,'OI(Value)'!A95:O296,11,0)</f>
        <v>300</v>
      </c>
      <c r="S95" s="179">
        <f>VLOOKUP(A95,'OI(Value)'!A95:O296,11,0)</f>
        <v>300</v>
      </c>
    </row>
    <row r="96" spans="1:19" x14ac:dyDescent="0.25">
      <c r="A96" s="105" t="str">
        <f>'Data shares'!C91</f>
        <v>INDHOTEL</v>
      </c>
      <c r="B96" s="143">
        <f>VLOOKUP($A96,'Data shares'!$C:$FA,118)</f>
        <v>0.62</v>
      </c>
      <c r="C96" s="143">
        <f>VLOOKUP($A96,'Data shares'!$C:$FA,119)</f>
        <v>0.61</v>
      </c>
      <c r="D96" s="143">
        <f>VLOOKUP($A96,'Data shares'!$C:$FA,121)*100</f>
        <v>1.6400000000000001</v>
      </c>
      <c r="E96" s="143">
        <f>VLOOKUP($A96,'Data shares'!$C:$FA,124)</f>
        <v>0.67</v>
      </c>
      <c r="F96" s="143">
        <f>VLOOKUP($A96,'Data shares'!$C:$FA,125)</f>
        <v>0.5</v>
      </c>
      <c r="G96" s="143">
        <f>VLOOKUP($A96,'Data shares'!$C:$FA,127)*100</f>
        <v>34</v>
      </c>
      <c r="H96" s="103">
        <f>VLOOKUP($A96,'OI(Volume)'!$A$7:$O$427,8)</f>
        <v>10009000</v>
      </c>
      <c r="I96" s="103">
        <f>VLOOKUP($A96,'OI(Volume)'!$A$7:$O$427,9)</f>
        <v>1659000</v>
      </c>
      <c r="J96" s="103">
        <f>VLOOKUP($A96,'OI(Volume)'!$A$7:$O$427,11)</f>
        <v>6190000</v>
      </c>
      <c r="K96" s="103">
        <f>VLOOKUP($A96,'OI(Volume)'!$A$7:$O$427,12)</f>
        <v>1110000</v>
      </c>
      <c r="L96" s="103">
        <f>VLOOKUP($A96,'OI(Value)'!$A$7:$O$306,8,0)</f>
        <v>718</v>
      </c>
      <c r="M96" s="103">
        <f>VLOOKUP($A96,'OI(Value)'!$A$7:$O$306,9,0)</f>
        <v>119</v>
      </c>
      <c r="N96" s="103">
        <f>VLOOKUP($A96,'OI(Value)'!$A$7:$O$306,11,0)</f>
        <v>444</v>
      </c>
      <c r="O96" s="103">
        <f>VLOOKUP($A96,'OI(Value)'!$A$7:$O$306,12,0)</f>
        <v>80</v>
      </c>
      <c r="P96" s="179">
        <f>VLOOKUP(A96,'OI(Value)'!A96:O297,8,0)</f>
        <v>718</v>
      </c>
      <c r="Q96" s="179">
        <f>VLOOKUP(A96,'OI(Value)'!A96:O297,9,0)</f>
        <v>119</v>
      </c>
      <c r="R96" s="179">
        <f>VLOOKUP(A96,'OI(Value)'!A96:O297,11,0)</f>
        <v>444</v>
      </c>
      <c r="S96" s="179">
        <f>VLOOKUP(A96,'OI(Value)'!A96:O297,11,0)</f>
        <v>444</v>
      </c>
    </row>
    <row r="97" spans="1:19" x14ac:dyDescent="0.25">
      <c r="A97" s="105" t="str">
        <f>'Data shares'!C92</f>
        <v>INDIANB</v>
      </c>
      <c r="B97" s="143">
        <f>VLOOKUP($A97,'Data shares'!$C:$FA,118)</f>
        <v>0.71</v>
      </c>
      <c r="C97" s="143">
        <f>VLOOKUP($A97,'Data shares'!$C:$FA,119)</f>
        <v>0.7</v>
      </c>
      <c r="D97" s="143">
        <f>VLOOKUP($A97,'Data shares'!$C:$FA,121)*100</f>
        <v>1.43</v>
      </c>
      <c r="E97" s="143">
        <f>VLOOKUP($A97,'Data shares'!$C:$FA,124)</f>
        <v>0.4</v>
      </c>
      <c r="F97" s="143">
        <f>VLOOKUP($A97,'Data shares'!$C:$FA,125)</f>
        <v>0.36</v>
      </c>
      <c r="G97" s="143">
        <f>VLOOKUP($A97,'Data shares'!$C:$FA,127)*100</f>
        <v>11.110000000000001</v>
      </c>
      <c r="H97" s="103">
        <f>VLOOKUP($A97,'OI(Volume)'!$A$7:$O$427,8)</f>
        <v>4614000</v>
      </c>
      <c r="I97" s="103">
        <f>VLOOKUP($A97,'OI(Volume)'!$A$7:$O$427,9)</f>
        <v>54000</v>
      </c>
      <c r="J97" s="103">
        <f>VLOOKUP($A97,'OI(Volume)'!$A$7:$O$427,11)</f>
        <v>3267000</v>
      </c>
      <c r="K97" s="103">
        <f>VLOOKUP($A97,'OI(Volume)'!$A$7:$O$427,12)</f>
        <v>63000</v>
      </c>
      <c r="L97" s="103">
        <f>VLOOKUP($A97,'OI(Value)'!$A$7:$O$306,8,0)</f>
        <v>400</v>
      </c>
      <c r="M97" s="103">
        <f>VLOOKUP($A97,'OI(Value)'!$A$7:$O$306,9,0)</f>
        <v>5</v>
      </c>
      <c r="N97" s="103">
        <f>VLOOKUP($A97,'OI(Value)'!$A$7:$O$306,11,0)</f>
        <v>283</v>
      </c>
      <c r="O97" s="103">
        <f>VLOOKUP($A97,'OI(Value)'!$A$7:$O$306,12,0)</f>
        <v>5</v>
      </c>
      <c r="P97" s="179">
        <f>VLOOKUP(A97,'OI(Value)'!A97:O298,8,0)</f>
        <v>400</v>
      </c>
      <c r="Q97" s="179">
        <f>VLOOKUP(A97,'OI(Value)'!A97:O298,9,0)</f>
        <v>5</v>
      </c>
      <c r="R97" s="179">
        <f>VLOOKUP(A97,'OI(Value)'!A97:O298,11,0)</f>
        <v>283</v>
      </c>
      <c r="S97" s="179">
        <f>VLOOKUP(A97,'OI(Value)'!A97:O298,11,0)</f>
        <v>283</v>
      </c>
    </row>
    <row r="98" spans="1:19" x14ac:dyDescent="0.25">
      <c r="A98" s="105" t="str">
        <f>'Data shares'!C93</f>
        <v>INDIAVIX</v>
      </c>
      <c r="B98" s="143">
        <f>VLOOKUP($A98,'Data shares'!$C:$FA,118)</f>
        <v>0</v>
      </c>
      <c r="C98" s="143">
        <f>VLOOKUP($A98,'Data shares'!$C:$FA,119)</f>
        <v>0</v>
      </c>
      <c r="D98" s="143">
        <f>VLOOKUP($A98,'Data shares'!$C:$FA,121)*100</f>
        <v>0</v>
      </c>
      <c r="E98" s="143">
        <f>VLOOKUP($A98,'Data shares'!$C:$FA,124)</f>
        <v>0</v>
      </c>
      <c r="F98" s="143">
        <f>VLOOKUP($A98,'Data shares'!$C:$FA,125)</f>
        <v>0</v>
      </c>
      <c r="G98" s="143">
        <f>VLOOKUP($A98,'Data shares'!$C:$FA,127)*100</f>
        <v>0</v>
      </c>
      <c r="H98" s="103">
        <f>VLOOKUP($A98,'OI(Volume)'!$A$7:$O$427,8)</f>
        <v>0</v>
      </c>
      <c r="I98" s="103">
        <f>VLOOKUP($A98,'OI(Volume)'!$A$7:$O$427,9)</f>
        <v>0</v>
      </c>
      <c r="J98" s="103">
        <f>VLOOKUP($A98,'OI(Volume)'!$A$7:$O$427,11)</f>
        <v>0</v>
      </c>
      <c r="K98" s="103">
        <f>VLOOKUP($A98,'OI(Volume)'!$A$7:$O$427,12)</f>
        <v>0</v>
      </c>
      <c r="L98" s="103">
        <f>VLOOKUP($A98,'OI(Value)'!$A$7:$O$306,8,0)</f>
        <v>0</v>
      </c>
      <c r="M98" s="103">
        <f>VLOOKUP($A98,'OI(Value)'!$A$7:$O$306,9,0)</f>
        <v>0</v>
      </c>
      <c r="N98" s="103">
        <f>VLOOKUP($A98,'OI(Value)'!$A$7:$O$306,11,0)</f>
        <v>0</v>
      </c>
      <c r="O98" s="103">
        <f>VLOOKUP($A98,'OI(Value)'!$A$7:$O$306,12,0)</f>
        <v>0</v>
      </c>
      <c r="P98" s="179">
        <f>VLOOKUP(A98,'OI(Value)'!A98:O299,8,0)</f>
        <v>0</v>
      </c>
      <c r="Q98" s="179">
        <f>VLOOKUP(A98,'OI(Value)'!A98:O299,9,0)</f>
        <v>0</v>
      </c>
      <c r="R98" s="179">
        <f>VLOOKUP(A98,'OI(Value)'!A98:O299,11,0)</f>
        <v>0</v>
      </c>
      <c r="S98" s="179">
        <f>VLOOKUP(A98,'OI(Value)'!A98:O299,11,0)</f>
        <v>0</v>
      </c>
    </row>
    <row r="99" spans="1:19" x14ac:dyDescent="0.25">
      <c r="A99" s="105" t="str">
        <f>'Data shares'!C94</f>
        <v>INDIGO</v>
      </c>
      <c r="B99" s="143">
        <f>VLOOKUP($A99,'Data shares'!$C:$FA,118)</f>
        <v>0.68</v>
      </c>
      <c r="C99" s="143">
        <f>VLOOKUP($A99,'Data shares'!$C:$FA,119)</f>
        <v>0.76</v>
      </c>
      <c r="D99" s="143">
        <f>VLOOKUP($A99,'Data shares'!$C:$FA,121)*100</f>
        <v>-10.530000000000001</v>
      </c>
      <c r="E99" s="143">
        <f>VLOOKUP($A99,'Data shares'!$C:$FA,124)</f>
        <v>0.85</v>
      </c>
      <c r="F99" s="143">
        <f>VLOOKUP($A99,'Data shares'!$C:$FA,125)</f>
        <v>0.67</v>
      </c>
      <c r="G99" s="143">
        <f>VLOOKUP($A99,'Data shares'!$C:$FA,127)*100</f>
        <v>26.87</v>
      </c>
      <c r="H99" s="103">
        <f>VLOOKUP($A99,'OI(Volume)'!$A$7:$O$427,8)</f>
        <v>5078100</v>
      </c>
      <c r="I99" s="103">
        <f>VLOOKUP($A99,'OI(Volume)'!$A$7:$O$427,9)</f>
        <v>507000</v>
      </c>
      <c r="J99" s="103">
        <f>VLOOKUP($A99,'OI(Volume)'!$A$7:$O$427,11)</f>
        <v>3437400</v>
      </c>
      <c r="K99" s="103">
        <f>VLOOKUP($A99,'OI(Volume)'!$A$7:$O$427,12)</f>
        <v>-29400</v>
      </c>
      <c r="L99" s="103">
        <f>VLOOKUP($A99,'OI(Value)'!$A$7:$O$306,8,0)</f>
        <v>2527</v>
      </c>
      <c r="M99" s="103">
        <f>VLOOKUP($A99,'OI(Value)'!$A$7:$O$306,9,0)</f>
        <v>252</v>
      </c>
      <c r="N99" s="103">
        <f>VLOOKUP($A99,'OI(Value)'!$A$7:$O$306,11,0)</f>
        <v>1710</v>
      </c>
      <c r="O99" s="103">
        <f>VLOOKUP($A99,'OI(Value)'!$A$7:$O$306,12,0)</f>
        <v>-15</v>
      </c>
      <c r="P99" s="179">
        <f>VLOOKUP(A99,'OI(Value)'!A99:O300,8,0)</f>
        <v>2527</v>
      </c>
      <c r="Q99" s="179">
        <f>VLOOKUP(A99,'OI(Value)'!A99:O300,9,0)</f>
        <v>252</v>
      </c>
      <c r="R99" s="179">
        <f>VLOOKUP(A99,'OI(Value)'!A99:O300,11,0)</f>
        <v>1710</v>
      </c>
      <c r="S99" s="179">
        <f>VLOOKUP(A99,'OI(Value)'!A99:O300,11,0)</f>
        <v>1710</v>
      </c>
    </row>
    <row r="100" spans="1:19" x14ac:dyDescent="0.25">
      <c r="A100" s="105" t="str">
        <f>'Data shares'!C95</f>
        <v>INDUSINDBK</v>
      </c>
      <c r="B100" s="143">
        <f>VLOOKUP($A100,'Data shares'!$C:$FA,118)</f>
        <v>0.83</v>
      </c>
      <c r="C100" s="143">
        <f>VLOOKUP($A100,'Data shares'!$C:$FA,119)</f>
        <v>0.91</v>
      </c>
      <c r="D100" s="143">
        <f>VLOOKUP($A100,'Data shares'!$C:$FA,121)*100</f>
        <v>-8.7900000000000009</v>
      </c>
      <c r="E100" s="143">
        <f>VLOOKUP($A100,'Data shares'!$C:$FA,124)</f>
        <v>0.68</v>
      </c>
      <c r="F100" s="143">
        <f>VLOOKUP($A100,'Data shares'!$C:$FA,125)</f>
        <v>0.66</v>
      </c>
      <c r="G100" s="143">
        <f>VLOOKUP($A100,'Data shares'!$C:$FA,127)*100</f>
        <v>3.0300000000000002</v>
      </c>
      <c r="H100" s="103">
        <f>VLOOKUP($A100,'OI(Volume)'!$A$7:$O$427,8)</f>
        <v>12360600</v>
      </c>
      <c r="I100" s="103">
        <f>VLOOKUP($A100,'OI(Volume)'!$A$7:$O$427,9)</f>
        <v>563500</v>
      </c>
      <c r="J100" s="103">
        <f>VLOOKUP($A100,'OI(Volume)'!$A$7:$O$427,11)</f>
        <v>10198300</v>
      </c>
      <c r="K100" s="103">
        <f>VLOOKUP($A100,'OI(Volume)'!$A$7:$O$427,12)</f>
        <v>-505400</v>
      </c>
      <c r="L100" s="103">
        <f>VLOOKUP($A100,'OI(Value)'!$A$7:$O$306,8,0)</f>
        <v>1113</v>
      </c>
      <c r="M100" s="103">
        <f>VLOOKUP($A100,'OI(Value)'!$A$7:$O$306,9,0)</f>
        <v>51</v>
      </c>
      <c r="N100" s="103">
        <f>VLOOKUP($A100,'OI(Value)'!$A$7:$O$306,11,0)</f>
        <v>918</v>
      </c>
      <c r="O100" s="103">
        <f>VLOOKUP($A100,'OI(Value)'!$A$7:$O$306,12,0)</f>
        <v>-46</v>
      </c>
      <c r="P100" s="179">
        <f>VLOOKUP(A100,'OI(Value)'!A100:O301,8,0)</f>
        <v>1113</v>
      </c>
      <c r="Q100" s="179">
        <f>VLOOKUP(A100,'OI(Value)'!A100:O301,9,0)</f>
        <v>51</v>
      </c>
      <c r="R100" s="179">
        <f>VLOOKUP(A100,'OI(Value)'!A100:O301,11,0)</f>
        <v>918</v>
      </c>
      <c r="S100" s="179">
        <f>VLOOKUP(A100,'OI(Value)'!A100:O301,11,0)</f>
        <v>918</v>
      </c>
    </row>
    <row r="101" spans="1:19" x14ac:dyDescent="0.25">
      <c r="A101" s="105" t="str">
        <f>'Data shares'!C96</f>
        <v>INDUSTOWER</v>
      </c>
      <c r="B101" s="143">
        <f>VLOOKUP($A101,'Data shares'!$C:$FA,118)</f>
        <v>0.67</v>
      </c>
      <c r="C101" s="143">
        <f>VLOOKUP($A101,'Data shares'!$C:$FA,119)</f>
        <v>0.67</v>
      </c>
      <c r="D101" s="143">
        <f>VLOOKUP($A101,'Data shares'!$C:$FA,121)*100</f>
        <v>0</v>
      </c>
      <c r="E101" s="143">
        <f>VLOOKUP($A101,'Data shares'!$C:$FA,124)</f>
        <v>0.37</v>
      </c>
      <c r="F101" s="143">
        <f>VLOOKUP($A101,'Data shares'!$C:$FA,125)</f>
        <v>0.48</v>
      </c>
      <c r="G101" s="143">
        <f>VLOOKUP($A101,'Data shares'!$C:$FA,127)*100</f>
        <v>-22.919999999999998</v>
      </c>
      <c r="H101" s="103">
        <f>VLOOKUP($A101,'OI(Volume)'!$A$7:$O$427,8)</f>
        <v>25027400</v>
      </c>
      <c r="I101" s="103">
        <f>VLOOKUP($A101,'OI(Volume)'!$A$7:$O$427,9)</f>
        <v>154700</v>
      </c>
      <c r="J101" s="103">
        <f>VLOOKUP($A101,'OI(Volume)'!$A$7:$O$427,11)</f>
        <v>16881000</v>
      </c>
      <c r="K101" s="103">
        <f>VLOOKUP($A101,'OI(Volume)'!$A$7:$O$427,12)</f>
        <v>102000</v>
      </c>
      <c r="L101" s="103">
        <f>VLOOKUP($A101,'OI(Value)'!$A$7:$O$306,8,0)</f>
        <v>1077</v>
      </c>
      <c r="M101" s="103">
        <f>VLOOKUP($A101,'OI(Value)'!$A$7:$O$306,9,0)</f>
        <v>7</v>
      </c>
      <c r="N101" s="103">
        <f>VLOOKUP($A101,'OI(Value)'!$A$7:$O$306,11,0)</f>
        <v>726</v>
      </c>
      <c r="O101" s="103">
        <f>VLOOKUP($A101,'OI(Value)'!$A$7:$O$306,12,0)</f>
        <v>4</v>
      </c>
      <c r="P101" s="179">
        <f>VLOOKUP(A101,'OI(Value)'!A101:O302,8,0)</f>
        <v>1077</v>
      </c>
      <c r="Q101" s="179">
        <f>VLOOKUP(A101,'OI(Value)'!A101:O302,9,0)</f>
        <v>7</v>
      </c>
      <c r="R101" s="179">
        <f>VLOOKUP(A101,'OI(Value)'!A101:O302,11,0)</f>
        <v>726</v>
      </c>
      <c r="S101" s="179">
        <f>VLOOKUP(A101,'OI(Value)'!A101:O302,11,0)</f>
        <v>726</v>
      </c>
    </row>
    <row r="102" spans="1:19" x14ac:dyDescent="0.25">
      <c r="A102" s="105" t="str">
        <f>'Data shares'!C97</f>
        <v>INFY</v>
      </c>
      <c r="B102" s="143">
        <f>VLOOKUP($A102,'Data shares'!$C:$FA,118)</f>
        <v>0.51</v>
      </c>
      <c r="C102" s="143">
        <f>VLOOKUP($A102,'Data shares'!$C:$FA,119)</f>
        <v>0.6</v>
      </c>
      <c r="D102" s="143">
        <f>VLOOKUP($A102,'Data shares'!$C:$FA,121)*100</f>
        <v>-15</v>
      </c>
      <c r="E102" s="143">
        <f>VLOOKUP($A102,'Data shares'!$C:$FA,124)</f>
        <v>0.34</v>
      </c>
      <c r="F102" s="143">
        <f>VLOOKUP($A102,'Data shares'!$C:$FA,125)</f>
        <v>0.54</v>
      </c>
      <c r="G102" s="143">
        <f>VLOOKUP($A102,'Data shares'!$C:$FA,127)*100</f>
        <v>-37.04</v>
      </c>
      <c r="H102" s="103">
        <f>VLOOKUP($A102,'OI(Volume)'!$A$7:$O$427,8)</f>
        <v>23622400</v>
      </c>
      <c r="I102" s="103">
        <f>VLOOKUP($A102,'OI(Volume)'!$A$7:$O$427,9)</f>
        <v>5158800</v>
      </c>
      <c r="J102" s="103">
        <f>VLOOKUP($A102,'OI(Volume)'!$A$7:$O$427,11)</f>
        <v>12043600</v>
      </c>
      <c r="K102" s="103">
        <f>VLOOKUP($A102,'OI(Volume)'!$A$7:$O$427,12)</f>
        <v>954000</v>
      </c>
      <c r="L102" s="103">
        <f>VLOOKUP($A102,'OI(Value)'!$A$7:$O$306,8,0)</f>
        <v>3885</v>
      </c>
      <c r="M102" s="103">
        <f>VLOOKUP($A102,'OI(Value)'!$A$7:$O$306,9,0)</f>
        <v>848</v>
      </c>
      <c r="N102" s="103">
        <f>VLOOKUP($A102,'OI(Value)'!$A$7:$O$306,11,0)</f>
        <v>1981</v>
      </c>
      <c r="O102" s="103">
        <f>VLOOKUP($A102,'OI(Value)'!$A$7:$O$306,12,0)</f>
        <v>157</v>
      </c>
      <c r="P102" s="179">
        <f>VLOOKUP(A102,'OI(Value)'!A102:O303,8,0)</f>
        <v>3885</v>
      </c>
      <c r="Q102" s="179">
        <f>VLOOKUP(A102,'OI(Value)'!A102:O303,9,0)</f>
        <v>848</v>
      </c>
      <c r="R102" s="179">
        <f>VLOOKUP(A102,'OI(Value)'!A102:O303,11,0)</f>
        <v>1981</v>
      </c>
      <c r="S102" s="179">
        <f>VLOOKUP(A102,'OI(Value)'!A102:O303,11,0)</f>
        <v>1981</v>
      </c>
    </row>
    <row r="103" spans="1:19" x14ac:dyDescent="0.25">
      <c r="A103" s="105" t="str">
        <f>'Data shares'!C98</f>
        <v>INOXWIND</v>
      </c>
      <c r="B103" s="143">
        <f>VLOOKUP($A103,'Data shares'!$C:$FA,118)</f>
        <v>0.64</v>
      </c>
      <c r="C103" s="143">
        <f>VLOOKUP($A103,'Data shares'!$C:$FA,119)</f>
        <v>0.68</v>
      </c>
      <c r="D103" s="143">
        <f>VLOOKUP($A103,'Data shares'!$C:$FA,121)*100</f>
        <v>-5.88</v>
      </c>
      <c r="E103" s="143">
        <f>VLOOKUP($A103,'Data shares'!$C:$FA,124)</f>
        <v>0.5</v>
      </c>
      <c r="F103" s="143">
        <f>VLOOKUP($A103,'Data shares'!$C:$FA,125)</f>
        <v>0.45</v>
      </c>
      <c r="G103" s="143">
        <f>VLOOKUP($A103,'Data shares'!$C:$FA,127)*100</f>
        <v>11.110000000000001</v>
      </c>
      <c r="H103" s="103">
        <f>VLOOKUP($A103,'OI(Volume)'!$A$7:$O$427,8)</f>
        <v>27030575</v>
      </c>
      <c r="I103" s="103">
        <f>VLOOKUP($A103,'OI(Volume)'!$A$7:$O$427,9)</f>
        <v>2917200</v>
      </c>
      <c r="J103" s="103">
        <f>VLOOKUP($A103,'OI(Volume)'!$A$7:$O$427,11)</f>
        <v>17213625</v>
      </c>
      <c r="K103" s="103">
        <f>VLOOKUP($A103,'OI(Volume)'!$A$7:$O$427,12)</f>
        <v>782925</v>
      </c>
      <c r="L103" s="103">
        <f>VLOOKUP($A103,'OI(Value)'!$A$7:$O$306,8,0)</f>
        <v>333</v>
      </c>
      <c r="M103" s="103">
        <f>VLOOKUP($A103,'OI(Value)'!$A$7:$O$306,9,0)</f>
        <v>36</v>
      </c>
      <c r="N103" s="103">
        <f>VLOOKUP($A103,'OI(Value)'!$A$7:$O$306,11,0)</f>
        <v>212</v>
      </c>
      <c r="O103" s="103">
        <f>VLOOKUP($A103,'OI(Value)'!$A$7:$O$306,12,0)</f>
        <v>10</v>
      </c>
      <c r="P103" s="179">
        <f>VLOOKUP(A103,'OI(Value)'!A103:O304,8,0)</f>
        <v>333</v>
      </c>
      <c r="Q103" s="179">
        <f>VLOOKUP(A103,'OI(Value)'!A103:O304,9,0)</f>
        <v>36</v>
      </c>
      <c r="R103" s="179">
        <f>VLOOKUP(A103,'OI(Value)'!A103:O304,11,0)</f>
        <v>212</v>
      </c>
      <c r="S103" s="179">
        <f>VLOOKUP(A103,'OI(Value)'!A103:O304,11,0)</f>
        <v>212</v>
      </c>
    </row>
    <row r="104" spans="1:19" x14ac:dyDescent="0.25">
      <c r="A104" s="105" t="str">
        <f>'Data shares'!C99</f>
        <v>IOC</v>
      </c>
      <c r="B104" s="143">
        <f>VLOOKUP($A104,'Data shares'!$C:$FA,118)</f>
        <v>0.6</v>
      </c>
      <c r="C104" s="143">
        <f>VLOOKUP($A104,'Data shares'!$C:$FA,119)</f>
        <v>0.61</v>
      </c>
      <c r="D104" s="143">
        <f>VLOOKUP($A104,'Data shares'!$C:$FA,121)*100</f>
        <v>-1.6400000000000001</v>
      </c>
      <c r="E104" s="143">
        <f>VLOOKUP($A104,'Data shares'!$C:$FA,124)</f>
        <v>0.51</v>
      </c>
      <c r="F104" s="143">
        <f>VLOOKUP($A104,'Data shares'!$C:$FA,125)</f>
        <v>0.62</v>
      </c>
      <c r="G104" s="143">
        <f>VLOOKUP($A104,'Data shares'!$C:$FA,127)*100</f>
        <v>-17.740000000000002</v>
      </c>
      <c r="H104" s="103">
        <f>VLOOKUP($A104,'OI(Volume)'!$A$7:$O$427,8)</f>
        <v>51333750</v>
      </c>
      <c r="I104" s="103">
        <f>VLOOKUP($A104,'OI(Volume)'!$A$7:$O$427,9)</f>
        <v>3207750</v>
      </c>
      <c r="J104" s="103">
        <f>VLOOKUP($A104,'OI(Volume)'!$A$7:$O$427,11)</f>
        <v>30722250</v>
      </c>
      <c r="K104" s="103">
        <f>VLOOKUP($A104,'OI(Volume)'!$A$7:$O$427,12)</f>
        <v>1428375</v>
      </c>
      <c r="L104" s="103">
        <f>VLOOKUP($A104,'OI(Value)'!$A$7:$O$306,8,0)</f>
        <v>838</v>
      </c>
      <c r="M104" s="103">
        <f>VLOOKUP($A104,'OI(Value)'!$A$7:$O$306,9,0)</f>
        <v>52</v>
      </c>
      <c r="N104" s="103">
        <f>VLOOKUP($A104,'OI(Value)'!$A$7:$O$306,11,0)</f>
        <v>502</v>
      </c>
      <c r="O104" s="103">
        <f>VLOOKUP($A104,'OI(Value)'!$A$7:$O$306,12,0)</f>
        <v>23</v>
      </c>
      <c r="P104" s="179">
        <f>VLOOKUP(A104,'OI(Value)'!A104:O305,8,0)</f>
        <v>838</v>
      </c>
      <c r="Q104" s="179">
        <f>VLOOKUP(A104,'OI(Value)'!A104:O305,9,0)</f>
        <v>52</v>
      </c>
      <c r="R104" s="179">
        <f>VLOOKUP(A104,'OI(Value)'!A104:O305,11,0)</f>
        <v>502</v>
      </c>
      <c r="S104" s="179">
        <f>VLOOKUP(A104,'OI(Value)'!A104:O305,11,0)</f>
        <v>502</v>
      </c>
    </row>
    <row r="105" spans="1:19" x14ac:dyDescent="0.25">
      <c r="A105" s="105" t="str">
        <f>'Data shares'!C100</f>
        <v>IRCTC</v>
      </c>
      <c r="B105" s="143">
        <f>VLOOKUP($A105,'Data shares'!$C:$FA,118)</f>
        <v>0.44</v>
      </c>
      <c r="C105" s="143">
        <f>VLOOKUP($A105,'Data shares'!$C:$FA,119)</f>
        <v>0.47</v>
      </c>
      <c r="D105" s="143">
        <f>VLOOKUP($A105,'Data shares'!$C:$FA,121)*100</f>
        <v>-6.38</v>
      </c>
      <c r="E105" s="143">
        <f>VLOOKUP($A105,'Data shares'!$C:$FA,124)</f>
        <v>0.19</v>
      </c>
      <c r="F105" s="143">
        <f>VLOOKUP($A105,'Data shares'!$C:$FA,125)</f>
        <v>0.32</v>
      </c>
      <c r="G105" s="143">
        <f>VLOOKUP($A105,'Data shares'!$C:$FA,127)*100</f>
        <v>-40.630000000000003</v>
      </c>
      <c r="H105" s="103">
        <f>VLOOKUP($A105,'OI(Volume)'!$A$7:$O$427,8)</f>
        <v>22952125</v>
      </c>
      <c r="I105" s="103">
        <f>VLOOKUP($A105,'OI(Volume)'!$A$7:$O$427,9)</f>
        <v>2237375</v>
      </c>
      <c r="J105" s="103">
        <f>VLOOKUP($A105,'OI(Volume)'!$A$7:$O$427,11)</f>
        <v>10192875</v>
      </c>
      <c r="K105" s="103">
        <f>VLOOKUP($A105,'OI(Volume)'!$A$7:$O$427,12)</f>
        <v>448875</v>
      </c>
      <c r="L105" s="103">
        <f>VLOOKUP($A105,'OI(Value)'!$A$7:$O$306,8,0)</f>
        <v>1548</v>
      </c>
      <c r="M105" s="103">
        <f>VLOOKUP($A105,'OI(Value)'!$A$7:$O$306,9,0)</f>
        <v>151</v>
      </c>
      <c r="N105" s="103">
        <f>VLOOKUP($A105,'OI(Value)'!$A$7:$O$306,11,0)</f>
        <v>688</v>
      </c>
      <c r="O105" s="103">
        <f>VLOOKUP($A105,'OI(Value)'!$A$7:$O$306,12,0)</f>
        <v>30</v>
      </c>
      <c r="P105" s="179">
        <f>VLOOKUP(A105,'OI(Value)'!A105:O306,8,0)</f>
        <v>1548</v>
      </c>
      <c r="Q105" s="179">
        <f>VLOOKUP(A105,'OI(Value)'!A105:O306,9,0)</f>
        <v>151</v>
      </c>
      <c r="R105" s="179">
        <f>VLOOKUP(A105,'OI(Value)'!A105:O306,11,0)</f>
        <v>688</v>
      </c>
      <c r="S105" s="179">
        <f>VLOOKUP(A105,'OI(Value)'!A105:O306,11,0)</f>
        <v>688</v>
      </c>
    </row>
    <row r="106" spans="1:19" x14ac:dyDescent="0.25">
      <c r="A106" s="105" t="str">
        <f>'Data shares'!C101</f>
        <v>IREDA</v>
      </c>
      <c r="B106" s="143">
        <f>VLOOKUP($A106,'Data shares'!$C:$FA,118)</f>
        <v>0.56999999999999995</v>
      </c>
      <c r="C106" s="143">
        <f>VLOOKUP($A106,'Data shares'!$C:$FA,119)</f>
        <v>0.56999999999999995</v>
      </c>
      <c r="D106" s="143">
        <f>VLOOKUP($A106,'Data shares'!$C:$FA,121)*100</f>
        <v>0</v>
      </c>
      <c r="E106" s="143">
        <f>VLOOKUP($A106,'Data shares'!$C:$FA,124)</f>
        <v>0.22</v>
      </c>
      <c r="F106" s="143">
        <f>VLOOKUP($A106,'Data shares'!$C:$FA,125)</f>
        <v>0.34</v>
      </c>
      <c r="G106" s="143">
        <f>VLOOKUP($A106,'Data shares'!$C:$FA,127)*100</f>
        <v>-35.29</v>
      </c>
      <c r="H106" s="103">
        <f>VLOOKUP($A106,'OI(Volume)'!$A$7:$O$427,8)</f>
        <v>34879500</v>
      </c>
      <c r="I106" s="103">
        <f>VLOOKUP($A106,'OI(Volume)'!$A$7:$O$427,9)</f>
        <v>952200</v>
      </c>
      <c r="J106" s="103">
        <f>VLOOKUP($A106,'OI(Volume)'!$A$7:$O$427,11)</f>
        <v>19982400</v>
      </c>
      <c r="K106" s="103">
        <f>VLOOKUP($A106,'OI(Volume)'!$A$7:$O$427,12)</f>
        <v>600300</v>
      </c>
      <c r="L106" s="103">
        <f>VLOOKUP($A106,'OI(Value)'!$A$7:$O$306,8,0)</f>
        <v>509</v>
      </c>
      <c r="M106" s="103">
        <f>VLOOKUP($A106,'OI(Value)'!$A$7:$O$306,9,0)</f>
        <v>14</v>
      </c>
      <c r="N106" s="103">
        <f>VLOOKUP($A106,'OI(Value)'!$A$7:$O$306,11,0)</f>
        <v>292</v>
      </c>
      <c r="O106" s="103">
        <f>VLOOKUP($A106,'OI(Value)'!$A$7:$O$306,12,0)</f>
        <v>9</v>
      </c>
      <c r="P106" s="179">
        <f>VLOOKUP(A106,'OI(Value)'!A106:O307,8,0)</f>
        <v>509</v>
      </c>
      <c r="Q106" s="179">
        <f>VLOOKUP(A106,'OI(Value)'!A106:O307,9,0)</f>
        <v>14</v>
      </c>
      <c r="R106" s="179">
        <f>VLOOKUP(A106,'OI(Value)'!A106:O307,11,0)</f>
        <v>292</v>
      </c>
      <c r="S106" s="179">
        <f>VLOOKUP(A106,'OI(Value)'!A106:O307,11,0)</f>
        <v>292</v>
      </c>
    </row>
    <row r="107" spans="1:19" x14ac:dyDescent="0.25">
      <c r="A107" s="105" t="str">
        <f>'Data shares'!C102</f>
        <v>IRFC</v>
      </c>
      <c r="B107" s="143">
        <f>VLOOKUP($A107,'Data shares'!$C:$FA,118)</f>
        <v>0.46</v>
      </c>
      <c r="C107" s="143">
        <f>VLOOKUP($A107,'Data shares'!$C:$FA,119)</f>
        <v>0.45</v>
      </c>
      <c r="D107" s="143">
        <f>VLOOKUP($A107,'Data shares'!$C:$FA,121)*100</f>
        <v>2.2200000000000002</v>
      </c>
      <c r="E107" s="143">
        <f>VLOOKUP($A107,'Data shares'!$C:$FA,124)</f>
        <v>0.33</v>
      </c>
      <c r="F107" s="143">
        <f>VLOOKUP($A107,'Data shares'!$C:$FA,125)</f>
        <v>0.28000000000000003</v>
      </c>
      <c r="G107" s="143">
        <f>VLOOKUP($A107,'Data shares'!$C:$FA,127)*100</f>
        <v>17.86</v>
      </c>
      <c r="H107" s="103">
        <f>VLOOKUP($A107,'OI(Volume)'!$A$7:$O$427,8)</f>
        <v>79258250</v>
      </c>
      <c r="I107" s="103">
        <f>VLOOKUP($A107,'OI(Volume)'!$A$7:$O$427,9)</f>
        <v>85000</v>
      </c>
      <c r="J107" s="103">
        <f>VLOOKUP($A107,'OI(Volume)'!$A$7:$O$427,11)</f>
        <v>36571250</v>
      </c>
      <c r="K107" s="103">
        <f>VLOOKUP($A107,'OI(Volume)'!$A$7:$O$427,12)</f>
        <v>1109250</v>
      </c>
      <c r="L107" s="103">
        <f>VLOOKUP($A107,'OI(Value)'!$A$7:$O$306,8,0)</f>
        <v>1020</v>
      </c>
      <c r="M107" s="103">
        <f>VLOOKUP($A107,'OI(Value)'!$A$7:$O$306,9,0)</f>
        <v>1</v>
      </c>
      <c r="N107" s="103">
        <f>VLOOKUP($A107,'OI(Value)'!$A$7:$O$306,11,0)</f>
        <v>470</v>
      </c>
      <c r="O107" s="103">
        <f>VLOOKUP($A107,'OI(Value)'!$A$7:$O$306,12,0)</f>
        <v>14</v>
      </c>
      <c r="P107" s="179">
        <f>VLOOKUP(A107,'OI(Value)'!A107:O308,8,0)</f>
        <v>1020</v>
      </c>
      <c r="Q107" s="179">
        <f>VLOOKUP(A107,'OI(Value)'!A107:O308,9,0)</f>
        <v>1</v>
      </c>
      <c r="R107" s="179">
        <f>VLOOKUP(A107,'OI(Value)'!A107:O308,11,0)</f>
        <v>470</v>
      </c>
      <c r="S107" s="179">
        <f>VLOOKUP(A107,'OI(Value)'!A107:O308,11,0)</f>
        <v>470</v>
      </c>
    </row>
    <row r="108" spans="1:19" x14ac:dyDescent="0.25">
      <c r="A108" s="105" t="str">
        <f>'Data shares'!C103</f>
        <v>ITC</v>
      </c>
      <c r="B108" s="143">
        <f>VLOOKUP($A108,'Data shares'!$C:$FA,118)</f>
        <v>0.37</v>
      </c>
      <c r="C108" s="143">
        <f>VLOOKUP($A108,'Data shares'!$C:$FA,119)</f>
        <v>0.37</v>
      </c>
      <c r="D108" s="143">
        <f>VLOOKUP($A108,'Data shares'!$C:$FA,121)*100</f>
        <v>0</v>
      </c>
      <c r="E108" s="143">
        <f>VLOOKUP($A108,'Data shares'!$C:$FA,124)</f>
        <v>0.39</v>
      </c>
      <c r="F108" s="143">
        <f>VLOOKUP($A108,'Data shares'!$C:$FA,125)</f>
        <v>0.41</v>
      </c>
      <c r="G108" s="143">
        <f>VLOOKUP($A108,'Data shares'!$C:$FA,127)*100</f>
        <v>-4.88</v>
      </c>
      <c r="H108" s="103">
        <f>VLOOKUP($A108,'OI(Volume)'!$A$7:$O$427,8)</f>
        <v>366438400</v>
      </c>
      <c r="I108" s="103">
        <f>VLOOKUP($A108,'OI(Volume)'!$A$7:$O$427,9)</f>
        <v>13716800</v>
      </c>
      <c r="J108" s="103">
        <f>VLOOKUP($A108,'OI(Volume)'!$A$7:$O$427,11)</f>
        <v>136670400</v>
      </c>
      <c r="K108" s="103">
        <f>VLOOKUP($A108,'OI(Volume)'!$A$7:$O$427,12)</f>
        <v>4451200</v>
      </c>
      <c r="L108" s="103">
        <f>VLOOKUP($A108,'OI(Value)'!$A$7:$O$306,8,0)</f>
        <v>12565</v>
      </c>
      <c r="M108" s="103">
        <f>VLOOKUP($A108,'OI(Value)'!$A$7:$O$306,9,0)</f>
        <v>470</v>
      </c>
      <c r="N108" s="103">
        <f>VLOOKUP($A108,'OI(Value)'!$A$7:$O$306,11,0)</f>
        <v>4686</v>
      </c>
      <c r="O108" s="103">
        <f>VLOOKUP($A108,'OI(Value)'!$A$7:$O$306,12,0)</f>
        <v>153</v>
      </c>
      <c r="P108" s="179">
        <f>VLOOKUP(A108,'OI(Value)'!A108:O309,8,0)</f>
        <v>12565</v>
      </c>
      <c r="Q108" s="179">
        <f>VLOOKUP(A108,'OI(Value)'!A108:O309,9,0)</f>
        <v>470</v>
      </c>
      <c r="R108" s="179">
        <f>VLOOKUP(A108,'OI(Value)'!A108:O309,11,0)</f>
        <v>4686</v>
      </c>
      <c r="S108" s="179">
        <f>VLOOKUP(A108,'OI(Value)'!A108:O309,11,0)</f>
        <v>4686</v>
      </c>
    </row>
    <row r="109" spans="1:19" x14ac:dyDescent="0.25">
      <c r="A109" s="105" t="str">
        <f>'Data shares'!C104</f>
        <v>JINDALSTEL</v>
      </c>
      <c r="B109" s="143">
        <f>VLOOKUP($A109,'Data shares'!$C:$FA,118)</f>
        <v>1.02</v>
      </c>
      <c r="C109" s="143">
        <f>VLOOKUP($A109,'Data shares'!$C:$FA,119)</f>
        <v>0.94</v>
      </c>
      <c r="D109" s="143">
        <f>VLOOKUP($A109,'Data shares'!$C:$FA,121)*100</f>
        <v>8.51</v>
      </c>
      <c r="E109" s="143">
        <f>VLOOKUP($A109,'Data shares'!$C:$FA,124)</f>
        <v>1.1200000000000001</v>
      </c>
      <c r="F109" s="143">
        <f>VLOOKUP($A109,'Data shares'!$C:$FA,125)</f>
        <v>0.52</v>
      </c>
      <c r="G109" s="143">
        <f>VLOOKUP($A109,'Data shares'!$C:$FA,127)*100</f>
        <v>115.38</v>
      </c>
      <c r="H109" s="103">
        <f>VLOOKUP($A109,'OI(Volume)'!$A$7:$O$427,8)</f>
        <v>4240625</v>
      </c>
      <c r="I109" s="103">
        <f>VLOOKUP($A109,'OI(Volume)'!$A$7:$O$427,9)</f>
        <v>180625</v>
      </c>
      <c r="J109" s="103">
        <f>VLOOKUP($A109,'OI(Volume)'!$A$7:$O$427,11)</f>
        <v>4328750</v>
      </c>
      <c r="K109" s="103">
        <f>VLOOKUP($A109,'OI(Volume)'!$A$7:$O$427,12)</f>
        <v>511250</v>
      </c>
      <c r="L109" s="103">
        <f>VLOOKUP($A109,'OI(Value)'!$A$7:$O$306,8,0)</f>
        <v>457</v>
      </c>
      <c r="M109" s="103">
        <f>VLOOKUP($A109,'OI(Value)'!$A$7:$O$306,9,0)</f>
        <v>19</v>
      </c>
      <c r="N109" s="103">
        <f>VLOOKUP($A109,'OI(Value)'!$A$7:$O$306,11,0)</f>
        <v>466</v>
      </c>
      <c r="O109" s="103">
        <f>VLOOKUP($A109,'OI(Value)'!$A$7:$O$306,12,0)</f>
        <v>55</v>
      </c>
      <c r="P109" s="179">
        <f>VLOOKUP(A109,'OI(Value)'!A109:O310,8,0)</f>
        <v>457</v>
      </c>
      <c r="Q109" s="179">
        <f>VLOOKUP(A109,'OI(Value)'!A109:O310,9,0)</f>
        <v>19</v>
      </c>
      <c r="R109" s="179">
        <f>VLOOKUP(A109,'OI(Value)'!A109:O310,11,0)</f>
        <v>466</v>
      </c>
      <c r="S109" s="179">
        <f>VLOOKUP(A109,'OI(Value)'!A109:O310,11,0)</f>
        <v>466</v>
      </c>
    </row>
    <row r="110" spans="1:19" x14ac:dyDescent="0.25">
      <c r="A110" s="105" t="str">
        <f>'Data shares'!C105</f>
        <v>JIOFIN</v>
      </c>
      <c r="B110" s="143">
        <f>VLOOKUP($A110,'Data shares'!$C:$FA,118)</f>
        <v>0.77</v>
      </c>
      <c r="C110" s="143">
        <f>VLOOKUP($A110,'Data shares'!$C:$FA,119)</f>
        <v>0.76</v>
      </c>
      <c r="D110" s="143">
        <f>VLOOKUP($A110,'Data shares'!$C:$FA,121)*100</f>
        <v>1.32</v>
      </c>
      <c r="E110" s="143">
        <f>VLOOKUP($A110,'Data shares'!$C:$FA,124)</f>
        <v>0.31</v>
      </c>
      <c r="F110" s="143">
        <f>VLOOKUP($A110,'Data shares'!$C:$FA,125)</f>
        <v>0.46</v>
      </c>
      <c r="G110" s="143">
        <f>VLOOKUP($A110,'Data shares'!$C:$FA,127)*100</f>
        <v>-32.61</v>
      </c>
      <c r="H110" s="103">
        <f>VLOOKUP($A110,'OI(Volume)'!$A$7:$O$427,8)</f>
        <v>54313200</v>
      </c>
      <c r="I110" s="103">
        <f>VLOOKUP($A110,'OI(Volume)'!$A$7:$O$427,9)</f>
        <v>1283100</v>
      </c>
      <c r="J110" s="103">
        <f>VLOOKUP($A110,'OI(Volume)'!$A$7:$O$427,11)</f>
        <v>42032100</v>
      </c>
      <c r="K110" s="103">
        <f>VLOOKUP($A110,'OI(Volume)'!$A$7:$O$427,12)</f>
        <v>1804800</v>
      </c>
      <c r="L110" s="103">
        <f>VLOOKUP($A110,'OI(Value)'!$A$7:$O$306,8,0)</f>
        <v>1657</v>
      </c>
      <c r="M110" s="103">
        <f>VLOOKUP($A110,'OI(Value)'!$A$7:$O$306,9,0)</f>
        <v>39</v>
      </c>
      <c r="N110" s="103">
        <f>VLOOKUP($A110,'OI(Value)'!$A$7:$O$306,11,0)</f>
        <v>1282</v>
      </c>
      <c r="O110" s="103">
        <f>VLOOKUP($A110,'OI(Value)'!$A$7:$O$306,12,0)</f>
        <v>55</v>
      </c>
      <c r="P110" s="179">
        <f>VLOOKUP(A110,'OI(Value)'!A110:O311,8,0)</f>
        <v>1657</v>
      </c>
      <c r="Q110" s="179">
        <f>VLOOKUP(A110,'OI(Value)'!A110:O311,9,0)</f>
        <v>39</v>
      </c>
      <c r="R110" s="179">
        <f>VLOOKUP(A110,'OI(Value)'!A110:O311,11,0)</f>
        <v>1282</v>
      </c>
      <c r="S110" s="179">
        <f>VLOOKUP(A110,'OI(Value)'!A110:O311,11,0)</f>
        <v>1282</v>
      </c>
    </row>
    <row r="111" spans="1:19" x14ac:dyDescent="0.25">
      <c r="A111" s="105" t="str">
        <f>'Data shares'!C106</f>
        <v>JSWENERGY</v>
      </c>
      <c r="B111" s="143">
        <f>VLOOKUP($A111,'Data shares'!$C:$FA,118)</f>
        <v>1.03</v>
      </c>
      <c r="C111" s="143">
        <f>VLOOKUP($A111,'Data shares'!$C:$FA,119)</f>
        <v>1.06</v>
      </c>
      <c r="D111" s="143">
        <f>VLOOKUP($A111,'Data shares'!$C:$FA,121)*100</f>
        <v>-2.83</v>
      </c>
      <c r="E111" s="143">
        <f>VLOOKUP($A111,'Data shares'!$C:$FA,124)</f>
        <v>0.74</v>
      </c>
      <c r="F111" s="143">
        <f>VLOOKUP($A111,'Data shares'!$C:$FA,125)</f>
        <v>0.61</v>
      </c>
      <c r="G111" s="143">
        <f>VLOOKUP($A111,'Data shares'!$C:$FA,127)*100</f>
        <v>21.310000000000002</v>
      </c>
      <c r="H111" s="103">
        <f>VLOOKUP($A111,'OI(Volume)'!$A$7:$O$427,8)</f>
        <v>6900000</v>
      </c>
      <c r="I111" s="103">
        <f>VLOOKUP($A111,'OI(Volume)'!$A$7:$O$427,9)</f>
        <v>348000</v>
      </c>
      <c r="J111" s="103">
        <f>VLOOKUP($A111,'OI(Volume)'!$A$7:$O$427,11)</f>
        <v>7126000</v>
      </c>
      <c r="K111" s="103">
        <f>VLOOKUP($A111,'OI(Volume)'!$A$7:$O$427,12)</f>
        <v>172000</v>
      </c>
      <c r="L111" s="103">
        <f>VLOOKUP($A111,'OI(Value)'!$A$7:$O$306,8,0)</f>
        <v>354</v>
      </c>
      <c r="M111" s="103">
        <f>VLOOKUP($A111,'OI(Value)'!$A$7:$O$306,9,0)</f>
        <v>18</v>
      </c>
      <c r="N111" s="103">
        <f>VLOOKUP($A111,'OI(Value)'!$A$7:$O$306,11,0)</f>
        <v>366</v>
      </c>
      <c r="O111" s="103">
        <f>VLOOKUP($A111,'OI(Value)'!$A$7:$O$306,12,0)</f>
        <v>9</v>
      </c>
      <c r="P111" s="179">
        <f>VLOOKUP(A111,'OI(Value)'!A111:O312,8,0)</f>
        <v>354</v>
      </c>
      <c r="Q111" s="179">
        <f>VLOOKUP(A111,'OI(Value)'!A111:O312,9,0)</f>
        <v>18</v>
      </c>
      <c r="R111" s="179">
        <f>VLOOKUP(A111,'OI(Value)'!A111:O312,11,0)</f>
        <v>366</v>
      </c>
      <c r="S111" s="179">
        <f>VLOOKUP(A111,'OI(Value)'!A111:O312,11,0)</f>
        <v>366</v>
      </c>
    </row>
    <row r="112" spans="1:19" x14ac:dyDescent="0.25">
      <c r="A112" s="105" t="str">
        <f>'Data shares'!C107</f>
        <v>JSWSTEEL</v>
      </c>
      <c r="B112" s="143">
        <f>VLOOKUP($A112,'Data shares'!$C:$FA,118)</f>
        <v>0.97</v>
      </c>
      <c r="C112" s="143">
        <f>VLOOKUP($A112,'Data shares'!$C:$FA,119)</f>
        <v>0.93</v>
      </c>
      <c r="D112" s="143">
        <f>VLOOKUP($A112,'Data shares'!$C:$FA,121)*100</f>
        <v>4.3</v>
      </c>
      <c r="E112" s="143">
        <f>VLOOKUP($A112,'Data shares'!$C:$FA,124)</f>
        <v>0.81</v>
      </c>
      <c r="F112" s="143">
        <f>VLOOKUP($A112,'Data shares'!$C:$FA,125)</f>
        <v>1.04</v>
      </c>
      <c r="G112" s="143">
        <f>VLOOKUP($A112,'Data shares'!$C:$FA,127)*100</f>
        <v>-22.12</v>
      </c>
      <c r="H112" s="103">
        <f>VLOOKUP($A112,'OI(Volume)'!$A$7:$O$427,8)</f>
        <v>9001800</v>
      </c>
      <c r="I112" s="103">
        <f>VLOOKUP($A112,'OI(Volume)'!$A$7:$O$427,9)</f>
        <v>62775</v>
      </c>
      <c r="J112" s="103">
        <f>VLOOKUP($A112,'OI(Volume)'!$A$7:$O$427,11)</f>
        <v>8723700</v>
      </c>
      <c r="K112" s="103">
        <f>VLOOKUP($A112,'OI(Volume)'!$A$7:$O$427,12)</f>
        <v>415125</v>
      </c>
      <c r="L112" s="103">
        <f>VLOOKUP($A112,'OI(Value)'!$A$7:$O$306,8,0)</f>
        <v>1073</v>
      </c>
      <c r="M112" s="103">
        <f>VLOOKUP($A112,'OI(Value)'!$A$7:$O$306,9,0)</f>
        <v>7</v>
      </c>
      <c r="N112" s="103">
        <f>VLOOKUP($A112,'OI(Value)'!$A$7:$O$306,11,0)</f>
        <v>1040</v>
      </c>
      <c r="O112" s="103">
        <f>VLOOKUP($A112,'OI(Value)'!$A$7:$O$306,12,0)</f>
        <v>49</v>
      </c>
      <c r="P112" s="179">
        <f>VLOOKUP(A112,'OI(Value)'!A112:O313,8,0)</f>
        <v>1073</v>
      </c>
      <c r="Q112" s="179">
        <f>VLOOKUP(A112,'OI(Value)'!A112:O313,9,0)</f>
        <v>7</v>
      </c>
      <c r="R112" s="179">
        <f>VLOOKUP(A112,'OI(Value)'!A112:O313,11,0)</f>
        <v>1040</v>
      </c>
      <c r="S112" s="179">
        <f>VLOOKUP(A112,'OI(Value)'!A112:O313,11,0)</f>
        <v>1040</v>
      </c>
    </row>
    <row r="113" spans="1:19" x14ac:dyDescent="0.25">
      <c r="A113" s="105" t="str">
        <f>'Data shares'!C108</f>
        <v>JUBLFOOD</v>
      </c>
      <c r="B113" s="143">
        <f>VLOOKUP($A113,'Data shares'!$C:$FA,118)</f>
        <v>0.63</v>
      </c>
      <c r="C113" s="143">
        <f>VLOOKUP($A113,'Data shares'!$C:$FA,119)</f>
        <v>0.65</v>
      </c>
      <c r="D113" s="143">
        <f>VLOOKUP($A113,'Data shares'!$C:$FA,121)*100</f>
        <v>-3.08</v>
      </c>
      <c r="E113" s="143">
        <f>VLOOKUP($A113,'Data shares'!$C:$FA,124)</f>
        <v>0.52</v>
      </c>
      <c r="F113" s="143">
        <f>VLOOKUP($A113,'Data shares'!$C:$FA,125)</f>
        <v>0.48</v>
      </c>
      <c r="G113" s="143">
        <f>VLOOKUP($A113,'Data shares'!$C:$FA,127)*100</f>
        <v>8.33</v>
      </c>
      <c r="H113" s="103">
        <f>VLOOKUP($A113,'OI(Volume)'!$A$7:$O$427,8)</f>
        <v>12471250</v>
      </c>
      <c r="I113" s="103">
        <f>VLOOKUP($A113,'OI(Volume)'!$A$7:$O$427,9)</f>
        <v>1136250</v>
      </c>
      <c r="J113" s="103">
        <f>VLOOKUP($A113,'OI(Volume)'!$A$7:$O$427,11)</f>
        <v>7865000</v>
      </c>
      <c r="K113" s="103">
        <f>VLOOKUP($A113,'OI(Volume)'!$A$7:$O$427,12)</f>
        <v>490000</v>
      </c>
      <c r="L113" s="103">
        <f>VLOOKUP($A113,'OI(Value)'!$A$7:$O$306,8,0)</f>
        <v>673</v>
      </c>
      <c r="M113" s="103">
        <f>VLOOKUP($A113,'OI(Value)'!$A$7:$O$306,9,0)</f>
        <v>61</v>
      </c>
      <c r="N113" s="103">
        <f>VLOOKUP($A113,'OI(Value)'!$A$7:$O$306,11,0)</f>
        <v>424</v>
      </c>
      <c r="O113" s="103">
        <f>VLOOKUP($A113,'OI(Value)'!$A$7:$O$306,12,0)</f>
        <v>26</v>
      </c>
      <c r="P113" s="179">
        <f>VLOOKUP(A113,'OI(Value)'!A113:O314,8,0)</f>
        <v>673</v>
      </c>
      <c r="Q113" s="179">
        <f>VLOOKUP(A113,'OI(Value)'!A113:O314,9,0)</f>
        <v>61</v>
      </c>
      <c r="R113" s="179">
        <f>VLOOKUP(A113,'OI(Value)'!A113:O314,11,0)</f>
        <v>424</v>
      </c>
      <c r="S113" s="179">
        <f>VLOOKUP(A113,'OI(Value)'!A113:O314,11,0)</f>
        <v>424</v>
      </c>
    </row>
    <row r="114" spans="1:19" x14ac:dyDescent="0.25">
      <c r="A114" s="105" t="str">
        <f>'Data shares'!C109</f>
        <v>KALYANKJIL</v>
      </c>
      <c r="B114" s="143">
        <f>VLOOKUP($A114,'Data shares'!$C:$FA,118)</f>
        <v>0.56000000000000005</v>
      </c>
      <c r="C114" s="143">
        <f>VLOOKUP($A114,'Data shares'!$C:$FA,119)</f>
        <v>0.69</v>
      </c>
      <c r="D114" s="143">
        <f>VLOOKUP($A114,'Data shares'!$C:$FA,121)*100</f>
        <v>-18.84</v>
      </c>
      <c r="E114" s="143">
        <f>VLOOKUP($A114,'Data shares'!$C:$FA,124)</f>
        <v>0.28999999999999998</v>
      </c>
      <c r="F114" s="143">
        <f>VLOOKUP($A114,'Data shares'!$C:$FA,125)</f>
        <v>0.4</v>
      </c>
      <c r="G114" s="143">
        <f>VLOOKUP($A114,'Data shares'!$C:$FA,127)*100</f>
        <v>-27.500000000000004</v>
      </c>
      <c r="H114" s="103">
        <f>VLOOKUP($A114,'OI(Volume)'!$A$7:$O$427,8)</f>
        <v>10288300</v>
      </c>
      <c r="I114" s="103">
        <f>VLOOKUP($A114,'OI(Volume)'!$A$7:$O$427,9)</f>
        <v>5064250</v>
      </c>
      <c r="J114" s="103">
        <f>VLOOKUP($A114,'OI(Volume)'!$A$7:$O$427,11)</f>
        <v>5775125</v>
      </c>
      <c r="K114" s="103">
        <f>VLOOKUP($A114,'OI(Volume)'!$A$7:$O$427,12)</f>
        <v>2149075</v>
      </c>
      <c r="L114" s="103">
        <f>VLOOKUP($A114,'OI(Value)'!$A$7:$O$306,8,0)</f>
        <v>538</v>
      </c>
      <c r="M114" s="103">
        <f>VLOOKUP($A114,'OI(Value)'!$A$7:$O$306,9,0)</f>
        <v>265</v>
      </c>
      <c r="N114" s="103">
        <f>VLOOKUP($A114,'OI(Value)'!$A$7:$O$306,11,0)</f>
        <v>302</v>
      </c>
      <c r="O114" s="103">
        <f>VLOOKUP($A114,'OI(Value)'!$A$7:$O$306,12,0)</f>
        <v>112</v>
      </c>
      <c r="P114" s="179">
        <f>VLOOKUP(A114,'OI(Value)'!A114:O315,8,0)</f>
        <v>538</v>
      </c>
      <c r="Q114" s="179">
        <f>VLOOKUP(A114,'OI(Value)'!A114:O315,9,0)</f>
        <v>265</v>
      </c>
      <c r="R114" s="179">
        <f>VLOOKUP(A114,'OI(Value)'!A114:O315,11,0)</f>
        <v>302</v>
      </c>
      <c r="S114" s="179">
        <f>VLOOKUP(A114,'OI(Value)'!A114:O315,11,0)</f>
        <v>302</v>
      </c>
    </row>
    <row r="115" spans="1:19" x14ac:dyDescent="0.25">
      <c r="A115" s="105" t="str">
        <f>'Data shares'!C110</f>
        <v>KAYNES</v>
      </c>
      <c r="B115" s="143">
        <f>VLOOKUP($A115,'Data shares'!$C:$FA,118)</f>
        <v>0.52</v>
      </c>
      <c r="C115" s="143">
        <f>VLOOKUP($A115,'Data shares'!$C:$FA,119)</f>
        <v>0.5</v>
      </c>
      <c r="D115" s="143">
        <f>VLOOKUP($A115,'Data shares'!$C:$FA,121)*100</f>
        <v>4</v>
      </c>
      <c r="E115" s="143">
        <f>VLOOKUP($A115,'Data shares'!$C:$FA,124)</f>
        <v>0.66</v>
      </c>
      <c r="F115" s="143">
        <f>VLOOKUP($A115,'Data shares'!$C:$FA,125)</f>
        <v>0.78</v>
      </c>
      <c r="G115" s="143">
        <f>VLOOKUP($A115,'Data shares'!$C:$FA,127)*100</f>
        <v>-15.379999999999999</v>
      </c>
      <c r="H115" s="103">
        <f>VLOOKUP($A115,'OI(Volume)'!$A$7:$O$427,8)</f>
        <v>3611900</v>
      </c>
      <c r="I115" s="103">
        <f>VLOOKUP($A115,'OI(Volume)'!$A$7:$O$427,9)</f>
        <v>240600</v>
      </c>
      <c r="J115" s="103">
        <f>VLOOKUP($A115,'OI(Volume)'!$A$7:$O$427,11)</f>
        <v>1861700</v>
      </c>
      <c r="K115" s="103">
        <f>VLOOKUP($A115,'OI(Volume)'!$A$7:$O$427,12)</f>
        <v>173100</v>
      </c>
      <c r="L115" s="103">
        <f>VLOOKUP($A115,'OI(Value)'!$A$7:$O$306,8,0)</f>
        <v>1391</v>
      </c>
      <c r="M115" s="103">
        <f>VLOOKUP($A115,'OI(Value)'!$A$7:$O$306,9,0)</f>
        <v>93</v>
      </c>
      <c r="N115" s="103">
        <f>VLOOKUP($A115,'OI(Value)'!$A$7:$O$306,11,0)</f>
        <v>717</v>
      </c>
      <c r="O115" s="103">
        <f>VLOOKUP($A115,'OI(Value)'!$A$7:$O$306,12,0)</f>
        <v>67</v>
      </c>
      <c r="P115" s="179">
        <f>VLOOKUP(A115,'OI(Value)'!A115:O316,8,0)</f>
        <v>1391</v>
      </c>
      <c r="Q115" s="179">
        <f>VLOOKUP(A115,'OI(Value)'!A115:O316,9,0)</f>
        <v>93</v>
      </c>
      <c r="R115" s="179">
        <f>VLOOKUP(A115,'OI(Value)'!A115:O316,11,0)</f>
        <v>717</v>
      </c>
      <c r="S115" s="179">
        <f>VLOOKUP(A115,'OI(Value)'!A115:O316,11,0)</f>
        <v>717</v>
      </c>
    </row>
    <row r="116" spans="1:19" x14ac:dyDescent="0.25">
      <c r="A116" s="105" t="str">
        <f>'Data shares'!C111</f>
        <v>KEI</v>
      </c>
      <c r="B116" s="143">
        <f>VLOOKUP($A116,'Data shares'!$C:$FA,118)</f>
        <v>0.68</v>
      </c>
      <c r="C116" s="143">
        <f>VLOOKUP($A116,'Data shares'!$C:$FA,119)</f>
        <v>0.73</v>
      </c>
      <c r="D116" s="143">
        <f>VLOOKUP($A116,'Data shares'!$C:$FA,121)*100</f>
        <v>-6.8500000000000005</v>
      </c>
      <c r="E116" s="143">
        <f>VLOOKUP($A116,'Data shares'!$C:$FA,124)</f>
        <v>0.27</v>
      </c>
      <c r="F116" s="143">
        <f>VLOOKUP($A116,'Data shares'!$C:$FA,125)</f>
        <v>0.36</v>
      </c>
      <c r="G116" s="143">
        <f>VLOOKUP($A116,'Data shares'!$C:$FA,127)*100</f>
        <v>-25</v>
      </c>
      <c r="H116" s="103">
        <f>VLOOKUP($A116,'OI(Volume)'!$A$7:$O$427,8)</f>
        <v>456750</v>
      </c>
      <c r="I116" s="103">
        <f>VLOOKUP($A116,'OI(Volume)'!$A$7:$O$427,9)</f>
        <v>56175</v>
      </c>
      <c r="J116" s="103">
        <f>VLOOKUP($A116,'OI(Volume)'!$A$7:$O$427,11)</f>
        <v>310800</v>
      </c>
      <c r="K116" s="103">
        <f>VLOOKUP($A116,'OI(Volume)'!$A$7:$O$427,12)</f>
        <v>16450</v>
      </c>
      <c r="L116" s="103">
        <f>VLOOKUP($A116,'OI(Value)'!$A$7:$O$306,8,0)</f>
        <v>208</v>
      </c>
      <c r="M116" s="103">
        <f>VLOOKUP($A116,'OI(Value)'!$A$7:$O$306,9,0)</f>
        <v>26</v>
      </c>
      <c r="N116" s="103">
        <f>VLOOKUP($A116,'OI(Value)'!$A$7:$O$306,11,0)</f>
        <v>142</v>
      </c>
      <c r="O116" s="103">
        <f>VLOOKUP($A116,'OI(Value)'!$A$7:$O$306,12,0)</f>
        <v>8</v>
      </c>
      <c r="P116" s="179">
        <f>VLOOKUP(A116,'OI(Value)'!A116:O317,8,0)</f>
        <v>208</v>
      </c>
      <c r="Q116" s="179">
        <f>VLOOKUP(A116,'OI(Value)'!A116:O317,9,0)</f>
        <v>26</v>
      </c>
      <c r="R116" s="179">
        <f>VLOOKUP(A116,'OI(Value)'!A116:O317,11,0)</f>
        <v>142</v>
      </c>
      <c r="S116" s="179">
        <f>VLOOKUP(A116,'OI(Value)'!A116:O317,11,0)</f>
        <v>142</v>
      </c>
    </row>
    <row r="117" spans="1:19" x14ac:dyDescent="0.25">
      <c r="A117" s="105" t="str">
        <f>'Data shares'!C112</f>
        <v>KFINTECH</v>
      </c>
      <c r="B117" s="143">
        <f>VLOOKUP($A117,'Data shares'!$C:$FA,118)</f>
        <v>0.68</v>
      </c>
      <c r="C117" s="143">
        <f>VLOOKUP($A117,'Data shares'!$C:$FA,119)</f>
        <v>0.73</v>
      </c>
      <c r="D117" s="143">
        <f>VLOOKUP($A117,'Data shares'!$C:$FA,121)*100</f>
        <v>-6.8500000000000005</v>
      </c>
      <c r="E117" s="143">
        <f>VLOOKUP($A117,'Data shares'!$C:$FA,124)</f>
        <v>0.25</v>
      </c>
      <c r="F117" s="143">
        <f>VLOOKUP($A117,'Data shares'!$C:$FA,125)</f>
        <v>0.48</v>
      </c>
      <c r="G117" s="143">
        <f>VLOOKUP($A117,'Data shares'!$C:$FA,127)*100</f>
        <v>-47.92</v>
      </c>
      <c r="H117" s="103">
        <f>VLOOKUP($A117,'OI(Volume)'!$A$7:$O$427,8)</f>
        <v>1415000</v>
      </c>
      <c r="I117" s="103">
        <f>VLOOKUP($A117,'OI(Volume)'!$A$7:$O$427,9)</f>
        <v>120000</v>
      </c>
      <c r="J117" s="103">
        <f>VLOOKUP($A117,'OI(Volume)'!$A$7:$O$427,11)</f>
        <v>959000</v>
      </c>
      <c r="K117" s="103">
        <f>VLOOKUP($A117,'OI(Volume)'!$A$7:$O$427,12)</f>
        <v>9000</v>
      </c>
      <c r="L117" s="103">
        <f>VLOOKUP($A117,'OI(Value)'!$A$7:$O$306,8,0)</f>
        <v>151</v>
      </c>
      <c r="M117" s="103">
        <f>VLOOKUP($A117,'OI(Value)'!$A$7:$O$306,9,0)</f>
        <v>13</v>
      </c>
      <c r="N117" s="103">
        <f>VLOOKUP($A117,'OI(Value)'!$A$7:$O$306,11,0)</f>
        <v>102</v>
      </c>
      <c r="O117" s="103">
        <f>VLOOKUP($A117,'OI(Value)'!$A$7:$O$306,12,0)</f>
        <v>1</v>
      </c>
      <c r="P117" s="179">
        <f>VLOOKUP(A117,'OI(Value)'!A117:O318,8,0)</f>
        <v>151</v>
      </c>
      <c r="Q117" s="179">
        <f>VLOOKUP(A117,'OI(Value)'!A117:O318,9,0)</f>
        <v>13</v>
      </c>
      <c r="R117" s="179">
        <f>VLOOKUP(A117,'OI(Value)'!A117:O318,11,0)</f>
        <v>102</v>
      </c>
      <c r="S117" s="179">
        <f>VLOOKUP(A117,'OI(Value)'!A117:O318,11,0)</f>
        <v>102</v>
      </c>
    </row>
    <row r="118" spans="1:19" x14ac:dyDescent="0.25">
      <c r="A118" s="105" t="str">
        <f>'Data shares'!C113</f>
        <v>KOTAKBANK</v>
      </c>
      <c r="B118" s="143">
        <f>VLOOKUP($A118,'Data shares'!$C:$FA,118)</f>
        <v>0.63</v>
      </c>
      <c r="C118" s="143">
        <f>VLOOKUP($A118,'Data shares'!$C:$FA,119)</f>
        <v>0.61</v>
      </c>
      <c r="D118" s="143">
        <f>VLOOKUP($A118,'Data shares'!$C:$FA,121)*100</f>
        <v>3.2800000000000002</v>
      </c>
      <c r="E118" s="143">
        <f>VLOOKUP($A118,'Data shares'!$C:$FA,124)</f>
        <v>0.62</v>
      </c>
      <c r="F118" s="143">
        <f>VLOOKUP($A118,'Data shares'!$C:$FA,125)</f>
        <v>0.64</v>
      </c>
      <c r="G118" s="143">
        <f>VLOOKUP($A118,'Data shares'!$C:$FA,127)*100</f>
        <v>-3.1300000000000003</v>
      </c>
      <c r="H118" s="103">
        <f>VLOOKUP($A118,'OI(Volume)'!$A$7:$O$427,8)</f>
        <v>8492000</v>
      </c>
      <c r="I118" s="103">
        <f>VLOOKUP($A118,'OI(Volume)'!$A$7:$O$427,9)</f>
        <v>718800</v>
      </c>
      <c r="J118" s="103">
        <f>VLOOKUP($A118,'OI(Volume)'!$A$7:$O$427,11)</f>
        <v>5353200</v>
      </c>
      <c r="K118" s="103">
        <f>VLOOKUP($A118,'OI(Volume)'!$A$7:$O$427,12)</f>
        <v>646000</v>
      </c>
      <c r="L118" s="103">
        <f>VLOOKUP($A118,'OI(Value)'!$A$7:$O$306,8,0)</f>
        <v>1826</v>
      </c>
      <c r="M118" s="103">
        <f>VLOOKUP($A118,'OI(Value)'!$A$7:$O$306,9,0)</f>
        <v>155</v>
      </c>
      <c r="N118" s="103">
        <f>VLOOKUP($A118,'OI(Value)'!$A$7:$O$306,11,0)</f>
        <v>1151</v>
      </c>
      <c r="O118" s="103">
        <f>VLOOKUP($A118,'OI(Value)'!$A$7:$O$306,12,0)</f>
        <v>139</v>
      </c>
      <c r="P118" s="179">
        <f>VLOOKUP(A118,'OI(Value)'!A118:O319,8,0)</f>
        <v>1826</v>
      </c>
      <c r="Q118" s="179">
        <f>VLOOKUP(A118,'OI(Value)'!A118:O319,9,0)</f>
        <v>155</v>
      </c>
      <c r="R118" s="179">
        <f>VLOOKUP(A118,'OI(Value)'!A118:O319,11,0)</f>
        <v>1151</v>
      </c>
      <c r="S118" s="179">
        <f>VLOOKUP(A118,'OI(Value)'!A118:O319,11,0)</f>
        <v>1151</v>
      </c>
    </row>
    <row r="119" spans="1:19" x14ac:dyDescent="0.25">
      <c r="A119" s="105" t="str">
        <f>'Data shares'!C114</f>
        <v>KPITTECH</v>
      </c>
      <c r="B119" s="143">
        <f>VLOOKUP($A119,'Data shares'!$C:$FA,118)</f>
        <v>0.95</v>
      </c>
      <c r="C119" s="143">
        <f>VLOOKUP($A119,'Data shares'!$C:$FA,119)</f>
        <v>0.72</v>
      </c>
      <c r="D119" s="143">
        <f>VLOOKUP($A119,'Data shares'!$C:$FA,121)*100</f>
        <v>31.94</v>
      </c>
      <c r="E119" s="143">
        <f>VLOOKUP($A119,'Data shares'!$C:$FA,124)</f>
        <v>0.24</v>
      </c>
      <c r="F119" s="143">
        <f>VLOOKUP($A119,'Data shares'!$C:$FA,125)</f>
        <v>0.3</v>
      </c>
      <c r="G119" s="143">
        <f>VLOOKUP($A119,'Data shares'!$C:$FA,127)*100</f>
        <v>-20</v>
      </c>
      <c r="H119" s="103">
        <f>VLOOKUP($A119,'OI(Volume)'!$A$7:$O$427,8)</f>
        <v>1645600</v>
      </c>
      <c r="I119" s="103">
        <f>VLOOKUP($A119,'OI(Volume)'!$A$7:$O$427,9)</f>
        <v>112625</v>
      </c>
      <c r="J119" s="103">
        <f>VLOOKUP($A119,'OI(Volume)'!$A$7:$O$427,11)</f>
        <v>1560175</v>
      </c>
      <c r="K119" s="103">
        <f>VLOOKUP($A119,'OI(Volume)'!$A$7:$O$427,12)</f>
        <v>448800</v>
      </c>
      <c r="L119" s="103">
        <f>VLOOKUP($A119,'OI(Value)'!$A$7:$O$306,8,0)</f>
        <v>200</v>
      </c>
      <c r="M119" s="103">
        <f>VLOOKUP($A119,'OI(Value)'!$A$7:$O$306,9,0)</f>
        <v>14</v>
      </c>
      <c r="N119" s="103">
        <f>VLOOKUP($A119,'OI(Value)'!$A$7:$O$306,11,0)</f>
        <v>189</v>
      </c>
      <c r="O119" s="103">
        <f>VLOOKUP($A119,'OI(Value)'!$A$7:$O$306,12,0)</f>
        <v>54</v>
      </c>
      <c r="P119" s="179">
        <f>VLOOKUP(A119,'OI(Value)'!A119:O320,8,0)</f>
        <v>200</v>
      </c>
      <c r="Q119" s="179">
        <f>VLOOKUP(A119,'OI(Value)'!A119:O320,9,0)</f>
        <v>14</v>
      </c>
      <c r="R119" s="179">
        <f>VLOOKUP(A119,'OI(Value)'!A119:O320,11,0)</f>
        <v>189</v>
      </c>
      <c r="S119" s="179">
        <f>VLOOKUP(A119,'OI(Value)'!A119:O320,11,0)</f>
        <v>189</v>
      </c>
    </row>
    <row r="120" spans="1:19" x14ac:dyDescent="0.25">
      <c r="A120" s="105" t="str">
        <f>'Data shares'!C115</f>
        <v>LAURUSLABS</v>
      </c>
      <c r="B120" s="143">
        <f>VLOOKUP($A120,'Data shares'!$C:$FA,118)</f>
        <v>0.8</v>
      </c>
      <c r="C120" s="143">
        <f>VLOOKUP($A120,'Data shares'!$C:$FA,119)</f>
        <v>0.74</v>
      </c>
      <c r="D120" s="143">
        <f>VLOOKUP($A120,'Data shares'!$C:$FA,121)*100</f>
        <v>8.1100000000000012</v>
      </c>
      <c r="E120" s="143">
        <f>VLOOKUP($A120,'Data shares'!$C:$FA,124)</f>
        <v>0.54</v>
      </c>
      <c r="F120" s="143">
        <f>VLOOKUP($A120,'Data shares'!$C:$FA,125)</f>
        <v>0.5</v>
      </c>
      <c r="G120" s="143">
        <f>VLOOKUP($A120,'Data shares'!$C:$FA,127)*100</f>
        <v>8</v>
      </c>
      <c r="H120" s="103">
        <f>VLOOKUP($A120,'OI(Volume)'!$A$7:$O$427,8)</f>
        <v>6232200</v>
      </c>
      <c r="I120" s="103">
        <f>VLOOKUP($A120,'OI(Volume)'!$A$7:$O$427,9)</f>
        <v>526150</v>
      </c>
      <c r="J120" s="103">
        <f>VLOOKUP($A120,'OI(Volume)'!$A$7:$O$427,11)</f>
        <v>4977600</v>
      </c>
      <c r="K120" s="103">
        <f>VLOOKUP($A120,'OI(Volume)'!$A$7:$O$427,12)</f>
        <v>740350</v>
      </c>
      <c r="L120" s="103">
        <f>VLOOKUP($A120,'OI(Value)'!$A$7:$O$306,8,0)</f>
        <v>707</v>
      </c>
      <c r="M120" s="103">
        <f>VLOOKUP($A120,'OI(Value)'!$A$7:$O$306,9,0)</f>
        <v>60</v>
      </c>
      <c r="N120" s="103">
        <f>VLOOKUP($A120,'OI(Value)'!$A$7:$O$306,11,0)</f>
        <v>565</v>
      </c>
      <c r="O120" s="103">
        <f>VLOOKUP($A120,'OI(Value)'!$A$7:$O$306,12,0)</f>
        <v>84</v>
      </c>
      <c r="P120" s="179">
        <f>VLOOKUP(A120,'OI(Value)'!A120:O321,8,0)</f>
        <v>707</v>
      </c>
      <c r="Q120" s="179">
        <f>VLOOKUP(A120,'OI(Value)'!A120:O321,9,0)</f>
        <v>60</v>
      </c>
      <c r="R120" s="179">
        <f>VLOOKUP(A120,'OI(Value)'!A120:O321,11,0)</f>
        <v>565</v>
      </c>
      <c r="S120" s="179">
        <f>VLOOKUP(A120,'OI(Value)'!A120:O321,11,0)</f>
        <v>565</v>
      </c>
    </row>
    <row r="121" spans="1:19" x14ac:dyDescent="0.25">
      <c r="A121" s="105" t="str">
        <f>'Data shares'!C116</f>
        <v>LICHSGFIN</v>
      </c>
      <c r="B121" s="143">
        <f>VLOOKUP($A121,'Data shares'!$C:$FA,118)</f>
        <v>1.1200000000000001</v>
      </c>
      <c r="C121" s="143">
        <f>VLOOKUP($A121,'Data shares'!$C:$FA,119)</f>
        <v>1.06</v>
      </c>
      <c r="D121" s="143">
        <f>VLOOKUP($A121,'Data shares'!$C:$FA,121)*100</f>
        <v>5.66</v>
      </c>
      <c r="E121" s="143">
        <f>VLOOKUP($A121,'Data shares'!$C:$FA,124)</f>
        <v>0.9</v>
      </c>
      <c r="F121" s="143">
        <f>VLOOKUP($A121,'Data shares'!$C:$FA,125)</f>
        <v>0.53</v>
      </c>
      <c r="G121" s="143">
        <f>VLOOKUP($A121,'Data shares'!$C:$FA,127)*100</f>
        <v>69.81</v>
      </c>
      <c r="H121" s="103">
        <f>VLOOKUP($A121,'OI(Volume)'!$A$7:$O$427,8)</f>
        <v>7209000</v>
      </c>
      <c r="I121" s="103">
        <f>VLOOKUP($A121,'OI(Volume)'!$A$7:$O$427,9)</f>
        <v>583000</v>
      </c>
      <c r="J121" s="103">
        <f>VLOOKUP($A121,'OI(Volume)'!$A$7:$O$427,11)</f>
        <v>8084000</v>
      </c>
      <c r="K121" s="103">
        <f>VLOOKUP($A121,'OI(Volume)'!$A$7:$O$427,12)</f>
        <v>1031000</v>
      </c>
      <c r="L121" s="103">
        <f>VLOOKUP($A121,'OI(Value)'!$A$7:$O$306,8,0)</f>
        <v>389</v>
      </c>
      <c r="M121" s="103">
        <f>VLOOKUP($A121,'OI(Value)'!$A$7:$O$306,9,0)</f>
        <v>31</v>
      </c>
      <c r="N121" s="103">
        <f>VLOOKUP($A121,'OI(Value)'!$A$7:$O$306,11,0)</f>
        <v>436</v>
      </c>
      <c r="O121" s="103">
        <f>VLOOKUP($A121,'OI(Value)'!$A$7:$O$306,12,0)</f>
        <v>56</v>
      </c>
      <c r="P121" s="179">
        <f>VLOOKUP(A121,'OI(Value)'!A121:O322,8,0)</f>
        <v>389</v>
      </c>
      <c r="Q121" s="179">
        <f>VLOOKUP(A121,'OI(Value)'!A121:O322,9,0)</f>
        <v>31</v>
      </c>
      <c r="R121" s="179">
        <f>VLOOKUP(A121,'OI(Value)'!A121:O322,11,0)</f>
        <v>436</v>
      </c>
      <c r="S121" s="179">
        <f>VLOOKUP(A121,'OI(Value)'!A121:O322,11,0)</f>
        <v>436</v>
      </c>
    </row>
    <row r="122" spans="1:19" x14ac:dyDescent="0.25">
      <c r="A122" s="105" t="str">
        <f>'Data shares'!C117</f>
        <v>LICI</v>
      </c>
      <c r="B122" s="143">
        <f>VLOOKUP($A122,'Data shares'!$C:$FA,118)</f>
        <v>0.7</v>
      </c>
      <c r="C122" s="143">
        <f>VLOOKUP($A122,'Data shares'!$C:$FA,119)</f>
        <v>0.7</v>
      </c>
      <c r="D122" s="143">
        <f>VLOOKUP($A122,'Data shares'!$C:$FA,121)*100</f>
        <v>0</v>
      </c>
      <c r="E122" s="143">
        <f>VLOOKUP($A122,'Data shares'!$C:$FA,124)</f>
        <v>0.45</v>
      </c>
      <c r="F122" s="143">
        <f>VLOOKUP($A122,'Data shares'!$C:$FA,125)</f>
        <v>0.34</v>
      </c>
      <c r="G122" s="143">
        <f>VLOOKUP($A122,'Data shares'!$C:$FA,127)*100</f>
        <v>32.35</v>
      </c>
      <c r="H122" s="103">
        <f>VLOOKUP($A122,'OI(Volume)'!$A$7:$O$427,8)</f>
        <v>5156200</v>
      </c>
      <c r="I122" s="103">
        <f>VLOOKUP($A122,'OI(Volume)'!$A$7:$O$427,9)</f>
        <v>351400</v>
      </c>
      <c r="J122" s="103">
        <f>VLOOKUP($A122,'OI(Volume)'!$A$7:$O$427,11)</f>
        <v>3625300</v>
      </c>
      <c r="K122" s="103">
        <f>VLOOKUP($A122,'OI(Volume)'!$A$7:$O$427,12)</f>
        <v>251300</v>
      </c>
      <c r="L122" s="103">
        <f>VLOOKUP($A122,'OI(Value)'!$A$7:$O$306,8,0)</f>
        <v>440</v>
      </c>
      <c r="M122" s="103">
        <f>VLOOKUP($A122,'OI(Value)'!$A$7:$O$306,9,0)</f>
        <v>30</v>
      </c>
      <c r="N122" s="103">
        <f>VLOOKUP($A122,'OI(Value)'!$A$7:$O$306,11,0)</f>
        <v>309</v>
      </c>
      <c r="O122" s="103">
        <f>VLOOKUP($A122,'OI(Value)'!$A$7:$O$306,12,0)</f>
        <v>21</v>
      </c>
      <c r="P122" s="179">
        <f>VLOOKUP(A122,'OI(Value)'!A122:O323,8,0)</f>
        <v>440</v>
      </c>
      <c r="Q122" s="179">
        <f>VLOOKUP(A122,'OI(Value)'!A122:O323,9,0)</f>
        <v>30</v>
      </c>
      <c r="R122" s="179">
        <f>VLOOKUP(A122,'OI(Value)'!A122:O323,11,0)</f>
        <v>309</v>
      </c>
      <c r="S122" s="179">
        <f>VLOOKUP(A122,'OI(Value)'!A122:O323,11,0)</f>
        <v>309</v>
      </c>
    </row>
    <row r="123" spans="1:19" x14ac:dyDescent="0.25">
      <c r="A123" s="105" t="str">
        <f>'Data shares'!C118</f>
        <v>LODHA</v>
      </c>
      <c r="B123" s="143">
        <f>VLOOKUP($A123,'Data shares'!$C:$FA,118)</f>
        <v>0.68</v>
      </c>
      <c r="C123" s="143">
        <f>VLOOKUP($A123,'Data shares'!$C:$FA,119)</f>
        <v>0.78</v>
      </c>
      <c r="D123" s="143">
        <f>VLOOKUP($A123,'Data shares'!$C:$FA,121)*100</f>
        <v>-12.82</v>
      </c>
      <c r="E123" s="143">
        <f>VLOOKUP($A123,'Data shares'!$C:$FA,124)</f>
        <v>0.39</v>
      </c>
      <c r="F123" s="143">
        <f>VLOOKUP($A123,'Data shares'!$C:$FA,125)</f>
        <v>0.46</v>
      </c>
      <c r="G123" s="143">
        <f>VLOOKUP($A123,'Data shares'!$C:$FA,127)*100</f>
        <v>-15.22</v>
      </c>
      <c r="H123" s="103">
        <f>VLOOKUP($A123,'OI(Volume)'!$A$7:$O$427,8)</f>
        <v>2805300</v>
      </c>
      <c r="I123" s="103">
        <f>VLOOKUP($A123,'OI(Volume)'!$A$7:$O$427,9)</f>
        <v>502200</v>
      </c>
      <c r="J123" s="103">
        <f>VLOOKUP($A123,'OI(Volume)'!$A$7:$O$427,11)</f>
        <v>1903950</v>
      </c>
      <c r="K123" s="103">
        <f>VLOOKUP($A123,'OI(Volume)'!$A$7:$O$427,12)</f>
        <v>102600</v>
      </c>
      <c r="L123" s="103">
        <f>VLOOKUP($A123,'OI(Value)'!$A$7:$O$306,8,0)</f>
        <v>313</v>
      </c>
      <c r="M123" s="103">
        <f>VLOOKUP($A123,'OI(Value)'!$A$7:$O$306,9,0)</f>
        <v>56</v>
      </c>
      <c r="N123" s="103">
        <f>VLOOKUP($A123,'OI(Value)'!$A$7:$O$306,11,0)</f>
        <v>212</v>
      </c>
      <c r="O123" s="103">
        <f>VLOOKUP($A123,'OI(Value)'!$A$7:$O$306,12,0)</f>
        <v>11</v>
      </c>
      <c r="P123" s="179">
        <f>VLOOKUP(A123,'OI(Value)'!A123:O324,8,0)</f>
        <v>313</v>
      </c>
      <c r="Q123" s="179">
        <f>VLOOKUP(A123,'OI(Value)'!A123:O324,9,0)</f>
        <v>56</v>
      </c>
      <c r="R123" s="179">
        <f>VLOOKUP(A123,'OI(Value)'!A123:O324,11,0)</f>
        <v>212</v>
      </c>
      <c r="S123" s="179">
        <f>VLOOKUP(A123,'OI(Value)'!A123:O324,11,0)</f>
        <v>212</v>
      </c>
    </row>
    <row r="124" spans="1:19" x14ac:dyDescent="0.25">
      <c r="A124" s="105" t="str">
        <f>'Data shares'!C119</f>
        <v>LT</v>
      </c>
      <c r="B124" s="143">
        <f>VLOOKUP($A124,'Data shares'!$C:$FA,118)</f>
        <v>0.67</v>
      </c>
      <c r="C124" s="143">
        <f>VLOOKUP($A124,'Data shares'!$C:$FA,119)</f>
        <v>0.73</v>
      </c>
      <c r="D124" s="143">
        <f>VLOOKUP($A124,'Data shares'!$C:$FA,121)*100</f>
        <v>-8.2199999999999989</v>
      </c>
      <c r="E124" s="143">
        <f>VLOOKUP($A124,'Data shares'!$C:$FA,124)</f>
        <v>0.64</v>
      </c>
      <c r="F124" s="143">
        <f>VLOOKUP($A124,'Data shares'!$C:$FA,125)</f>
        <v>0.49</v>
      </c>
      <c r="G124" s="143">
        <f>VLOOKUP($A124,'Data shares'!$C:$FA,127)*100</f>
        <v>30.61</v>
      </c>
      <c r="H124" s="103">
        <f>VLOOKUP($A124,'OI(Volume)'!$A$7:$O$427,8)</f>
        <v>3448200</v>
      </c>
      <c r="I124" s="103">
        <f>VLOOKUP($A124,'OI(Volume)'!$A$7:$O$427,9)</f>
        <v>432775</v>
      </c>
      <c r="J124" s="103">
        <f>VLOOKUP($A124,'OI(Volume)'!$A$7:$O$427,11)</f>
        <v>2295650</v>
      </c>
      <c r="K124" s="103">
        <f>VLOOKUP($A124,'OI(Volume)'!$A$7:$O$427,12)</f>
        <v>81900</v>
      </c>
      <c r="L124" s="103">
        <f>VLOOKUP($A124,'OI(Value)'!$A$7:$O$306,8,0)</f>
        <v>1436</v>
      </c>
      <c r="M124" s="103">
        <f>VLOOKUP($A124,'OI(Value)'!$A$7:$O$306,9,0)</f>
        <v>180</v>
      </c>
      <c r="N124" s="103">
        <f>VLOOKUP($A124,'OI(Value)'!$A$7:$O$306,11,0)</f>
        <v>956</v>
      </c>
      <c r="O124" s="103">
        <f>VLOOKUP($A124,'OI(Value)'!$A$7:$O$306,12,0)</f>
        <v>34</v>
      </c>
      <c r="P124" s="179">
        <f>VLOOKUP(A124,'OI(Value)'!A124:O325,8,0)</f>
        <v>1436</v>
      </c>
      <c r="Q124" s="179">
        <f>VLOOKUP(A124,'OI(Value)'!A124:O325,9,0)</f>
        <v>180</v>
      </c>
      <c r="R124" s="179">
        <f>VLOOKUP(A124,'OI(Value)'!A124:O325,11,0)</f>
        <v>956</v>
      </c>
      <c r="S124" s="179">
        <f>VLOOKUP(A124,'OI(Value)'!A124:O325,11,0)</f>
        <v>956</v>
      </c>
    </row>
    <row r="125" spans="1:19" x14ac:dyDescent="0.25">
      <c r="A125" s="105" t="str">
        <f>'Data shares'!C120</f>
        <v>LTF</v>
      </c>
      <c r="B125" s="143">
        <f>VLOOKUP($A125,'Data shares'!$C:$FA,118)</f>
        <v>0.65</v>
      </c>
      <c r="C125" s="143">
        <f>VLOOKUP($A125,'Data shares'!$C:$FA,119)</f>
        <v>0.71</v>
      </c>
      <c r="D125" s="143">
        <f>VLOOKUP($A125,'Data shares'!$C:$FA,121)*100</f>
        <v>-8.4500000000000011</v>
      </c>
      <c r="E125" s="143">
        <f>VLOOKUP($A125,'Data shares'!$C:$FA,124)</f>
        <v>0.6</v>
      </c>
      <c r="F125" s="143">
        <f>VLOOKUP($A125,'Data shares'!$C:$FA,125)</f>
        <v>0.43</v>
      </c>
      <c r="G125" s="143">
        <f>VLOOKUP($A125,'Data shares'!$C:$FA,127)*100</f>
        <v>39.53</v>
      </c>
      <c r="H125" s="103">
        <f>VLOOKUP($A125,'OI(Volume)'!$A$7:$O$427,8)</f>
        <v>23512500</v>
      </c>
      <c r="I125" s="103">
        <f>VLOOKUP($A125,'OI(Volume)'!$A$7:$O$427,9)</f>
        <v>2241000</v>
      </c>
      <c r="J125" s="103">
        <f>VLOOKUP($A125,'OI(Volume)'!$A$7:$O$427,11)</f>
        <v>15302250</v>
      </c>
      <c r="K125" s="103">
        <f>VLOOKUP($A125,'OI(Volume)'!$A$7:$O$427,12)</f>
        <v>213750</v>
      </c>
      <c r="L125" s="103">
        <f>VLOOKUP($A125,'OI(Value)'!$A$7:$O$306,8,0)</f>
        <v>739</v>
      </c>
      <c r="M125" s="103">
        <f>VLOOKUP($A125,'OI(Value)'!$A$7:$O$306,9,0)</f>
        <v>70</v>
      </c>
      <c r="N125" s="103">
        <f>VLOOKUP($A125,'OI(Value)'!$A$7:$O$306,11,0)</f>
        <v>481</v>
      </c>
      <c r="O125" s="103">
        <f>VLOOKUP($A125,'OI(Value)'!$A$7:$O$306,12,0)</f>
        <v>7</v>
      </c>
      <c r="P125" s="179">
        <f>VLOOKUP(A125,'OI(Value)'!A125:O326,8,0)</f>
        <v>739</v>
      </c>
      <c r="Q125" s="179">
        <f>VLOOKUP(A125,'OI(Value)'!A125:O326,9,0)</f>
        <v>70</v>
      </c>
      <c r="R125" s="179">
        <f>VLOOKUP(A125,'OI(Value)'!A125:O326,11,0)</f>
        <v>481</v>
      </c>
      <c r="S125" s="179">
        <f>VLOOKUP(A125,'OI(Value)'!A125:O326,11,0)</f>
        <v>481</v>
      </c>
    </row>
    <row r="126" spans="1:19" x14ac:dyDescent="0.25">
      <c r="A126" s="105" t="str">
        <f>'Data shares'!C121</f>
        <v>LTIM</v>
      </c>
      <c r="B126" s="143">
        <f>VLOOKUP($A126,'Data shares'!$C:$FA,118)</f>
        <v>0.8</v>
      </c>
      <c r="C126" s="143">
        <f>VLOOKUP($A126,'Data shares'!$C:$FA,119)</f>
        <v>0.85</v>
      </c>
      <c r="D126" s="143">
        <f>VLOOKUP($A126,'Data shares'!$C:$FA,121)*100</f>
        <v>-5.88</v>
      </c>
      <c r="E126" s="143">
        <f>VLOOKUP($A126,'Data shares'!$C:$FA,124)</f>
        <v>0.45</v>
      </c>
      <c r="F126" s="143">
        <f>VLOOKUP($A126,'Data shares'!$C:$FA,125)</f>
        <v>0.93</v>
      </c>
      <c r="G126" s="143">
        <f>VLOOKUP($A126,'Data shares'!$C:$FA,127)*100</f>
        <v>-51.61</v>
      </c>
      <c r="H126" s="103">
        <f>VLOOKUP($A126,'OI(Volume)'!$A$7:$O$427,8)</f>
        <v>849900</v>
      </c>
      <c r="I126" s="103">
        <f>VLOOKUP($A126,'OI(Volume)'!$A$7:$O$427,9)</f>
        <v>67350</v>
      </c>
      <c r="J126" s="103">
        <f>VLOOKUP($A126,'OI(Volume)'!$A$7:$O$427,11)</f>
        <v>683700</v>
      </c>
      <c r="K126" s="103">
        <f>VLOOKUP($A126,'OI(Volume)'!$A$7:$O$427,12)</f>
        <v>22350</v>
      </c>
      <c r="L126" s="103">
        <f>VLOOKUP($A126,'OI(Value)'!$A$7:$O$306,8,0)</f>
        <v>521</v>
      </c>
      <c r="M126" s="103">
        <f>VLOOKUP($A126,'OI(Value)'!$A$7:$O$306,9,0)</f>
        <v>41</v>
      </c>
      <c r="N126" s="103">
        <f>VLOOKUP($A126,'OI(Value)'!$A$7:$O$306,11,0)</f>
        <v>419</v>
      </c>
      <c r="O126" s="103">
        <f>VLOOKUP($A126,'OI(Value)'!$A$7:$O$306,12,0)</f>
        <v>14</v>
      </c>
      <c r="P126" s="179">
        <f>VLOOKUP(A126,'OI(Value)'!A126:O327,8,0)</f>
        <v>521</v>
      </c>
      <c r="Q126" s="179">
        <f>VLOOKUP(A126,'OI(Value)'!A126:O327,9,0)</f>
        <v>41</v>
      </c>
      <c r="R126" s="179">
        <f>VLOOKUP(A126,'OI(Value)'!A126:O327,11,0)</f>
        <v>419</v>
      </c>
      <c r="S126" s="179">
        <f>VLOOKUP(A126,'OI(Value)'!A126:O327,11,0)</f>
        <v>419</v>
      </c>
    </row>
    <row r="127" spans="1:19" x14ac:dyDescent="0.25">
      <c r="A127" s="105" t="str">
        <f>'Data shares'!C122</f>
        <v>LUPIN</v>
      </c>
      <c r="B127" s="143">
        <f>VLOOKUP($A127,'Data shares'!$C:$FA,118)</f>
        <v>0.79</v>
      </c>
      <c r="C127" s="143">
        <f>VLOOKUP($A127,'Data shares'!$C:$FA,119)</f>
        <v>0.7</v>
      </c>
      <c r="D127" s="143">
        <f>VLOOKUP($A127,'Data shares'!$C:$FA,121)*100</f>
        <v>12.86</v>
      </c>
      <c r="E127" s="143">
        <f>VLOOKUP($A127,'Data shares'!$C:$FA,124)</f>
        <v>0.35</v>
      </c>
      <c r="F127" s="143">
        <f>VLOOKUP($A127,'Data shares'!$C:$FA,125)</f>
        <v>0.27</v>
      </c>
      <c r="G127" s="143">
        <f>VLOOKUP($A127,'Data shares'!$C:$FA,127)*100</f>
        <v>29.630000000000003</v>
      </c>
      <c r="H127" s="103">
        <f>VLOOKUP($A127,'OI(Volume)'!$A$7:$O$427,8)</f>
        <v>2377025</v>
      </c>
      <c r="I127" s="103">
        <f>VLOOKUP($A127,'OI(Volume)'!$A$7:$O$427,9)</f>
        <v>437750</v>
      </c>
      <c r="J127" s="103">
        <f>VLOOKUP($A127,'OI(Volume)'!$A$7:$O$427,11)</f>
        <v>1882325</v>
      </c>
      <c r="K127" s="103">
        <f>VLOOKUP($A127,'OI(Volume)'!$A$7:$O$427,12)</f>
        <v>523175</v>
      </c>
      <c r="L127" s="103">
        <f>VLOOKUP($A127,'OI(Value)'!$A$7:$O$306,8,0)</f>
        <v>529</v>
      </c>
      <c r="M127" s="103">
        <f>VLOOKUP($A127,'OI(Value)'!$A$7:$O$306,9,0)</f>
        <v>97</v>
      </c>
      <c r="N127" s="103">
        <f>VLOOKUP($A127,'OI(Value)'!$A$7:$O$306,11,0)</f>
        <v>419</v>
      </c>
      <c r="O127" s="103">
        <f>VLOOKUP($A127,'OI(Value)'!$A$7:$O$306,12,0)</f>
        <v>116</v>
      </c>
      <c r="P127" s="179">
        <f>VLOOKUP(A127,'OI(Value)'!A127:O328,8,0)</f>
        <v>529</v>
      </c>
      <c r="Q127" s="179">
        <f>VLOOKUP(A127,'OI(Value)'!A127:O328,9,0)</f>
        <v>97</v>
      </c>
      <c r="R127" s="179">
        <f>VLOOKUP(A127,'OI(Value)'!A127:O328,11,0)</f>
        <v>419</v>
      </c>
      <c r="S127" s="179">
        <f>VLOOKUP(A127,'OI(Value)'!A127:O328,11,0)</f>
        <v>419</v>
      </c>
    </row>
    <row r="128" spans="1:19" x14ac:dyDescent="0.25">
      <c r="A128" s="105" t="str">
        <f>'Data shares'!C123</f>
        <v>M&amp;M</v>
      </c>
      <c r="B128" s="143">
        <f>VLOOKUP($A128,'Data shares'!$C:$FA,118)</f>
        <v>0.62</v>
      </c>
      <c r="C128" s="143">
        <f>VLOOKUP($A128,'Data shares'!$C:$FA,119)</f>
        <v>0.73</v>
      </c>
      <c r="D128" s="143">
        <f>VLOOKUP($A128,'Data shares'!$C:$FA,121)*100</f>
        <v>-15.07</v>
      </c>
      <c r="E128" s="143">
        <f>VLOOKUP($A128,'Data shares'!$C:$FA,124)</f>
        <v>0.63</v>
      </c>
      <c r="F128" s="143">
        <f>VLOOKUP($A128,'Data shares'!$C:$FA,125)</f>
        <v>0.78</v>
      </c>
      <c r="G128" s="143">
        <f>VLOOKUP($A128,'Data shares'!$C:$FA,127)*100</f>
        <v>-19.23</v>
      </c>
      <c r="H128" s="103">
        <f>VLOOKUP($A128,'OI(Volume)'!$A$7:$O$427,8)</f>
        <v>3185400</v>
      </c>
      <c r="I128" s="103">
        <f>VLOOKUP($A128,'OI(Volume)'!$A$7:$O$427,9)</f>
        <v>368400</v>
      </c>
      <c r="J128" s="103">
        <f>VLOOKUP($A128,'OI(Volume)'!$A$7:$O$427,11)</f>
        <v>1987200</v>
      </c>
      <c r="K128" s="103">
        <f>VLOOKUP($A128,'OI(Volume)'!$A$7:$O$427,12)</f>
        <v>-64200</v>
      </c>
      <c r="L128" s="103">
        <f>VLOOKUP($A128,'OI(Value)'!$A$7:$O$306,8,0)</f>
        <v>1197</v>
      </c>
      <c r="M128" s="103">
        <f>VLOOKUP($A128,'OI(Value)'!$A$7:$O$306,9,0)</f>
        <v>138</v>
      </c>
      <c r="N128" s="103">
        <f>VLOOKUP($A128,'OI(Value)'!$A$7:$O$306,11,0)</f>
        <v>747</v>
      </c>
      <c r="O128" s="103">
        <f>VLOOKUP($A128,'OI(Value)'!$A$7:$O$306,12,0)</f>
        <v>-24</v>
      </c>
      <c r="P128" s="179">
        <f>VLOOKUP(A128,'OI(Value)'!A128:O329,8,0)</f>
        <v>1197</v>
      </c>
      <c r="Q128" s="179">
        <f>VLOOKUP(A128,'OI(Value)'!A128:O329,9,0)</f>
        <v>138</v>
      </c>
      <c r="R128" s="179">
        <f>VLOOKUP(A128,'OI(Value)'!A128:O329,11,0)</f>
        <v>747</v>
      </c>
      <c r="S128" s="179">
        <f>VLOOKUP(A128,'OI(Value)'!A128:O329,11,0)</f>
        <v>747</v>
      </c>
    </row>
    <row r="129" spans="1:19" x14ac:dyDescent="0.25">
      <c r="A129" s="105" t="str">
        <f>'Data shares'!C124</f>
        <v>MANAPPURAM</v>
      </c>
      <c r="B129" s="143">
        <f>VLOOKUP($A129,'Data shares'!$C:$FA,118)</f>
        <v>0.56999999999999995</v>
      </c>
      <c r="C129" s="143">
        <f>VLOOKUP($A129,'Data shares'!$C:$FA,119)</f>
        <v>0.56000000000000005</v>
      </c>
      <c r="D129" s="143">
        <f>VLOOKUP($A129,'Data shares'!$C:$FA,121)*100</f>
        <v>1.79</v>
      </c>
      <c r="E129" s="143">
        <f>VLOOKUP($A129,'Data shares'!$C:$FA,124)</f>
        <v>0.21</v>
      </c>
      <c r="F129" s="143">
        <f>VLOOKUP($A129,'Data shares'!$C:$FA,125)</f>
        <v>0.34</v>
      </c>
      <c r="G129" s="143">
        <f>VLOOKUP($A129,'Data shares'!$C:$FA,127)*100</f>
        <v>-38.24</v>
      </c>
      <c r="H129" s="103">
        <f>VLOOKUP($A129,'OI(Volume)'!$A$7:$O$427,8)</f>
        <v>18240000</v>
      </c>
      <c r="I129" s="103">
        <f>VLOOKUP($A129,'OI(Volume)'!$A$7:$O$427,9)</f>
        <v>2073000</v>
      </c>
      <c r="J129" s="103">
        <f>VLOOKUP($A129,'OI(Volume)'!$A$7:$O$427,11)</f>
        <v>10314000</v>
      </c>
      <c r="K129" s="103">
        <f>VLOOKUP($A129,'OI(Volume)'!$A$7:$O$427,12)</f>
        <v>1260000</v>
      </c>
      <c r="L129" s="103">
        <f>VLOOKUP($A129,'OI(Value)'!$A$7:$O$306,8,0)</f>
        <v>585</v>
      </c>
      <c r="M129" s="103">
        <f>VLOOKUP($A129,'OI(Value)'!$A$7:$O$306,9,0)</f>
        <v>66</v>
      </c>
      <c r="N129" s="103">
        <f>VLOOKUP($A129,'OI(Value)'!$A$7:$O$306,11,0)</f>
        <v>331</v>
      </c>
      <c r="O129" s="103">
        <f>VLOOKUP($A129,'OI(Value)'!$A$7:$O$306,12,0)</f>
        <v>40</v>
      </c>
      <c r="P129" s="179">
        <f>VLOOKUP(A129,'OI(Value)'!A129:O330,8,0)</f>
        <v>585</v>
      </c>
      <c r="Q129" s="179">
        <f>VLOOKUP(A129,'OI(Value)'!A129:O330,9,0)</f>
        <v>66</v>
      </c>
      <c r="R129" s="179">
        <f>VLOOKUP(A129,'OI(Value)'!A129:O330,11,0)</f>
        <v>331</v>
      </c>
      <c r="S129" s="179">
        <f>VLOOKUP(A129,'OI(Value)'!A129:O330,11,0)</f>
        <v>331</v>
      </c>
    </row>
    <row r="130" spans="1:19" x14ac:dyDescent="0.25">
      <c r="A130" s="105" t="str">
        <f>'Data shares'!C125</f>
        <v>MANKIND</v>
      </c>
      <c r="B130" s="143">
        <f>VLOOKUP($A130,'Data shares'!$C:$FA,118)</f>
        <v>0.65</v>
      </c>
      <c r="C130" s="143">
        <f>VLOOKUP($A130,'Data shares'!$C:$FA,119)</f>
        <v>0.76</v>
      </c>
      <c r="D130" s="143">
        <f>VLOOKUP($A130,'Data shares'!$C:$FA,121)*100</f>
        <v>-14.469999999999999</v>
      </c>
      <c r="E130" s="143">
        <f>VLOOKUP($A130,'Data shares'!$C:$FA,124)</f>
        <v>0.21</v>
      </c>
      <c r="F130" s="143">
        <f>VLOOKUP($A130,'Data shares'!$C:$FA,125)</f>
        <v>0.09</v>
      </c>
      <c r="G130" s="143">
        <f>VLOOKUP($A130,'Data shares'!$C:$FA,127)*100</f>
        <v>133.32999999999998</v>
      </c>
      <c r="H130" s="103">
        <f>VLOOKUP($A130,'OI(Volume)'!$A$7:$O$427,8)</f>
        <v>741150</v>
      </c>
      <c r="I130" s="103">
        <f>VLOOKUP($A130,'OI(Volume)'!$A$7:$O$427,9)</f>
        <v>286200</v>
      </c>
      <c r="J130" s="103">
        <f>VLOOKUP($A130,'OI(Volume)'!$A$7:$O$427,11)</f>
        <v>482175</v>
      </c>
      <c r="K130" s="103">
        <f>VLOOKUP($A130,'OI(Volume)'!$A$7:$O$427,12)</f>
        <v>137250</v>
      </c>
      <c r="L130" s="103">
        <f>VLOOKUP($A130,'OI(Value)'!$A$7:$O$306,8,0)</f>
        <v>171</v>
      </c>
      <c r="M130" s="103">
        <f>VLOOKUP($A130,'OI(Value)'!$A$7:$O$306,9,0)</f>
        <v>66</v>
      </c>
      <c r="N130" s="103">
        <f>VLOOKUP($A130,'OI(Value)'!$A$7:$O$306,11,0)</f>
        <v>111</v>
      </c>
      <c r="O130" s="103">
        <f>VLOOKUP($A130,'OI(Value)'!$A$7:$O$306,12,0)</f>
        <v>32</v>
      </c>
      <c r="P130" s="179">
        <f>VLOOKUP(A130,'OI(Value)'!A130:O331,8,0)</f>
        <v>171</v>
      </c>
      <c r="Q130" s="179">
        <f>VLOOKUP(A130,'OI(Value)'!A130:O331,9,0)</f>
        <v>66</v>
      </c>
      <c r="R130" s="179">
        <f>VLOOKUP(A130,'OI(Value)'!A130:O331,11,0)</f>
        <v>111</v>
      </c>
      <c r="S130" s="179">
        <f>VLOOKUP(A130,'OI(Value)'!A130:O331,11,0)</f>
        <v>111</v>
      </c>
    </row>
    <row r="131" spans="1:19" x14ac:dyDescent="0.25">
      <c r="A131" s="105" t="str">
        <f>'Data shares'!C126</f>
        <v>MARICO</v>
      </c>
      <c r="B131" s="143">
        <f>VLOOKUP($A131,'Data shares'!$C:$FA,118)</f>
        <v>0.6</v>
      </c>
      <c r="C131" s="143">
        <f>VLOOKUP($A131,'Data shares'!$C:$FA,119)</f>
        <v>0.64</v>
      </c>
      <c r="D131" s="143">
        <f>VLOOKUP($A131,'Data shares'!$C:$FA,121)*100</f>
        <v>-6.25</v>
      </c>
      <c r="E131" s="143">
        <f>VLOOKUP($A131,'Data shares'!$C:$FA,124)</f>
        <v>0.35</v>
      </c>
      <c r="F131" s="143">
        <f>VLOOKUP($A131,'Data shares'!$C:$FA,125)</f>
        <v>0.3</v>
      </c>
      <c r="G131" s="143">
        <f>VLOOKUP($A131,'Data shares'!$C:$FA,127)*100</f>
        <v>16.669999999999998</v>
      </c>
      <c r="H131" s="103">
        <f>VLOOKUP($A131,'OI(Volume)'!$A$7:$O$427,8)</f>
        <v>6666000</v>
      </c>
      <c r="I131" s="103">
        <f>VLOOKUP($A131,'OI(Volume)'!$A$7:$O$427,9)</f>
        <v>1180800</v>
      </c>
      <c r="J131" s="103">
        <f>VLOOKUP($A131,'OI(Volume)'!$A$7:$O$427,11)</f>
        <v>4024800</v>
      </c>
      <c r="K131" s="103">
        <f>VLOOKUP($A131,'OI(Volume)'!$A$7:$O$427,12)</f>
        <v>524400</v>
      </c>
      <c r="L131" s="103">
        <f>VLOOKUP($A131,'OI(Value)'!$A$7:$O$306,8,0)</f>
        <v>517</v>
      </c>
      <c r="M131" s="103">
        <f>VLOOKUP($A131,'OI(Value)'!$A$7:$O$306,9,0)</f>
        <v>92</v>
      </c>
      <c r="N131" s="103">
        <f>VLOOKUP($A131,'OI(Value)'!$A$7:$O$306,11,0)</f>
        <v>312</v>
      </c>
      <c r="O131" s="103">
        <f>VLOOKUP($A131,'OI(Value)'!$A$7:$O$306,12,0)</f>
        <v>41</v>
      </c>
      <c r="P131" s="179">
        <f>VLOOKUP(A131,'OI(Value)'!A131:O332,8,0)</f>
        <v>517</v>
      </c>
      <c r="Q131" s="179">
        <f>VLOOKUP(A131,'OI(Value)'!A131:O332,9,0)</f>
        <v>92</v>
      </c>
      <c r="R131" s="179">
        <f>VLOOKUP(A131,'OI(Value)'!A131:O332,11,0)</f>
        <v>312</v>
      </c>
      <c r="S131" s="179">
        <f>VLOOKUP(A131,'OI(Value)'!A131:O332,11,0)</f>
        <v>312</v>
      </c>
    </row>
    <row r="132" spans="1:19" x14ac:dyDescent="0.25">
      <c r="A132" s="105" t="str">
        <f>'Data shares'!C127</f>
        <v>MARUTI</v>
      </c>
      <c r="B132" s="143">
        <f>VLOOKUP($A132,'Data shares'!$C:$FA,118)</f>
        <v>0.69</v>
      </c>
      <c r="C132" s="143">
        <f>VLOOKUP($A132,'Data shares'!$C:$FA,119)</f>
        <v>1.07</v>
      </c>
      <c r="D132" s="143">
        <f>VLOOKUP($A132,'Data shares'!$C:$FA,121)*100</f>
        <v>-35.510000000000005</v>
      </c>
      <c r="E132" s="143">
        <f>VLOOKUP($A132,'Data shares'!$C:$FA,124)</f>
        <v>1.1100000000000001</v>
      </c>
      <c r="F132" s="143">
        <f>VLOOKUP($A132,'Data shares'!$C:$FA,125)</f>
        <v>0.69</v>
      </c>
      <c r="G132" s="143">
        <f>VLOOKUP($A132,'Data shares'!$C:$FA,127)*100</f>
        <v>60.870000000000005</v>
      </c>
      <c r="H132" s="103">
        <f>VLOOKUP($A132,'OI(Volume)'!$A$7:$O$427,8)</f>
        <v>1629400</v>
      </c>
      <c r="I132" s="103">
        <f>VLOOKUP($A132,'OI(Volume)'!$A$7:$O$427,9)</f>
        <v>430100</v>
      </c>
      <c r="J132" s="103">
        <f>VLOOKUP($A132,'OI(Volume)'!$A$7:$O$427,11)</f>
        <v>1125850</v>
      </c>
      <c r="K132" s="103">
        <f>VLOOKUP($A132,'OI(Volume)'!$A$7:$O$427,12)</f>
        <v>-154000</v>
      </c>
      <c r="L132" s="103">
        <f>VLOOKUP($A132,'OI(Value)'!$A$7:$O$306,8,0)</f>
        <v>2750</v>
      </c>
      <c r="M132" s="103">
        <f>VLOOKUP($A132,'OI(Value)'!$A$7:$O$306,9,0)</f>
        <v>726</v>
      </c>
      <c r="N132" s="103">
        <f>VLOOKUP($A132,'OI(Value)'!$A$7:$O$306,11,0)</f>
        <v>1900</v>
      </c>
      <c r="O132" s="103">
        <f>VLOOKUP($A132,'OI(Value)'!$A$7:$O$306,12,0)</f>
        <v>-260</v>
      </c>
      <c r="P132" s="179">
        <f>VLOOKUP(A132,'OI(Value)'!A132:O333,8,0)</f>
        <v>2750</v>
      </c>
      <c r="Q132" s="179">
        <f>VLOOKUP(A132,'OI(Value)'!A132:O333,9,0)</f>
        <v>726</v>
      </c>
      <c r="R132" s="179">
        <f>VLOOKUP(A132,'OI(Value)'!A132:O333,11,0)</f>
        <v>1900</v>
      </c>
      <c r="S132" s="179">
        <f>VLOOKUP(A132,'OI(Value)'!A132:O333,11,0)</f>
        <v>1900</v>
      </c>
    </row>
    <row r="133" spans="1:19" x14ac:dyDescent="0.25">
      <c r="A133" s="105" t="str">
        <f>'Data shares'!C128</f>
        <v>MAXHEALTH</v>
      </c>
      <c r="B133" s="143">
        <f>VLOOKUP($A133,'Data shares'!$C:$FA,118)</f>
        <v>0.64</v>
      </c>
      <c r="C133" s="143">
        <f>VLOOKUP($A133,'Data shares'!$C:$FA,119)</f>
        <v>0.79</v>
      </c>
      <c r="D133" s="143">
        <f>VLOOKUP($A133,'Data shares'!$C:$FA,121)*100</f>
        <v>-18.990000000000002</v>
      </c>
      <c r="E133" s="143">
        <f>VLOOKUP($A133,'Data shares'!$C:$FA,124)</f>
        <v>0.51</v>
      </c>
      <c r="F133" s="143">
        <f>VLOOKUP($A133,'Data shares'!$C:$FA,125)</f>
        <v>0.3</v>
      </c>
      <c r="G133" s="143">
        <f>VLOOKUP($A133,'Data shares'!$C:$FA,127)*100</f>
        <v>70</v>
      </c>
      <c r="H133" s="103">
        <f>VLOOKUP($A133,'OI(Volume)'!$A$7:$O$427,8)</f>
        <v>3250275</v>
      </c>
      <c r="I133" s="103">
        <f>VLOOKUP($A133,'OI(Volume)'!$A$7:$O$427,9)</f>
        <v>678300</v>
      </c>
      <c r="J133" s="103">
        <f>VLOOKUP($A133,'OI(Volume)'!$A$7:$O$427,11)</f>
        <v>2096325</v>
      </c>
      <c r="K133" s="103">
        <f>VLOOKUP($A133,'OI(Volume)'!$A$7:$O$427,12)</f>
        <v>60375</v>
      </c>
      <c r="L133" s="103">
        <f>VLOOKUP($A133,'OI(Value)'!$A$7:$O$306,8,0)</f>
        <v>337</v>
      </c>
      <c r="M133" s="103">
        <f>VLOOKUP($A133,'OI(Value)'!$A$7:$O$306,9,0)</f>
        <v>70</v>
      </c>
      <c r="N133" s="103">
        <f>VLOOKUP($A133,'OI(Value)'!$A$7:$O$306,11,0)</f>
        <v>218</v>
      </c>
      <c r="O133" s="103">
        <f>VLOOKUP($A133,'OI(Value)'!$A$7:$O$306,12,0)</f>
        <v>6</v>
      </c>
      <c r="P133" s="179">
        <f>VLOOKUP(A133,'OI(Value)'!A133:O334,8,0)</f>
        <v>337</v>
      </c>
      <c r="Q133" s="179">
        <f>VLOOKUP(A133,'OI(Value)'!A133:O334,9,0)</f>
        <v>70</v>
      </c>
      <c r="R133" s="179">
        <f>VLOOKUP(A133,'OI(Value)'!A133:O334,11,0)</f>
        <v>218</v>
      </c>
      <c r="S133" s="179">
        <f>VLOOKUP(A133,'OI(Value)'!A133:O334,11,0)</f>
        <v>218</v>
      </c>
    </row>
    <row r="134" spans="1:19" x14ac:dyDescent="0.25">
      <c r="A134" s="105" t="str">
        <f>'Data shares'!C129</f>
        <v>MAZDOCK</v>
      </c>
      <c r="B134" s="143">
        <f>VLOOKUP($A134,'Data shares'!$C:$FA,118)</f>
        <v>0.52</v>
      </c>
      <c r="C134" s="143">
        <f>VLOOKUP($A134,'Data shares'!$C:$FA,119)</f>
        <v>0.52</v>
      </c>
      <c r="D134" s="143">
        <f>VLOOKUP($A134,'Data shares'!$C:$FA,121)*100</f>
        <v>0</v>
      </c>
      <c r="E134" s="143">
        <f>VLOOKUP($A134,'Data shares'!$C:$FA,124)</f>
        <v>0.33</v>
      </c>
      <c r="F134" s="143">
        <f>VLOOKUP($A134,'Data shares'!$C:$FA,125)</f>
        <v>0.41</v>
      </c>
      <c r="G134" s="143">
        <f>VLOOKUP($A134,'Data shares'!$C:$FA,127)*100</f>
        <v>-19.509999999999998</v>
      </c>
      <c r="H134" s="103">
        <f>VLOOKUP($A134,'OI(Volume)'!$A$7:$O$427,8)</f>
        <v>4094600</v>
      </c>
      <c r="I134" s="103">
        <f>VLOOKUP($A134,'OI(Volume)'!$A$7:$O$427,9)</f>
        <v>-33800</v>
      </c>
      <c r="J134" s="103">
        <f>VLOOKUP($A134,'OI(Volume)'!$A$7:$O$427,11)</f>
        <v>2141200</v>
      </c>
      <c r="K134" s="103">
        <f>VLOOKUP($A134,'OI(Volume)'!$A$7:$O$427,12)</f>
        <v>13000</v>
      </c>
      <c r="L134" s="103">
        <f>VLOOKUP($A134,'OI(Value)'!$A$7:$O$306,8,0)</f>
        <v>1033</v>
      </c>
      <c r="M134" s="103">
        <f>VLOOKUP($A134,'OI(Value)'!$A$7:$O$306,9,0)</f>
        <v>-9</v>
      </c>
      <c r="N134" s="103">
        <f>VLOOKUP($A134,'OI(Value)'!$A$7:$O$306,11,0)</f>
        <v>540</v>
      </c>
      <c r="O134" s="103">
        <f>VLOOKUP($A134,'OI(Value)'!$A$7:$O$306,12,0)</f>
        <v>3</v>
      </c>
      <c r="P134" s="179">
        <f>VLOOKUP(A134,'OI(Value)'!A134:O335,8,0)</f>
        <v>1033</v>
      </c>
      <c r="Q134" s="179">
        <f>VLOOKUP(A134,'OI(Value)'!A134:O335,9,0)</f>
        <v>-9</v>
      </c>
      <c r="R134" s="179">
        <f>VLOOKUP(A134,'OI(Value)'!A134:O335,11,0)</f>
        <v>540</v>
      </c>
      <c r="S134" s="179">
        <f>VLOOKUP(A134,'OI(Value)'!A134:O335,11,0)</f>
        <v>540</v>
      </c>
    </row>
    <row r="135" spans="1:19" x14ac:dyDescent="0.25">
      <c r="A135" s="105" t="str">
        <f>'Data shares'!C130</f>
        <v>MCX</v>
      </c>
      <c r="B135" s="143">
        <f>VLOOKUP($A135,'Data shares'!$C:$FA,118)</f>
        <v>0.75</v>
      </c>
      <c r="C135" s="143">
        <f>VLOOKUP($A135,'Data shares'!$C:$FA,119)</f>
        <v>0.67</v>
      </c>
      <c r="D135" s="143">
        <f>VLOOKUP($A135,'Data shares'!$C:$FA,121)*100</f>
        <v>11.940000000000001</v>
      </c>
      <c r="E135" s="143">
        <f>VLOOKUP($A135,'Data shares'!$C:$FA,124)</f>
        <v>0.46</v>
      </c>
      <c r="F135" s="143">
        <f>VLOOKUP($A135,'Data shares'!$C:$FA,125)</f>
        <v>0.41</v>
      </c>
      <c r="G135" s="143">
        <f>VLOOKUP($A135,'Data shares'!$C:$FA,127)*100</f>
        <v>12.2</v>
      </c>
      <c r="H135" s="103">
        <f>VLOOKUP($A135,'OI(Volume)'!$A$7:$O$427,8)</f>
        <v>9473125</v>
      </c>
      <c r="I135" s="103">
        <f>VLOOKUP($A135,'OI(Volume)'!$A$7:$O$427,9)</f>
        <v>251875</v>
      </c>
      <c r="J135" s="103">
        <f>VLOOKUP($A135,'OI(Volume)'!$A$7:$O$427,11)</f>
        <v>7148750</v>
      </c>
      <c r="K135" s="103">
        <f>VLOOKUP($A135,'OI(Volume)'!$A$7:$O$427,12)</f>
        <v>1005625</v>
      </c>
      <c r="L135" s="103">
        <f>VLOOKUP($A135,'OI(Value)'!$A$7:$O$306,8,0)</f>
        <v>2188</v>
      </c>
      <c r="M135" s="103">
        <f>VLOOKUP($A135,'OI(Value)'!$A$7:$O$306,9,0)</f>
        <v>58</v>
      </c>
      <c r="N135" s="103">
        <f>VLOOKUP($A135,'OI(Value)'!$A$7:$O$306,11,0)</f>
        <v>1651</v>
      </c>
      <c r="O135" s="103">
        <f>VLOOKUP($A135,'OI(Value)'!$A$7:$O$306,12,0)</f>
        <v>232</v>
      </c>
      <c r="P135" s="179">
        <f>VLOOKUP(A135,'OI(Value)'!A135:O336,8,0)</f>
        <v>2188</v>
      </c>
      <c r="Q135" s="179">
        <f>VLOOKUP(A135,'OI(Value)'!A135:O336,9,0)</f>
        <v>58</v>
      </c>
      <c r="R135" s="179">
        <f>VLOOKUP(A135,'OI(Value)'!A135:O336,11,0)</f>
        <v>1651</v>
      </c>
      <c r="S135" s="179">
        <f>VLOOKUP(A135,'OI(Value)'!A135:O336,11,0)</f>
        <v>1651</v>
      </c>
    </row>
    <row r="136" spans="1:19" x14ac:dyDescent="0.25">
      <c r="A136" s="105" t="str">
        <f>'Data shares'!C131</f>
        <v>MFSL</v>
      </c>
      <c r="B136" s="143">
        <f>VLOOKUP($A136,'Data shares'!$C:$FA,118)</f>
        <v>0.68</v>
      </c>
      <c r="C136" s="143">
        <f>VLOOKUP($A136,'Data shares'!$C:$FA,119)</f>
        <v>0.75</v>
      </c>
      <c r="D136" s="143">
        <f>VLOOKUP($A136,'Data shares'!$C:$FA,121)*100</f>
        <v>-9.33</v>
      </c>
      <c r="E136" s="143">
        <f>VLOOKUP($A136,'Data shares'!$C:$FA,124)</f>
        <v>0.24</v>
      </c>
      <c r="F136" s="143">
        <f>VLOOKUP($A136,'Data shares'!$C:$FA,125)</f>
        <v>0.23</v>
      </c>
      <c r="G136" s="143">
        <f>VLOOKUP($A136,'Data shares'!$C:$FA,127)*100</f>
        <v>4.3499999999999996</v>
      </c>
      <c r="H136" s="103">
        <f>VLOOKUP($A136,'OI(Volume)'!$A$7:$O$427,8)</f>
        <v>1454800</v>
      </c>
      <c r="I136" s="103">
        <f>VLOOKUP($A136,'OI(Volume)'!$A$7:$O$427,9)</f>
        <v>273600</v>
      </c>
      <c r="J136" s="103">
        <f>VLOOKUP($A136,'OI(Volume)'!$A$7:$O$427,11)</f>
        <v>993200</v>
      </c>
      <c r="K136" s="103">
        <f>VLOOKUP($A136,'OI(Volume)'!$A$7:$O$427,12)</f>
        <v>105200</v>
      </c>
      <c r="L136" s="103">
        <f>VLOOKUP($A136,'OI(Value)'!$A$7:$O$306,8,0)</f>
        <v>252</v>
      </c>
      <c r="M136" s="103">
        <f>VLOOKUP($A136,'OI(Value)'!$A$7:$O$306,9,0)</f>
        <v>47</v>
      </c>
      <c r="N136" s="103">
        <f>VLOOKUP($A136,'OI(Value)'!$A$7:$O$306,11,0)</f>
        <v>172</v>
      </c>
      <c r="O136" s="103">
        <f>VLOOKUP($A136,'OI(Value)'!$A$7:$O$306,12,0)</f>
        <v>18</v>
      </c>
      <c r="P136" s="179">
        <f>VLOOKUP(A136,'OI(Value)'!A136:O337,8,0)</f>
        <v>252</v>
      </c>
      <c r="Q136" s="179">
        <f>VLOOKUP(A136,'OI(Value)'!A136:O337,9,0)</f>
        <v>47</v>
      </c>
      <c r="R136" s="179">
        <f>VLOOKUP(A136,'OI(Value)'!A136:O337,11,0)</f>
        <v>172</v>
      </c>
      <c r="S136" s="179">
        <f>VLOOKUP(A136,'OI(Value)'!A136:O337,11,0)</f>
        <v>172</v>
      </c>
    </row>
    <row r="137" spans="1:19" x14ac:dyDescent="0.25">
      <c r="A137" s="105" t="str">
        <f>'Data shares'!C132</f>
        <v>MIDCPNIFTY</v>
      </c>
      <c r="B137" s="143">
        <f>VLOOKUP($A137,'Data shares'!$C:$FA,118)</f>
        <v>1.19</v>
      </c>
      <c r="C137" s="143">
        <f>VLOOKUP($A137,'Data shares'!$C:$FA,119)</f>
        <v>1.1200000000000001</v>
      </c>
      <c r="D137" s="143">
        <f>VLOOKUP($A137,'Data shares'!$C:$FA,121)*100</f>
        <v>6.25</v>
      </c>
      <c r="E137" s="143">
        <f>VLOOKUP($A137,'Data shares'!$C:$FA,124)</f>
        <v>1.08</v>
      </c>
      <c r="F137" s="143">
        <f>VLOOKUP($A137,'Data shares'!$C:$FA,125)</f>
        <v>1.1000000000000001</v>
      </c>
      <c r="G137" s="143">
        <f>VLOOKUP($A137,'Data shares'!$C:$FA,127)*100</f>
        <v>-1.82</v>
      </c>
      <c r="H137" s="103">
        <f>VLOOKUP($A137,'OI(Volume)'!$A$7:$O$427,8)</f>
        <v>6744240</v>
      </c>
      <c r="I137" s="103">
        <f>VLOOKUP($A137,'OI(Volume)'!$A$7:$O$427,9)</f>
        <v>847080</v>
      </c>
      <c r="J137" s="103">
        <f>VLOOKUP($A137,'OI(Volume)'!$A$7:$O$427,11)</f>
        <v>8002320</v>
      </c>
      <c r="K137" s="103">
        <f>VLOOKUP($A137,'OI(Volume)'!$A$7:$O$427,12)</f>
        <v>1384680</v>
      </c>
      <c r="L137" s="103">
        <f>VLOOKUP($A137,'OI(Value)'!$A$7:$O$306,8,0)</f>
        <v>9518</v>
      </c>
      <c r="M137" s="103">
        <f>VLOOKUP($A137,'OI(Value)'!$A$7:$O$306,9,0)</f>
        <v>1196</v>
      </c>
      <c r="N137" s="103">
        <f>VLOOKUP($A137,'OI(Value)'!$A$7:$O$306,11,0)</f>
        <v>11294</v>
      </c>
      <c r="O137" s="103">
        <f>VLOOKUP($A137,'OI(Value)'!$A$7:$O$306,12,0)</f>
        <v>1954</v>
      </c>
      <c r="P137" s="179">
        <f>VLOOKUP(A137,'OI(Value)'!A137:O338,8,0)</f>
        <v>9518</v>
      </c>
      <c r="Q137" s="179">
        <f>VLOOKUP(A137,'OI(Value)'!A137:O338,9,0)</f>
        <v>1196</v>
      </c>
      <c r="R137" s="179">
        <f>VLOOKUP(A137,'OI(Value)'!A137:O338,11,0)</f>
        <v>11294</v>
      </c>
      <c r="S137" s="179">
        <f>VLOOKUP(A137,'OI(Value)'!A137:O338,11,0)</f>
        <v>11294</v>
      </c>
    </row>
    <row r="138" spans="1:19" x14ac:dyDescent="0.25">
      <c r="A138" s="105" t="str">
        <f>'Data shares'!C133</f>
        <v>MOTHERSON</v>
      </c>
      <c r="B138" s="143">
        <f>VLOOKUP($A138,'Data shares'!$C:$FA,118)</f>
        <v>0.64</v>
      </c>
      <c r="C138" s="143">
        <f>VLOOKUP($A138,'Data shares'!$C:$FA,119)</f>
        <v>0.69</v>
      </c>
      <c r="D138" s="143">
        <f>VLOOKUP($A138,'Data shares'!$C:$FA,121)*100</f>
        <v>-7.2499999999999991</v>
      </c>
      <c r="E138" s="143">
        <f>VLOOKUP($A138,'Data shares'!$C:$FA,124)</f>
        <v>0.36</v>
      </c>
      <c r="F138" s="143">
        <f>VLOOKUP($A138,'Data shares'!$C:$FA,125)</f>
        <v>0.49</v>
      </c>
      <c r="G138" s="143">
        <f>VLOOKUP($A138,'Data shares'!$C:$FA,127)*100</f>
        <v>-26.529999999999998</v>
      </c>
      <c r="H138" s="103">
        <f>VLOOKUP($A138,'OI(Volume)'!$A$7:$O$427,8)</f>
        <v>55362300</v>
      </c>
      <c r="I138" s="103">
        <f>VLOOKUP($A138,'OI(Volume)'!$A$7:$O$427,9)</f>
        <v>6383700</v>
      </c>
      <c r="J138" s="103">
        <f>VLOOKUP($A138,'OI(Volume)'!$A$7:$O$427,11)</f>
        <v>35257950</v>
      </c>
      <c r="K138" s="103">
        <f>VLOOKUP($A138,'OI(Volume)'!$A$7:$O$427,12)</f>
        <v>1266900</v>
      </c>
      <c r="L138" s="103">
        <f>VLOOKUP($A138,'OI(Value)'!$A$7:$O$306,8,0)</f>
        <v>663</v>
      </c>
      <c r="M138" s="103">
        <f>VLOOKUP($A138,'OI(Value)'!$A$7:$O$306,9,0)</f>
        <v>76</v>
      </c>
      <c r="N138" s="103">
        <f>VLOOKUP($A138,'OI(Value)'!$A$7:$O$306,11,0)</f>
        <v>422</v>
      </c>
      <c r="O138" s="103">
        <f>VLOOKUP($A138,'OI(Value)'!$A$7:$O$306,12,0)</f>
        <v>15</v>
      </c>
      <c r="P138" s="179">
        <f>VLOOKUP(A138,'OI(Value)'!A138:O339,8,0)</f>
        <v>663</v>
      </c>
      <c r="Q138" s="179">
        <f>VLOOKUP(A138,'OI(Value)'!A138:O339,9,0)</f>
        <v>76</v>
      </c>
      <c r="R138" s="179">
        <f>VLOOKUP(A138,'OI(Value)'!A138:O339,11,0)</f>
        <v>422</v>
      </c>
      <c r="S138" s="179">
        <f>VLOOKUP(A138,'OI(Value)'!A138:O339,11,0)</f>
        <v>422</v>
      </c>
    </row>
    <row r="139" spans="1:19" x14ac:dyDescent="0.25">
      <c r="A139" s="105" t="str">
        <f>'Data shares'!C134</f>
        <v>MPHASIS</v>
      </c>
      <c r="B139" s="143">
        <f>VLOOKUP($A139,'Data shares'!$C:$FA,118)</f>
        <v>0.7</v>
      </c>
      <c r="C139" s="143">
        <f>VLOOKUP($A139,'Data shares'!$C:$FA,119)</f>
        <v>0.64</v>
      </c>
      <c r="D139" s="143">
        <f>VLOOKUP($A139,'Data shares'!$C:$FA,121)*100</f>
        <v>9.370000000000001</v>
      </c>
      <c r="E139" s="143">
        <f>VLOOKUP($A139,'Data shares'!$C:$FA,124)</f>
        <v>0.16</v>
      </c>
      <c r="F139" s="143">
        <f>VLOOKUP($A139,'Data shares'!$C:$FA,125)</f>
        <v>0.39</v>
      </c>
      <c r="G139" s="143">
        <f>VLOOKUP($A139,'Data shares'!$C:$FA,127)*100</f>
        <v>-58.97</v>
      </c>
      <c r="H139" s="103">
        <f>VLOOKUP($A139,'OI(Volume)'!$A$7:$O$427,8)</f>
        <v>945725</v>
      </c>
      <c r="I139" s="103">
        <f>VLOOKUP($A139,'OI(Volume)'!$A$7:$O$427,9)</f>
        <v>-42625</v>
      </c>
      <c r="J139" s="103">
        <f>VLOOKUP($A139,'OI(Volume)'!$A$7:$O$427,11)</f>
        <v>664125</v>
      </c>
      <c r="K139" s="103">
        <f>VLOOKUP($A139,'OI(Volume)'!$A$7:$O$427,12)</f>
        <v>27225</v>
      </c>
      <c r="L139" s="103">
        <f>VLOOKUP($A139,'OI(Value)'!$A$7:$O$306,8,0)</f>
        <v>273</v>
      </c>
      <c r="M139" s="103">
        <f>VLOOKUP($A139,'OI(Value)'!$A$7:$O$306,9,0)</f>
        <v>-12</v>
      </c>
      <c r="N139" s="103">
        <f>VLOOKUP($A139,'OI(Value)'!$A$7:$O$306,11,0)</f>
        <v>192</v>
      </c>
      <c r="O139" s="103">
        <f>VLOOKUP($A139,'OI(Value)'!$A$7:$O$306,12,0)</f>
        <v>8</v>
      </c>
      <c r="P139" s="179">
        <f>VLOOKUP(A139,'OI(Value)'!A139:O340,8,0)</f>
        <v>273</v>
      </c>
      <c r="Q139" s="179">
        <f>VLOOKUP(A139,'OI(Value)'!A139:O340,9,0)</f>
        <v>-12</v>
      </c>
      <c r="R139" s="179">
        <f>VLOOKUP(A139,'OI(Value)'!A139:O340,11,0)</f>
        <v>192</v>
      </c>
      <c r="S139" s="179">
        <f>VLOOKUP(A139,'OI(Value)'!A139:O340,11,0)</f>
        <v>192</v>
      </c>
    </row>
    <row r="140" spans="1:19" x14ac:dyDescent="0.25">
      <c r="A140" s="105" t="str">
        <f>'Data shares'!C135</f>
        <v>MUTHOOTFIN</v>
      </c>
      <c r="B140" s="143">
        <f>VLOOKUP($A140,'Data shares'!$C:$FA,118)</f>
        <v>0.74</v>
      </c>
      <c r="C140" s="143">
        <f>VLOOKUP($A140,'Data shares'!$C:$FA,119)</f>
        <v>0.71</v>
      </c>
      <c r="D140" s="143">
        <f>VLOOKUP($A140,'Data shares'!$C:$FA,121)*100</f>
        <v>4.2299999999999995</v>
      </c>
      <c r="E140" s="143">
        <f>VLOOKUP($A140,'Data shares'!$C:$FA,124)</f>
        <v>0.48</v>
      </c>
      <c r="F140" s="143">
        <f>VLOOKUP($A140,'Data shares'!$C:$FA,125)</f>
        <v>0.41</v>
      </c>
      <c r="G140" s="143">
        <f>VLOOKUP($A140,'Data shares'!$C:$FA,127)*100</f>
        <v>17.07</v>
      </c>
      <c r="H140" s="103">
        <f>VLOOKUP($A140,'OI(Volume)'!$A$7:$O$427,8)</f>
        <v>2052050</v>
      </c>
      <c r="I140" s="103">
        <f>VLOOKUP($A140,'OI(Volume)'!$A$7:$O$427,9)</f>
        <v>89650</v>
      </c>
      <c r="J140" s="103">
        <f>VLOOKUP($A140,'OI(Volume)'!$A$7:$O$427,11)</f>
        <v>1526250</v>
      </c>
      <c r="K140" s="103">
        <f>VLOOKUP($A140,'OI(Volume)'!$A$7:$O$427,12)</f>
        <v>126225</v>
      </c>
      <c r="L140" s="103">
        <f>VLOOKUP($A140,'OI(Value)'!$A$7:$O$306,8,0)</f>
        <v>815</v>
      </c>
      <c r="M140" s="103">
        <f>VLOOKUP($A140,'OI(Value)'!$A$7:$O$306,9,0)</f>
        <v>36</v>
      </c>
      <c r="N140" s="103">
        <f>VLOOKUP($A140,'OI(Value)'!$A$7:$O$306,11,0)</f>
        <v>606</v>
      </c>
      <c r="O140" s="103">
        <f>VLOOKUP($A140,'OI(Value)'!$A$7:$O$306,12,0)</f>
        <v>50</v>
      </c>
      <c r="P140" s="179">
        <f>VLOOKUP(A140,'OI(Value)'!A140:O341,8,0)</f>
        <v>815</v>
      </c>
      <c r="Q140" s="179">
        <f>VLOOKUP(A140,'OI(Value)'!A140:O341,9,0)</f>
        <v>36</v>
      </c>
      <c r="R140" s="179">
        <f>VLOOKUP(A140,'OI(Value)'!A140:O341,11,0)</f>
        <v>606</v>
      </c>
      <c r="S140" s="179">
        <f>VLOOKUP(A140,'OI(Value)'!A140:O341,11,0)</f>
        <v>606</v>
      </c>
    </row>
    <row r="141" spans="1:19" x14ac:dyDescent="0.25">
      <c r="A141" s="105" t="str">
        <f>'Data shares'!C136</f>
        <v>NATIONALUM</v>
      </c>
      <c r="B141" s="143">
        <f>VLOOKUP($A141,'Data shares'!$C:$FA,118)</f>
        <v>0.92</v>
      </c>
      <c r="C141" s="143">
        <f>VLOOKUP($A141,'Data shares'!$C:$FA,119)</f>
        <v>0.78</v>
      </c>
      <c r="D141" s="143">
        <f>VLOOKUP($A141,'Data shares'!$C:$FA,121)*100</f>
        <v>17.95</v>
      </c>
      <c r="E141" s="143">
        <f>VLOOKUP($A141,'Data shares'!$C:$FA,124)</f>
        <v>0.43</v>
      </c>
      <c r="F141" s="143">
        <f>VLOOKUP($A141,'Data shares'!$C:$FA,125)</f>
        <v>0.34</v>
      </c>
      <c r="G141" s="143">
        <f>VLOOKUP($A141,'Data shares'!$C:$FA,127)*100</f>
        <v>26.47</v>
      </c>
      <c r="H141" s="103">
        <f>VLOOKUP($A141,'OI(Volume)'!$A$7:$O$427,8)</f>
        <v>46905000</v>
      </c>
      <c r="I141" s="103">
        <f>VLOOKUP($A141,'OI(Volume)'!$A$7:$O$427,9)</f>
        <v>-5223750</v>
      </c>
      <c r="J141" s="103">
        <f>VLOOKUP($A141,'OI(Volume)'!$A$7:$O$427,11)</f>
        <v>43222500</v>
      </c>
      <c r="K141" s="103">
        <f>VLOOKUP($A141,'OI(Volume)'!$A$7:$O$427,12)</f>
        <v>2771250</v>
      </c>
      <c r="L141" s="103">
        <f>VLOOKUP($A141,'OI(Value)'!$A$7:$O$306,8,0)</f>
        <v>1650</v>
      </c>
      <c r="M141" s="103">
        <f>VLOOKUP($A141,'OI(Value)'!$A$7:$O$306,9,0)</f>
        <v>-184</v>
      </c>
      <c r="N141" s="103">
        <f>VLOOKUP($A141,'OI(Value)'!$A$7:$O$306,11,0)</f>
        <v>1521</v>
      </c>
      <c r="O141" s="103">
        <f>VLOOKUP($A141,'OI(Value)'!$A$7:$O$306,12,0)</f>
        <v>97</v>
      </c>
      <c r="P141" s="179">
        <f>VLOOKUP(A141,'OI(Value)'!A141:O342,8,0)</f>
        <v>1650</v>
      </c>
      <c r="Q141" s="179">
        <f>VLOOKUP(A141,'OI(Value)'!A141:O342,9,0)</f>
        <v>-184</v>
      </c>
      <c r="R141" s="179">
        <f>VLOOKUP(A141,'OI(Value)'!A141:O342,11,0)</f>
        <v>1521</v>
      </c>
      <c r="S141" s="179">
        <f>VLOOKUP(A141,'OI(Value)'!A141:O342,11,0)</f>
        <v>1521</v>
      </c>
    </row>
    <row r="142" spans="1:19" x14ac:dyDescent="0.25">
      <c r="A142" s="105" t="str">
        <f>'Data shares'!C137</f>
        <v>NAUKRI</v>
      </c>
      <c r="B142" s="143">
        <f>VLOOKUP($A142,'Data shares'!$C:$FA,118)</f>
        <v>0.55000000000000004</v>
      </c>
      <c r="C142" s="143">
        <f>VLOOKUP($A142,'Data shares'!$C:$FA,119)</f>
        <v>0.76</v>
      </c>
      <c r="D142" s="143">
        <f>VLOOKUP($A142,'Data shares'!$C:$FA,121)*100</f>
        <v>-27.63</v>
      </c>
      <c r="E142" s="143">
        <f>VLOOKUP($A142,'Data shares'!$C:$FA,124)</f>
        <v>0.23</v>
      </c>
      <c r="F142" s="143">
        <f>VLOOKUP($A142,'Data shares'!$C:$FA,125)</f>
        <v>0.68</v>
      </c>
      <c r="G142" s="143">
        <f>VLOOKUP($A142,'Data shares'!$C:$FA,127)*100</f>
        <v>-66.180000000000007</v>
      </c>
      <c r="H142" s="103">
        <f>VLOOKUP($A142,'OI(Volume)'!$A$7:$O$427,8)</f>
        <v>3474000</v>
      </c>
      <c r="I142" s="103">
        <f>VLOOKUP($A142,'OI(Volume)'!$A$7:$O$427,9)</f>
        <v>1315875</v>
      </c>
      <c r="J142" s="103">
        <f>VLOOKUP($A142,'OI(Volume)'!$A$7:$O$427,11)</f>
        <v>1927500</v>
      </c>
      <c r="K142" s="103">
        <f>VLOOKUP($A142,'OI(Volume)'!$A$7:$O$427,12)</f>
        <v>295875</v>
      </c>
      <c r="L142" s="103">
        <f>VLOOKUP($A142,'OI(Value)'!$A$7:$O$306,8,0)</f>
        <v>473</v>
      </c>
      <c r="M142" s="103">
        <f>VLOOKUP($A142,'OI(Value)'!$A$7:$O$306,9,0)</f>
        <v>179</v>
      </c>
      <c r="N142" s="103">
        <f>VLOOKUP($A142,'OI(Value)'!$A$7:$O$306,11,0)</f>
        <v>262</v>
      </c>
      <c r="O142" s="103">
        <f>VLOOKUP($A142,'OI(Value)'!$A$7:$O$306,12,0)</f>
        <v>40</v>
      </c>
      <c r="P142" s="179">
        <f>VLOOKUP(A142,'OI(Value)'!A142:O343,8,0)</f>
        <v>473</v>
      </c>
      <c r="Q142" s="179">
        <f>VLOOKUP(A142,'OI(Value)'!A142:O343,9,0)</f>
        <v>179</v>
      </c>
      <c r="R142" s="179">
        <f>VLOOKUP(A142,'OI(Value)'!A142:O343,11,0)</f>
        <v>262</v>
      </c>
      <c r="S142" s="179">
        <f>VLOOKUP(A142,'OI(Value)'!A142:O343,11,0)</f>
        <v>262</v>
      </c>
    </row>
    <row r="143" spans="1:19" x14ac:dyDescent="0.25">
      <c r="A143" s="105" t="str">
        <f>'Data shares'!C138</f>
        <v>NBCC</v>
      </c>
      <c r="B143" s="143">
        <f>VLOOKUP($A143,'Data shares'!$C:$FA,118)</f>
        <v>0.48</v>
      </c>
      <c r="C143" s="143">
        <f>VLOOKUP($A143,'Data shares'!$C:$FA,119)</f>
        <v>0.51</v>
      </c>
      <c r="D143" s="143">
        <f>VLOOKUP($A143,'Data shares'!$C:$FA,121)*100</f>
        <v>-5.88</v>
      </c>
      <c r="E143" s="143">
        <f>VLOOKUP($A143,'Data shares'!$C:$FA,124)</f>
        <v>0.43</v>
      </c>
      <c r="F143" s="143">
        <f>VLOOKUP($A143,'Data shares'!$C:$FA,125)</f>
        <v>0.3</v>
      </c>
      <c r="G143" s="143">
        <f>VLOOKUP($A143,'Data shares'!$C:$FA,127)*100</f>
        <v>43.33</v>
      </c>
      <c r="H143" s="103">
        <f>VLOOKUP($A143,'OI(Volume)'!$A$7:$O$427,8)</f>
        <v>50895000</v>
      </c>
      <c r="I143" s="103">
        <f>VLOOKUP($A143,'OI(Volume)'!$A$7:$O$427,9)</f>
        <v>7813000</v>
      </c>
      <c r="J143" s="103">
        <f>VLOOKUP($A143,'OI(Volume)'!$A$7:$O$427,11)</f>
        <v>24466000</v>
      </c>
      <c r="K143" s="103">
        <f>VLOOKUP($A143,'OI(Volume)'!$A$7:$O$427,12)</f>
        <v>2424500</v>
      </c>
      <c r="L143" s="103">
        <f>VLOOKUP($A143,'OI(Value)'!$A$7:$O$306,8,0)</f>
        <v>592</v>
      </c>
      <c r="M143" s="103">
        <f>VLOOKUP($A143,'OI(Value)'!$A$7:$O$306,9,0)</f>
        <v>91</v>
      </c>
      <c r="N143" s="103">
        <f>VLOOKUP($A143,'OI(Value)'!$A$7:$O$306,11,0)</f>
        <v>285</v>
      </c>
      <c r="O143" s="103">
        <f>VLOOKUP($A143,'OI(Value)'!$A$7:$O$306,12,0)</f>
        <v>28</v>
      </c>
      <c r="P143" s="179">
        <f>VLOOKUP(A143,'OI(Value)'!A143:O344,8,0)</f>
        <v>592</v>
      </c>
      <c r="Q143" s="179">
        <f>VLOOKUP(A143,'OI(Value)'!A143:O344,9,0)</f>
        <v>91</v>
      </c>
      <c r="R143" s="179">
        <f>VLOOKUP(A143,'OI(Value)'!A143:O344,11,0)</f>
        <v>285</v>
      </c>
      <c r="S143" s="179">
        <f>VLOOKUP(A143,'OI(Value)'!A143:O344,11,0)</f>
        <v>285</v>
      </c>
    </row>
    <row r="144" spans="1:19" x14ac:dyDescent="0.25">
      <c r="A144" s="105" t="str">
        <f>'Data shares'!C139</f>
        <v>NESTLEIND</v>
      </c>
      <c r="B144" s="143">
        <f>VLOOKUP($A144,'Data shares'!$C:$FA,118)</f>
        <v>0.7</v>
      </c>
      <c r="C144" s="143">
        <f>VLOOKUP($A144,'Data shares'!$C:$FA,119)</f>
        <v>0.69</v>
      </c>
      <c r="D144" s="143">
        <f>VLOOKUP($A144,'Data shares'!$C:$FA,121)*100</f>
        <v>1.4500000000000002</v>
      </c>
      <c r="E144" s="143">
        <f>VLOOKUP($A144,'Data shares'!$C:$FA,124)</f>
        <v>0.52</v>
      </c>
      <c r="F144" s="143">
        <f>VLOOKUP($A144,'Data shares'!$C:$FA,125)</f>
        <v>0.45</v>
      </c>
      <c r="G144" s="143">
        <f>VLOOKUP($A144,'Data shares'!$C:$FA,127)*100</f>
        <v>15.559999999999999</v>
      </c>
      <c r="H144" s="103">
        <f>VLOOKUP($A144,'OI(Volume)'!$A$7:$O$427,8)</f>
        <v>3210500</v>
      </c>
      <c r="I144" s="103">
        <f>VLOOKUP($A144,'OI(Volume)'!$A$7:$O$427,9)</f>
        <v>-17000</v>
      </c>
      <c r="J144" s="103">
        <f>VLOOKUP($A144,'OI(Volume)'!$A$7:$O$427,11)</f>
        <v>2231500</v>
      </c>
      <c r="K144" s="103">
        <f>VLOOKUP($A144,'OI(Volume)'!$A$7:$O$427,12)</f>
        <v>17500</v>
      </c>
      <c r="L144" s="103">
        <f>VLOOKUP($A144,'OI(Value)'!$A$7:$O$306,8,0)</f>
        <v>424</v>
      </c>
      <c r="M144" s="103">
        <f>VLOOKUP($A144,'OI(Value)'!$A$7:$O$306,9,0)</f>
        <v>-2</v>
      </c>
      <c r="N144" s="103">
        <f>VLOOKUP($A144,'OI(Value)'!$A$7:$O$306,11,0)</f>
        <v>295</v>
      </c>
      <c r="O144" s="103">
        <f>VLOOKUP($A144,'OI(Value)'!$A$7:$O$306,12,0)</f>
        <v>2</v>
      </c>
      <c r="P144" s="179">
        <f>VLOOKUP(A144,'OI(Value)'!A144:O345,8,0)</f>
        <v>424</v>
      </c>
      <c r="Q144" s="179">
        <f>VLOOKUP(A144,'OI(Value)'!A144:O345,9,0)</f>
        <v>-2</v>
      </c>
      <c r="R144" s="179">
        <f>VLOOKUP(A144,'OI(Value)'!A144:O345,11,0)</f>
        <v>295</v>
      </c>
      <c r="S144" s="179">
        <f>VLOOKUP(A144,'OI(Value)'!A144:O345,11,0)</f>
        <v>295</v>
      </c>
    </row>
    <row r="145" spans="1:19" x14ac:dyDescent="0.25">
      <c r="A145" s="105" t="str">
        <f>'Data shares'!C140</f>
        <v>NHPC</v>
      </c>
      <c r="B145" s="143">
        <f>VLOOKUP($A145,'Data shares'!$C:$FA,118)</f>
        <v>0.53</v>
      </c>
      <c r="C145" s="143">
        <f>VLOOKUP($A145,'Data shares'!$C:$FA,119)</f>
        <v>0.55000000000000004</v>
      </c>
      <c r="D145" s="143">
        <f>VLOOKUP($A145,'Data shares'!$C:$FA,121)*100</f>
        <v>-3.64</v>
      </c>
      <c r="E145" s="143">
        <f>VLOOKUP($A145,'Data shares'!$C:$FA,124)</f>
        <v>0.4</v>
      </c>
      <c r="F145" s="143">
        <f>VLOOKUP($A145,'Data shares'!$C:$FA,125)</f>
        <v>0.41</v>
      </c>
      <c r="G145" s="143">
        <f>VLOOKUP($A145,'Data shares'!$C:$FA,127)*100</f>
        <v>-2.44</v>
      </c>
      <c r="H145" s="103">
        <f>VLOOKUP($A145,'OI(Volume)'!$A$7:$O$427,8)</f>
        <v>34720000</v>
      </c>
      <c r="I145" s="103">
        <f>VLOOKUP($A145,'OI(Volume)'!$A$7:$O$427,9)</f>
        <v>1318400</v>
      </c>
      <c r="J145" s="103">
        <f>VLOOKUP($A145,'OI(Volume)'!$A$7:$O$427,11)</f>
        <v>18444800</v>
      </c>
      <c r="K145" s="103">
        <f>VLOOKUP($A145,'OI(Volume)'!$A$7:$O$427,12)</f>
        <v>70400</v>
      </c>
      <c r="L145" s="103">
        <f>VLOOKUP($A145,'OI(Value)'!$A$7:$O$306,8,0)</f>
        <v>291</v>
      </c>
      <c r="M145" s="103">
        <f>VLOOKUP($A145,'OI(Value)'!$A$7:$O$306,9,0)</f>
        <v>11</v>
      </c>
      <c r="N145" s="103">
        <f>VLOOKUP($A145,'OI(Value)'!$A$7:$O$306,11,0)</f>
        <v>155</v>
      </c>
      <c r="O145" s="103">
        <f>VLOOKUP($A145,'OI(Value)'!$A$7:$O$306,12,0)</f>
        <v>1</v>
      </c>
      <c r="P145" s="179">
        <f>VLOOKUP(A145,'OI(Value)'!A145:O346,8,0)</f>
        <v>291</v>
      </c>
      <c r="Q145" s="179">
        <f>VLOOKUP(A145,'OI(Value)'!A145:O346,9,0)</f>
        <v>11</v>
      </c>
      <c r="R145" s="179">
        <f>VLOOKUP(A145,'OI(Value)'!A145:O346,11,0)</f>
        <v>155</v>
      </c>
      <c r="S145" s="179">
        <f>VLOOKUP(A145,'OI(Value)'!A145:O346,11,0)</f>
        <v>155</v>
      </c>
    </row>
    <row r="146" spans="1:19" x14ac:dyDescent="0.25">
      <c r="A146" s="105" t="str">
        <f>'Data shares'!C141</f>
        <v>NIFTY</v>
      </c>
      <c r="B146" s="143">
        <f>VLOOKUP($A146,'Data shares'!$C:$FA,118)</f>
        <v>0.89</v>
      </c>
      <c r="C146" s="143">
        <f>VLOOKUP($A146,'Data shares'!$C:$FA,119)</f>
        <v>0.92</v>
      </c>
      <c r="D146" s="143">
        <f>VLOOKUP($A146,'Data shares'!$C:$FA,121)*100</f>
        <v>-3.26</v>
      </c>
      <c r="E146" s="143">
        <f>VLOOKUP($A146,'Data shares'!$C:$FA,124)</f>
        <v>0.98</v>
      </c>
      <c r="F146" s="143">
        <f>VLOOKUP($A146,'Data shares'!$C:$FA,125)</f>
        <v>1.06</v>
      </c>
      <c r="G146" s="143">
        <f>VLOOKUP($A146,'Data shares'!$C:$FA,127)*100</f>
        <v>-7.55</v>
      </c>
      <c r="H146" s="103">
        <f>VLOOKUP($A146,'OI(Volume)'!$A$7:$O$427,8)</f>
        <v>212515535</v>
      </c>
      <c r="I146" s="103">
        <f>VLOOKUP($A146,'OI(Volume)'!$A$7:$O$427,9)</f>
        <v>50059695</v>
      </c>
      <c r="J146" s="103">
        <f>VLOOKUP($A146,'OI(Volume)'!$A$7:$O$427,11)</f>
        <v>188515040</v>
      </c>
      <c r="K146" s="103">
        <f>VLOOKUP($A146,'OI(Volume)'!$A$7:$O$427,12)</f>
        <v>38382460</v>
      </c>
      <c r="L146" s="103">
        <f>VLOOKUP($A146,'OI(Value)'!$A$7:$O$306,8,0)</f>
        <v>557541</v>
      </c>
      <c r="M146" s="103">
        <f>VLOOKUP($A146,'OI(Value)'!$A$7:$O$306,9,0)</f>
        <v>131333</v>
      </c>
      <c r="N146" s="103">
        <f>VLOOKUP($A146,'OI(Value)'!$A$7:$O$306,11,0)</f>
        <v>494575</v>
      </c>
      <c r="O146" s="103">
        <f>VLOOKUP($A146,'OI(Value)'!$A$7:$O$306,12,0)</f>
        <v>100698</v>
      </c>
      <c r="P146" s="179">
        <f>VLOOKUP(A146,'OI(Value)'!A146:O347,8,0)</f>
        <v>557541</v>
      </c>
      <c r="Q146" s="179">
        <f>VLOOKUP(A146,'OI(Value)'!A146:O347,9,0)</f>
        <v>131333</v>
      </c>
      <c r="R146" s="179">
        <f>VLOOKUP(A146,'OI(Value)'!A146:O347,11,0)</f>
        <v>494575</v>
      </c>
      <c r="S146" s="179">
        <f>VLOOKUP(A146,'OI(Value)'!A146:O347,11,0)</f>
        <v>494575</v>
      </c>
    </row>
    <row r="147" spans="1:19" x14ac:dyDescent="0.25">
      <c r="A147" s="105" t="str">
        <f>'Data shares'!C142</f>
        <v>NIFTYNXT50</v>
      </c>
      <c r="B147" s="143">
        <f>VLOOKUP($A147,'Data shares'!$C:$FA,118)</f>
        <v>1.1000000000000001</v>
      </c>
      <c r="C147" s="143">
        <f>VLOOKUP($A147,'Data shares'!$C:$FA,119)</f>
        <v>0.89</v>
      </c>
      <c r="D147" s="143">
        <f>VLOOKUP($A147,'Data shares'!$C:$FA,121)*100</f>
        <v>23.599999999999998</v>
      </c>
      <c r="E147" s="143">
        <f>VLOOKUP($A147,'Data shares'!$C:$FA,124)</f>
        <v>1.1599999999999999</v>
      </c>
      <c r="F147" s="143">
        <f>VLOOKUP($A147,'Data shares'!$C:$FA,125)</f>
        <v>0.45</v>
      </c>
      <c r="G147" s="143">
        <f>VLOOKUP($A147,'Data shares'!$C:$FA,127)*100</f>
        <v>157.78</v>
      </c>
      <c r="H147" s="103">
        <f>VLOOKUP($A147,'OI(Volume)'!$A$7:$O$427,8)</f>
        <v>4200</v>
      </c>
      <c r="I147" s="103">
        <f>VLOOKUP($A147,'OI(Volume)'!$A$7:$O$427,9)</f>
        <v>500</v>
      </c>
      <c r="J147" s="103">
        <f>VLOOKUP($A147,'OI(Volume)'!$A$7:$O$427,11)</f>
        <v>4600</v>
      </c>
      <c r="K147" s="103">
        <f>VLOOKUP($A147,'OI(Volume)'!$A$7:$O$427,12)</f>
        <v>1300</v>
      </c>
      <c r="L147" s="103">
        <f>VLOOKUP($A147,'OI(Value)'!$A$7:$O$306,8,0)</f>
        <v>30</v>
      </c>
      <c r="M147" s="103">
        <f>VLOOKUP($A147,'OI(Value)'!$A$7:$O$306,9,0)</f>
        <v>4</v>
      </c>
      <c r="N147" s="103">
        <f>VLOOKUP($A147,'OI(Value)'!$A$7:$O$306,11,0)</f>
        <v>33</v>
      </c>
      <c r="O147" s="103">
        <f>VLOOKUP($A147,'OI(Value)'!$A$7:$O$306,12,0)</f>
        <v>9</v>
      </c>
      <c r="P147" s="179">
        <f>VLOOKUP(A147,'OI(Value)'!A147:O348,8,0)</f>
        <v>30</v>
      </c>
      <c r="Q147" s="179">
        <f>VLOOKUP(A147,'OI(Value)'!A147:O348,9,0)</f>
        <v>4</v>
      </c>
      <c r="R147" s="179">
        <f>VLOOKUP(A147,'OI(Value)'!A147:O348,11,0)</f>
        <v>33</v>
      </c>
      <c r="S147" s="179">
        <f>VLOOKUP(A147,'OI(Value)'!A147:O348,11,0)</f>
        <v>33</v>
      </c>
    </row>
    <row r="148" spans="1:19" x14ac:dyDescent="0.25">
      <c r="A148" s="105" t="str">
        <f>'Data shares'!C143</f>
        <v>NMDC</v>
      </c>
      <c r="B148" s="143">
        <f>VLOOKUP($A148,'Data shares'!$C:$FA,118)</f>
        <v>0.49</v>
      </c>
      <c r="C148" s="143">
        <f>VLOOKUP($A148,'Data shares'!$C:$FA,119)</f>
        <v>0.45</v>
      </c>
      <c r="D148" s="143">
        <f>VLOOKUP($A148,'Data shares'!$C:$FA,121)*100</f>
        <v>8.89</v>
      </c>
      <c r="E148" s="143">
        <f>VLOOKUP($A148,'Data shares'!$C:$FA,124)</f>
        <v>0.28999999999999998</v>
      </c>
      <c r="F148" s="143">
        <f>VLOOKUP($A148,'Data shares'!$C:$FA,125)</f>
        <v>0.34</v>
      </c>
      <c r="G148" s="143">
        <f>VLOOKUP($A148,'Data shares'!$C:$FA,127)*100</f>
        <v>-14.71</v>
      </c>
      <c r="H148" s="103">
        <f>VLOOKUP($A148,'OI(Volume)'!$A$7:$O$427,8)</f>
        <v>127534500</v>
      </c>
      <c r="I148" s="103">
        <f>VLOOKUP($A148,'OI(Volume)'!$A$7:$O$427,9)</f>
        <v>-189000</v>
      </c>
      <c r="J148" s="103">
        <f>VLOOKUP($A148,'OI(Volume)'!$A$7:$O$427,11)</f>
        <v>62167500</v>
      </c>
      <c r="K148" s="103">
        <f>VLOOKUP($A148,'OI(Volume)'!$A$7:$O$427,12)</f>
        <v>4279500</v>
      </c>
      <c r="L148" s="103">
        <f>VLOOKUP($A148,'OI(Value)'!$A$7:$O$306,8,0)</f>
        <v>1103</v>
      </c>
      <c r="M148" s="103">
        <f>VLOOKUP($A148,'OI(Value)'!$A$7:$O$306,9,0)</f>
        <v>-2</v>
      </c>
      <c r="N148" s="103">
        <f>VLOOKUP($A148,'OI(Value)'!$A$7:$O$306,11,0)</f>
        <v>538</v>
      </c>
      <c r="O148" s="103">
        <f>VLOOKUP($A148,'OI(Value)'!$A$7:$O$306,12,0)</f>
        <v>37</v>
      </c>
      <c r="P148" s="179">
        <f>VLOOKUP(A148,'OI(Value)'!A148:O349,8,0)</f>
        <v>1103</v>
      </c>
      <c r="Q148" s="179">
        <f>VLOOKUP(A148,'OI(Value)'!A148:O349,9,0)</f>
        <v>-2</v>
      </c>
      <c r="R148" s="179">
        <f>VLOOKUP(A148,'OI(Value)'!A148:O349,11,0)</f>
        <v>538</v>
      </c>
      <c r="S148" s="179">
        <f>VLOOKUP(A148,'OI(Value)'!A148:O349,11,0)</f>
        <v>538</v>
      </c>
    </row>
    <row r="149" spans="1:19" x14ac:dyDescent="0.25">
      <c r="A149" s="105" t="str">
        <f>'Data shares'!C144</f>
        <v>NTPC</v>
      </c>
      <c r="B149" s="143">
        <f>VLOOKUP($A149,'Data shares'!$C:$FA,118)</f>
        <v>0.62</v>
      </c>
      <c r="C149" s="143">
        <f>VLOOKUP($A149,'Data shares'!$C:$FA,119)</f>
        <v>0.64</v>
      </c>
      <c r="D149" s="143">
        <f>VLOOKUP($A149,'Data shares'!$C:$FA,121)*100</f>
        <v>-3.1300000000000003</v>
      </c>
      <c r="E149" s="143">
        <f>VLOOKUP($A149,'Data shares'!$C:$FA,124)</f>
        <v>0.46</v>
      </c>
      <c r="F149" s="143">
        <f>VLOOKUP($A149,'Data shares'!$C:$FA,125)</f>
        <v>0.49</v>
      </c>
      <c r="G149" s="143">
        <f>VLOOKUP($A149,'Data shares'!$C:$FA,127)*100</f>
        <v>-6.12</v>
      </c>
      <c r="H149" s="103">
        <f>VLOOKUP($A149,'OI(Volume)'!$A$7:$O$427,8)</f>
        <v>42417000</v>
      </c>
      <c r="I149" s="103">
        <f>VLOOKUP($A149,'OI(Volume)'!$A$7:$O$427,9)</f>
        <v>751500</v>
      </c>
      <c r="J149" s="103">
        <f>VLOOKUP($A149,'OI(Volume)'!$A$7:$O$427,11)</f>
        <v>26217000</v>
      </c>
      <c r="K149" s="103">
        <f>VLOOKUP($A149,'OI(Volume)'!$A$7:$O$427,12)</f>
        <v>-472500</v>
      </c>
      <c r="L149" s="103">
        <f>VLOOKUP($A149,'OI(Value)'!$A$7:$O$306,8,0)</f>
        <v>1483</v>
      </c>
      <c r="M149" s="103">
        <f>VLOOKUP($A149,'OI(Value)'!$A$7:$O$306,9,0)</f>
        <v>26</v>
      </c>
      <c r="N149" s="103">
        <f>VLOOKUP($A149,'OI(Value)'!$A$7:$O$306,11,0)</f>
        <v>917</v>
      </c>
      <c r="O149" s="103">
        <f>VLOOKUP($A149,'OI(Value)'!$A$7:$O$306,12,0)</f>
        <v>-17</v>
      </c>
      <c r="P149" s="179">
        <f>VLOOKUP(A149,'OI(Value)'!A149:O350,8,0)</f>
        <v>1483</v>
      </c>
      <c r="Q149" s="179">
        <f>VLOOKUP(A149,'OI(Value)'!A149:O350,9,0)</f>
        <v>26</v>
      </c>
      <c r="R149" s="179">
        <f>VLOOKUP(A149,'OI(Value)'!A149:O350,11,0)</f>
        <v>917</v>
      </c>
      <c r="S149" s="179">
        <f>VLOOKUP(A149,'OI(Value)'!A149:O350,11,0)</f>
        <v>917</v>
      </c>
    </row>
    <row r="150" spans="1:19" x14ac:dyDescent="0.25">
      <c r="A150" s="105" t="str">
        <f>'Data shares'!C145</f>
        <v>NUVAMA</v>
      </c>
      <c r="B150" s="143">
        <f>VLOOKUP($A150,'Data shares'!$C:$FA,118)</f>
        <v>0.51</v>
      </c>
      <c r="C150" s="143">
        <f>VLOOKUP($A150,'Data shares'!$C:$FA,119)</f>
        <v>0.52</v>
      </c>
      <c r="D150" s="143">
        <f>VLOOKUP($A150,'Data shares'!$C:$FA,121)*100</f>
        <v>-1.92</v>
      </c>
      <c r="E150" s="143">
        <f>VLOOKUP($A150,'Data shares'!$C:$FA,124)</f>
        <v>0.18</v>
      </c>
      <c r="F150" s="143">
        <f>VLOOKUP($A150,'Data shares'!$C:$FA,125)</f>
        <v>0.32</v>
      </c>
      <c r="G150" s="143">
        <f>VLOOKUP($A150,'Data shares'!$C:$FA,127)*100</f>
        <v>-43.75</v>
      </c>
      <c r="H150" s="103">
        <f>VLOOKUP($A150,'OI(Volume)'!$A$7:$O$427,8)</f>
        <v>1343500</v>
      </c>
      <c r="I150" s="103">
        <f>VLOOKUP($A150,'OI(Volume)'!$A$7:$O$427,9)</f>
        <v>18000</v>
      </c>
      <c r="J150" s="103">
        <f>VLOOKUP($A150,'OI(Volume)'!$A$7:$O$427,11)</f>
        <v>684000</v>
      </c>
      <c r="K150" s="103">
        <f>VLOOKUP($A150,'OI(Volume)'!$A$7:$O$427,12)</f>
        <v>-11500</v>
      </c>
      <c r="L150" s="103">
        <f>VLOOKUP($A150,'OI(Value)'!$A$7:$O$306,8,0)</f>
        <v>200</v>
      </c>
      <c r="M150" s="103">
        <f>VLOOKUP($A150,'OI(Value)'!$A$7:$O$306,9,0)</f>
        <v>3</v>
      </c>
      <c r="N150" s="103">
        <f>VLOOKUP($A150,'OI(Value)'!$A$7:$O$306,11,0)</f>
        <v>102</v>
      </c>
      <c r="O150" s="103">
        <f>VLOOKUP($A150,'OI(Value)'!$A$7:$O$306,12,0)</f>
        <v>-2</v>
      </c>
      <c r="P150" s="179">
        <f>VLOOKUP(A150,'OI(Value)'!A150:O351,8,0)</f>
        <v>200</v>
      </c>
      <c r="Q150" s="179">
        <f>VLOOKUP(A150,'OI(Value)'!A150:O351,9,0)</f>
        <v>3</v>
      </c>
      <c r="R150" s="179">
        <f>VLOOKUP(A150,'OI(Value)'!A150:O351,11,0)</f>
        <v>102</v>
      </c>
      <c r="S150" s="179">
        <f>VLOOKUP(A150,'OI(Value)'!A150:O351,11,0)</f>
        <v>102</v>
      </c>
    </row>
    <row r="151" spans="1:19" x14ac:dyDescent="0.25">
      <c r="A151" s="105" t="str">
        <f>'Data shares'!C146</f>
        <v>NYKAA</v>
      </c>
      <c r="B151" s="143">
        <f>VLOOKUP($A151,'Data shares'!$C:$FA,118)</f>
        <v>0.84</v>
      </c>
      <c r="C151" s="143">
        <f>VLOOKUP($A151,'Data shares'!$C:$FA,119)</f>
        <v>0.9</v>
      </c>
      <c r="D151" s="143">
        <f>VLOOKUP($A151,'Data shares'!$C:$FA,121)*100</f>
        <v>-6.67</v>
      </c>
      <c r="E151" s="143">
        <f>VLOOKUP($A151,'Data shares'!$C:$FA,124)</f>
        <v>0.43</v>
      </c>
      <c r="F151" s="143">
        <f>VLOOKUP($A151,'Data shares'!$C:$FA,125)</f>
        <v>0.65</v>
      </c>
      <c r="G151" s="143">
        <f>VLOOKUP($A151,'Data shares'!$C:$FA,127)*100</f>
        <v>-33.85</v>
      </c>
      <c r="H151" s="103">
        <f>VLOOKUP($A151,'OI(Volume)'!$A$7:$O$427,8)</f>
        <v>10512500</v>
      </c>
      <c r="I151" s="103">
        <f>VLOOKUP($A151,'OI(Volume)'!$A$7:$O$427,9)</f>
        <v>1075000</v>
      </c>
      <c r="J151" s="103">
        <f>VLOOKUP($A151,'OI(Volume)'!$A$7:$O$427,11)</f>
        <v>8862500</v>
      </c>
      <c r="K151" s="103">
        <f>VLOOKUP($A151,'OI(Volume)'!$A$7:$O$427,12)</f>
        <v>406250</v>
      </c>
      <c r="L151" s="103">
        <f>VLOOKUP($A151,'OI(Value)'!$A$7:$O$306,8,0)</f>
        <v>281</v>
      </c>
      <c r="M151" s="103">
        <f>VLOOKUP($A151,'OI(Value)'!$A$7:$O$306,9,0)</f>
        <v>29</v>
      </c>
      <c r="N151" s="103">
        <f>VLOOKUP($A151,'OI(Value)'!$A$7:$O$306,11,0)</f>
        <v>237</v>
      </c>
      <c r="O151" s="103">
        <f>VLOOKUP($A151,'OI(Value)'!$A$7:$O$306,12,0)</f>
        <v>11</v>
      </c>
      <c r="P151" s="179">
        <f>VLOOKUP(A151,'OI(Value)'!A151:O352,8,0)</f>
        <v>281</v>
      </c>
      <c r="Q151" s="179">
        <f>VLOOKUP(A151,'OI(Value)'!A151:O352,9,0)</f>
        <v>29</v>
      </c>
      <c r="R151" s="179">
        <f>VLOOKUP(A151,'OI(Value)'!A151:O352,11,0)</f>
        <v>237</v>
      </c>
      <c r="S151" s="179">
        <f>VLOOKUP(A151,'OI(Value)'!A151:O352,11,0)</f>
        <v>237</v>
      </c>
    </row>
    <row r="152" spans="1:19" x14ac:dyDescent="0.25">
      <c r="A152" s="105" t="str">
        <f>'Data shares'!C147</f>
        <v>OBEROIRLTY</v>
      </c>
      <c r="B152" s="143">
        <f>VLOOKUP($A152,'Data shares'!$C:$FA,118)</f>
        <v>0.78</v>
      </c>
      <c r="C152" s="143">
        <f>VLOOKUP($A152,'Data shares'!$C:$FA,119)</f>
        <v>0.8</v>
      </c>
      <c r="D152" s="143">
        <f>VLOOKUP($A152,'Data shares'!$C:$FA,121)*100</f>
        <v>-2.5</v>
      </c>
      <c r="E152" s="143">
        <f>VLOOKUP($A152,'Data shares'!$C:$FA,124)</f>
        <v>0.38</v>
      </c>
      <c r="F152" s="143">
        <f>VLOOKUP($A152,'Data shares'!$C:$FA,125)</f>
        <v>0.32</v>
      </c>
      <c r="G152" s="143">
        <f>VLOOKUP($A152,'Data shares'!$C:$FA,127)*100</f>
        <v>18.75</v>
      </c>
      <c r="H152" s="103">
        <f>VLOOKUP($A152,'OI(Volume)'!$A$7:$O$427,8)</f>
        <v>1016050</v>
      </c>
      <c r="I152" s="103">
        <f>VLOOKUP($A152,'OI(Volume)'!$A$7:$O$427,9)</f>
        <v>71400</v>
      </c>
      <c r="J152" s="103">
        <f>VLOOKUP($A152,'OI(Volume)'!$A$7:$O$427,11)</f>
        <v>789600</v>
      </c>
      <c r="K152" s="103">
        <f>VLOOKUP($A152,'OI(Volume)'!$A$7:$O$427,12)</f>
        <v>36750</v>
      </c>
      <c r="L152" s="103">
        <f>VLOOKUP($A152,'OI(Value)'!$A$7:$O$306,8,0)</f>
        <v>174</v>
      </c>
      <c r="M152" s="103">
        <f>VLOOKUP($A152,'OI(Value)'!$A$7:$O$306,9,0)</f>
        <v>12</v>
      </c>
      <c r="N152" s="103">
        <f>VLOOKUP($A152,'OI(Value)'!$A$7:$O$306,11,0)</f>
        <v>135</v>
      </c>
      <c r="O152" s="103">
        <f>VLOOKUP($A152,'OI(Value)'!$A$7:$O$306,12,0)</f>
        <v>6</v>
      </c>
      <c r="P152" s="179">
        <f>VLOOKUP(A152,'OI(Value)'!A152:O353,8,0)</f>
        <v>174</v>
      </c>
      <c r="Q152" s="179">
        <f>VLOOKUP(A152,'OI(Value)'!A152:O353,9,0)</f>
        <v>12</v>
      </c>
      <c r="R152" s="179">
        <f>VLOOKUP(A152,'OI(Value)'!A152:O353,11,0)</f>
        <v>135</v>
      </c>
      <c r="S152" s="179">
        <f>VLOOKUP(A152,'OI(Value)'!A152:O353,11,0)</f>
        <v>135</v>
      </c>
    </row>
    <row r="153" spans="1:19" x14ac:dyDescent="0.25">
      <c r="A153" s="105" t="str">
        <f>'Data shares'!C148</f>
        <v>OFSS</v>
      </c>
      <c r="B153" s="143">
        <f>VLOOKUP($A153,'Data shares'!$C:$FA,118)</f>
        <v>0.73</v>
      </c>
      <c r="C153" s="143">
        <f>VLOOKUP($A153,'Data shares'!$C:$FA,119)</f>
        <v>0.76</v>
      </c>
      <c r="D153" s="143">
        <f>VLOOKUP($A153,'Data shares'!$C:$FA,121)*100</f>
        <v>-3.95</v>
      </c>
      <c r="E153" s="143">
        <f>VLOOKUP($A153,'Data shares'!$C:$FA,124)</f>
        <v>0.25</v>
      </c>
      <c r="F153" s="143">
        <f>VLOOKUP($A153,'Data shares'!$C:$FA,125)</f>
        <v>0.51</v>
      </c>
      <c r="G153" s="143">
        <f>VLOOKUP($A153,'Data shares'!$C:$FA,127)*100</f>
        <v>-50.980000000000004</v>
      </c>
      <c r="H153" s="103">
        <f>VLOOKUP($A153,'OI(Volume)'!$A$7:$O$427,8)</f>
        <v>498675</v>
      </c>
      <c r="I153" s="103">
        <f>VLOOKUP($A153,'OI(Volume)'!$A$7:$O$427,9)</f>
        <v>93900</v>
      </c>
      <c r="J153" s="103">
        <f>VLOOKUP($A153,'OI(Volume)'!$A$7:$O$427,11)</f>
        <v>362475</v>
      </c>
      <c r="K153" s="103">
        <f>VLOOKUP($A153,'OI(Volume)'!$A$7:$O$427,12)</f>
        <v>56025</v>
      </c>
      <c r="L153" s="103">
        <f>VLOOKUP($A153,'OI(Value)'!$A$7:$O$306,8,0)</f>
        <v>393</v>
      </c>
      <c r="M153" s="103">
        <f>VLOOKUP($A153,'OI(Value)'!$A$7:$O$306,9,0)</f>
        <v>74</v>
      </c>
      <c r="N153" s="103">
        <f>VLOOKUP($A153,'OI(Value)'!$A$7:$O$306,11,0)</f>
        <v>285</v>
      </c>
      <c r="O153" s="103">
        <f>VLOOKUP($A153,'OI(Value)'!$A$7:$O$306,12,0)</f>
        <v>44</v>
      </c>
      <c r="P153" s="179">
        <f>VLOOKUP(A153,'OI(Value)'!A153:O354,8,0)</f>
        <v>393</v>
      </c>
      <c r="Q153" s="179">
        <f>VLOOKUP(A153,'OI(Value)'!A153:O354,9,0)</f>
        <v>74</v>
      </c>
      <c r="R153" s="179">
        <f>VLOOKUP(A153,'OI(Value)'!A153:O354,11,0)</f>
        <v>285</v>
      </c>
      <c r="S153" s="179">
        <f>VLOOKUP(A153,'OI(Value)'!A153:O354,11,0)</f>
        <v>285</v>
      </c>
    </row>
    <row r="154" spans="1:19" x14ac:dyDescent="0.25">
      <c r="A154" s="105" t="str">
        <f>'Data shares'!C149</f>
        <v>OIL</v>
      </c>
      <c r="B154" s="143">
        <f>VLOOKUP($A154,'Data shares'!$C:$FA,118)</f>
        <v>0.71</v>
      </c>
      <c r="C154" s="143">
        <f>VLOOKUP($A154,'Data shares'!$C:$FA,119)</f>
        <v>0.54</v>
      </c>
      <c r="D154" s="143">
        <f>VLOOKUP($A154,'Data shares'!$C:$FA,121)*100</f>
        <v>31.480000000000004</v>
      </c>
      <c r="E154" s="143">
        <f>VLOOKUP($A154,'Data shares'!$C:$FA,124)</f>
        <v>1.26</v>
      </c>
      <c r="F154" s="143">
        <f>VLOOKUP($A154,'Data shares'!$C:$FA,125)</f>
        <v>0.41</v>
      </c>
      <c r="G154" s="143">
        <f>VLOOKUP($A154,'Data shares'!$C:$FA,127)*100</f>
        <v>207.32</v>
      </c>
      <c r="H154" s="103">
        <f>VLOOKUP($A154,'OI(Volume)'!$A$7:$O$427,8)</f>
        <v>5482400</v>
      </c>
      <c r="I154" s="103">
        <f>VLOOKUP($A154,'OI(Volume)'!$A$7:$O$427,9)</f>
        <v>201600</v>
      </c>
      <c r="J154" s="103">
        <f>VLOOKUP($A154,'OI(Volume)'!$A$7:$O$427,11)</f>
        <v>3904600</v>
      </c>
      <c r="K154" s="103">
        <f>VLOOKUP($A154,'OI(Volume)'!$A$7:$O$427,12)</f>
        <v>1047200</v>
      </c>
      <c r="L154" s="103">
        <f>VLOOKUP($A154,'OI(Value)'!$A$7:$O$306,8,0)</f>
        <v>230</v>
      </c>
      <c r="M154" s="103">
        <f>VLOOKUP($A154,'OI(Value)'!$A$7:$O$306,9,0)</f>
        <v>8</v>
      </c>
      <c r="N154" s="103">
        <f>VLOOKUP($A154,'OI(Value)'!$A$7:$O$306,11,0)</f>
        <v>163</v>
      </c>
      <c r="O154" s="103">
        <f>VLOOKUP($A154,'OI(Value)'!$A$7:$O$306,12,0)</f>
        <v>44</v>
      </c>
      <c r="P154" s="179">
        <f>VLOOKUP(A154,'OI(Value)'!A154:O355,8,0)</f>
        <v>230</v>
      </c>
      <c r="Q154" s="179">
        <f>VLOOKUP(A154,'OI(Value)'!A154:O355,9,0)</f>
        <v>8</v>
      </c>
      <c r="R154" s="179">
        <f>VLOOKUP(A154,'OI(Value)'!A154:O355,11,0)</f>
        <v>163</v>
      </c>
      <c r="S154" s="179">
        <f>VLOOKUP(A154,'OI(Value)'!A154:O355,11,0)</f>
        <v>163</v>
      </c>
    </row>
    <row r="155" spans="1:19" x14ac:dyDescent="0.25">
      <c r="A155" s="105" t="str">
        <f>'Data shares'!C150</f>
        <v>ONGC</v>
      </c>
      <c r="B155" s="143">
        <f>VLOOKUP($A155,'Data shares'!$C:$FA,118)</f>
        <v>0.38</v>
      </c>
      <c r="C155" s="143">
        <f>VLOOKUP($A155,'Data shares'!$C:$FA,119)</f>
        <v>0.44</v>
      </c>
      <c r="D155" s="143">
        <f>VLOOKUP($A155,'Data shares'!$C:$FA,121)*100</f>
        <v>-13.639999999999999</v>
      </c>
      <c r="E155" s="143">
        <f>VLOOKUP($A155,'Data shares'!$C:$FA,124)</f>
        <v>0.8</v>
      </c>
      <c r="F155" s="143">
        <f>VLOOKUP($A155,'Data shares'!$C:$FA,125)</f>
        <v>0.49</v>
      </c>
      <c r="G155" s="143">
        <f>VLOOKUP($A155,'Data shares'!$C:$FA,127)*100</f>
        <v>63.27</v>
      </c>
      <c r="H155" s="103">
        <f>VLOOKUP($A155,'OI(Volume)'!$A$7:$O$427,8)</f>
        <v>71246250</v>
      </c>
      <c r="I155" s="103">
        <f>VLOOKUP($A155,'OI(Volume)'!$A$7:$O$427,9)</f>
        <v>-920250</v>
      </c>
      <c r="J155" s="103">
        <f>VLOOKUP($A155,'OI(Volume)'!$A$7:$O$427,11)</f>
        <v>27362250</v>
      </c>
      <c r="K155" s="103">
        <f>VLOOKUP($A155,'OI(Volume)'!$A$7:$O$427,12)</f>
        <v>-4520250</v>
      </c>
      <c r="L155" s="103">
        <f>VLOOKUP($A155,'OI(Value)'!$A$7:$O$306,8,0)</f>
        <v>1707</v>
      </c>
      <c r="M155" s="103">
        <f>VLOOKUP($A155,'OI(Value)'!$A$7:$O$306,9,0)</f>
        <v>-22</v>
      </c>
      <c r="N155" s="103">
        <f>VLOOKUP($A155,'OI(Value)'!$A$7:$O$306,11,0)</f>
        <v>655</v>
      </c>
      <c r="O155" s="103">
        <f>VLOOKUP($A155,'OI(Value)'!$A$7:$O$306,12,0)</f>
        <v>-108</v>
      </c>
      <c r="P155" s="179">
        <f>VLOOKUP(A155,'OI(Value)'!A155:O356,8,0)</f>
        <v>1707</v>
      </c>
      <c r="Q155" s="179">
        <f>VLOOKUP(A155,'OI(Value)'!A155:O356,9,0)</f>
        <v>-22</v>
      </c>
      <c r="R155" s="179">
        <f>VLOOKUP(A155,'OI(Value)'!A155:O356,11,0)</f>
        <v>655</v>
      </c>
      <c r="S155" s="179">
        <f>VLOOKUP(A155,'OI(Value)'!A155:O356,11,0)</f>
        <v>655</v>
      </c>
    </row>
    <row r="156" spans="1:19" x14ac:dyDescent="0.25">
      <c r="A156" s="105" t="str">
        <f>'Data shares'!C151</f>
        <v>PAGEIND</v>
      </c>
      <c r="B156" s="143">
        <f>VLOOKUP($A156,'Data shares'!$C:$FA,118)</f>
        <v>0.53</v>
      </c>
      <c r="C156" s="143">
        <f>VLOOKUP($A156,'Data shares'!$C:$FA,119)</f>
        <v>0.48</v>
      </c>
      <c r="D156" s="143">
        <f>VLOOKUP($A156,'Data shares'!$C:$FA,121)*100</f>
        <v>10.42</v>
      </c>
      <c r="E156" s="143">
        <f>VLOOKUP($A156,'Data shares'!$C:$FA,124)</f>
        <v>0.22</v>
      </c>
      <c r="F156" s="143">
        <f>VLOOKUP($A156,'Data shares'!$C:$FA,125)</f>
        <v>0.42</v>
      </c>
      <c r="G156" s="143">
        <f>VLOOKUP($A156,'Data shares'!$C:$FA,127)*100</f>
        <v>-47.620000000000005</v>
      </c>
      <c r="H156" s="103">
        <f>VLOOKUP($A156,'OI(Volume)'!$A$7:$O$427,8)</f>
        <v>70740</v>
      </c>
      <c r="I156" s="103">
        <f>VLOOKUP($A156,'OI(Volume)'!$A$7:$O$427,9)</f>
        <v>-3540</v>
      </c>
      <c r="J156" s="103">
        <f>VLOOKUP($A156,'OI(Volume)'!$A$7:$O$427,11)</f>
        <v>37560</v>
      </c>
      <c r="K156" s="103">
        <f>VLOOKUP($A156,'OI(Volume)'!$A$7:$O$427,12)</f>
        <v>2250</v>
      </c>
      <c r="L156" s="103">
        <f>VLOOKUP($A156,'OI(Value)'!$A$7:$O$306,8,0)</f>
        <v>252</v>
      </c>
      <c r="M156" s="103">
        <f>VLOOKUP($A156,'OI(Value)'!$A$7:$O$306,9,0)</f>
        <v>-13</v>
      </c>
      <c r="N156" s="103">
        <f>VLOOKUP($A156,'OI(Value)'!$A$7:$O$306,11,0)</f>
        <v>134</v>
      </c>
      <c r="O156" s="103">
        <f>VLOOKUP($A156,'OI(Value)'!$A$7:$O$306,12,0)</f>
        <v>8</v>
      </c>
      <c r="P156" s="179">
        <f>VLOOKUP(A156,'OI(Value)'!A156:O357,8,0)</f>
        <v>252</v>
      </c>
      <c r="Q156" s="179">
        <f>VLOOKUP(A156,'OI(Value)'!A156:O357,9,0)</f>
        <v>-13</v>
      </c>
      <c r="R156" s="179">
        <f>VLOOKUP(A156,'OI(Value)'!A156:O357,11,0)</f>
        <v>134</v>
      </c>
      <c r="S156" s="179">
        <f>VLOOKUP(A156,'OI(Value)'!A156:O357,11,0)</f>
        <v>134</v>
      </c>
    </row>
    <row r="157" spans="1:19" x14ac:dyDescent="0.25">
      <c r="A157" s="105" t="str">
        <f>'Data shares'!C152</f>
        <v>PATANJALI</v>
      </c>
      <c r="B157" s="143">
        <f>VLOOKUP($A157,'Data shares'!$C:$FA,118)</f>
        <v>0.61</v>
      </c>
      <c r="C157" s="143">
        <f>VLOOKUP($A157,'Data shares'!$C:$FA,119)</f>
        <v>0.59</v>
      </c>
      <c r="D157" s="143">
        <f>VLOOKUP($A157,'Data shares'!$C:$FA,121)*100</f>
        <v>3.39</v>
      </c>
      <c r="E157" s="143">
        <f>VLOOKUP($A157,'Data shares'!$C:$FA,124)</f>
        <v>0.44</v>
      </c>
      <c r="F157" s="143">
        <f>VLOOKUP($A157,'Data shares'!$C:$FA,125)</f>
        <v>0.47</v>
      </c>
      <c r="G157" s="143">
        <f>VLOOKUP($A157,'Data shares'!$C:$FA,127)*100</f>
        <v>-6.38</v>
      </c>
      <c r="H157" s="103">
        <f>VLOOKUP($A157,'OI(Volume)'!$A$7:$O$427,8)</f>
        <v>4903200</v>
      </c>
      <c r="I157" s="103">
        <f>VLOOKUP($A157,'OI(Volume)'!$A$7:$O$427,9)</f>
        <v>231300</v>
      </c>
      <c r="J157" s="103">
        <f>VLOOKUP($A157,'OI(Volume)'!$A$7:$O$427,11)</f>
        <v>3012300</v>
      </c>
      <c r="K157" s="103">
        <f>VLOOKUP($A157,'OI(Volume)'!$A$7:$O$427,12)</f>
        <v>235800</v>
      </c>
      <c r="L157" s="103">
        <f>VLOOKUP($A157,'OI(Value)'!$A$7:$O$306,8,0)</f>
        <v>284</v>
      </c>
      <c r="M157" s="103">
        <f>VLOOKUP($A157,'OI(Value)'!$A$7:$O$306,9,0)</f>
        <v>13</v>
      </c>
      <c r="N157" s="103">
        <f>VLOOKUP($A157,'OI(Value)'!$A$7:$O$306,11,0)</f>
        <v>174</v>
      </c>
      <c r="O157" s="103">
        <f>VLOOKUP($A157,'OI(Value)'!$A$7:$O$306,12,0)</f>
        <v>14</v>
      </c>
      <c r="P157" s="179">
        <f>VLOOKUP(A157,'OI(Value)'!A157:O358,8,0)</f>
        <v>284</v>
      </c>
      <c r="Q157" s="179">
        <f>VLOOKUP(A157,'OI(Value)'!A157:O358,9,0)</f>
        <v>13</v>
      </c>
      <c r="R157" s="179">
        <f>VLOOKUP(A157,'OI(Value)'!A157:O358,11,0)</f>
        <v>174</v>
      </c>
      <c r="S157" s="179">
        <f>VLOOKUP(A157,'OI(Value)'!A157:O358,11,0)</f>
        <v>174</v>
      </c>
    </row>
    <row r="158" spans="1:19" x14ac:dyDescent="0.25">
      <c r="A158" s="105" t="str">
        <f>'Data shares'!C153</f>
        <v>PAYTM</v>
      </c>
      <c r="B158" s="143">
        <f>VLOOKUP($A158,'Data shares'!$C:$FA,118)</f>
        <v>0.63</v>
      </c>
      <c r="C158" s="143">
        <f>VLOOKUP($A158,'Data shares'!$C:$FA,119)</f>
        <v>0.69</v>
      </c>
      <c r="D158" s="143">
        <f>VLOOKUP($A158,'Data shares'!$C:$FA,121)*100</f>
        <v>-8.6999999999999993</v>
      </c>
      <c r="E158" s="143">
        <f>VLOOKUP($A158,'Data shares'!$C:$FA,124)</f>
        <v>0.5</v>
      </c>
      <c r="F158" s="143">
        <f>VLOOKUP($A158,'Data shares'!$C:$FA,125)</f>
        <v>0.59</v>
      </c>
      <c r="G158" s="143">
        <f>VLOOKUP($A158,'Data shares'!$C:$FA,127)*100</f>
        <v>-15.25</v>
      </c>
      <c r="H158" s="103">
        <f>VLOOKUP($A158,'OI(Volume)'!$A$7:$O$427,8)</f>
        <v>4600850</v>
      </c>
      <c r="I158" s="103">
        <f>VLOOKUP($A158,'OI(Volume)'!$A$7:$O$427,9)</f>
        <v>442975</v>
      </c>
      <c r="J158" s="103">
        <f>VLOOKUP($A158,'OI(Volume)'!$A$7:$O$427,11)</f>
        <v>2906525</v>
      </c>
      <c r="K158" s="103">
        <f>VLOOKUP($A158,'OI(Volume)'!$A$7:$O$427,12)</f>
        <v>25375</v>
      </c>
      <c r="L158" s="103">
        <f>VLOOKUP($A158,'OI(Value)'!$A$7:$O$306,8,0)</f>
        <v>610</v>
      </c>
      <c r="M158" s="103">
        <f>VLOOKUP($A158,'OI(Value)'!$A$7:$O$306,9,0)</f>
        <v>59</v>
      </c>
      <c r="N158" s="103">
        <f>VLOOKUP($A158,'OI(Value)'!$A$7:$O$306,11,0)</f>
        <v>385</v>
      </c>
      <c r="O158" s="103">
        <f>VLOOKUP($A158,'OI(Value)'!$A$7:$O$306,12,0)</f>
        <v>3</v>
      </c>
      <c r="P158" s="179">
        <f>VLOOKUP(A158,'OI(Value)'!A158:O359,8,0)</f>
        <v>610</v>
      </c>
      <c r="Q158" s="179">
        <f>VLOOKUP(A158,'OI(Value)'!A158:O359,9,0)</f>
        <v>59</v>
      </c>
      <c r="R158" s="179">
        <f>VLOOKUP(A158,'OI(Value)'!A158:O359,11,0)</f>
        <v>385</v>
      </c>
      <c r="S158" s="179">
        <f>VLOOKUP(A158,'OI(Value)'!A158:O359,11,0)</f>
        <v>385</v>
      </c>
    </row>
    <row r="159" spans="1:19" x14ac:dyDescent="0.25">
      <c r="A159" s="105" t="str">
        <f>'Data shares'!C154</f>
        <v>PERSISTENT</v>
      </c>
      <c r="B159" s="143">
        <f>VLOOKUP($A159,'Data shares'!$C:$FA,118)</f>
        <v>0.85</v>
      </c>
      <c r="C159" s="143">
        <f>VLOOKUP($A159,'Data shares'!$C:$FA,119)</f>
        <v>0.66</v>
      </c>
      <c r="D159" s="143">
        <f>VLOOKUP($A159,'Data shares'!$C:$FA,121)*100</f>
        <v>28.79</v>
      </c>
      <c r="E159" s="143">
        <f>VLOOKUP($A159,'Data shares'!$C:$FA,124)</f>
        <v>0.35</v>
      </c>
      <c r="F159" s="143">
        <f>VLOOKUP($A159,'Data shares'!$C:$FA,125)</f>
        <v>0.34</v>
      </c>
      <c r="G159" s="143">
        <f>VLOOKUP($A159,'Data shares'!$C:$FA,127)*100</f>
        <v>2.94</v>
      </c>
      <c r="H159" s="103">
        <f>VLOOKUP($A159,'OI(Volume)'!$A$7:$O$427,8)</f>
        <v>635300</v>
      </c>
      <c r="I159" s="103">
        <f>VLOOKUP($A159,'OI(Volume)'!$A$7:$O$427,9)</f>
        <v>29600</v>
      </c>
      <c r="J159" s="103">
        <f>VLOOKUP($A159,'OI(Volume)'!$A$7:$O$427,11)</f>
        <v>542400</v>
      </c>
      <c r="K159" s="103">
        <f>VLOOKUP($A159,'OI(Volume)'!$A$7:$O$427,12)</f>
        <v>142700</v>
      </c>
      <c r="L159" s="103">
        <f>VLOOKUP($A159,'OI(Value)'!$A$7:$O$306,8,0)</f>
        <v>415</v>
      </c>
      <c r="M159" s="103">
        <f>VLOOKUP($A159,'OI(Value)'!$A$7:$O$306,9,0)</f>
        <v>19</v>
      </c>
      <c r="N159" s="103">
        <f>VLOOKUP($A159,'OI(Value)'!$A$7:$O$306,11,0)</f>
        <v>355</v>
      </c>
      <c r="O159" s="103">
        <f>VLOOKUP($A159,'OI(Value)'!$A$7:$O$306,12,0)</f>
        <v>93</v>
      </c>
      <c r="P159" s="179">
        <f>VLOOKUP(A159,'OI(Value)'!A159:O360,8,0)</f>
        <v>415</v>
      </c>
      <c r="Q159" s="179">
        <f>VLOOKUP(A159,'OI(Value)'!A159:O360,9,0)</f>
        <v>19</v>
      </c>
      <c r="R159" s="179">
        <f>VLOOKUP(A159,'OI(Value)'!A159:O360,11,0)</f>
        <v>355</v>
      </c>
      <c r="S159" s="179">
        <f>VLOOKUP(A159,'OI(Value)'!A159:O360,11,0)</f>
        <v>355</v>
      </c>
    </row>
    <row r="160" spans="1:19" x14ac:dyDescent="0.25">
      <c r="A160" s="105" t="str">
        <f>'Data shares'!C155</f>
        <v>PETRONET</v>
      </c>
      <c r="B160" s="143">
        <f>VLOOKUP($A160,'Data shares'!$C:$FA,118)</f>
        <v>1.4</v>
      </c>
      <c r="C160" s="143">
        <f>VLOOKUP($A160,'Data shares'!$C:$FA,119)</f>
        <v>1.4</v>
      </c>
      <c r="D160" s="143">
        <f>VLOOKUP($A160,'Data shares'!$C:$FA,121)*100</f>
        <v>0</v>
      </c>
      <c r="E160" s="143">
        <f>VLOOKUP($A160,'Data shares'!$C:$FA,124)</f>
        <v>0.32</v>
      </c>
      <c r="F160" s="143">
        <f>VLOOKUP($A160,'Data shares'!$C:$FA,125)</f>
        <v>0.27</v>
      </c>
      <c r="G160" s="143">
        <f>VLOOKUP($A160,'Data shares'!$C:$FA,127)*100</f>
        <v>18.52</v>
      </c>
      <c r="H160" s="103">
        <f>VLOOKUP($A160,'OI(Volume)'!$A$7:$O$427,8)</f>
        <v>13531800</v>
      </c>
      <c r="I160" s="103">
        <f>VLOOKUP($A160,'OI(Volume)'!$A$7:$O$427,9)</f>
        <v>-374300</v>
      </c>
      <c r="J160" s="103">
        <f>VLOOKUP($A160,'OI(Volume)'!$A$7:$O$427,11)</f>
        <v>18893600</v>
      </c>
      <c r="K160" s="103">
        <f>VLOOKUP($A160,'OI(Volume)'!$A$7:$O$427,12)</f>
        <v>-528200</v>
      </c>
      <c r="L160" s="103">
        <f>VLOOKUP($A160,'OI(Value)'!$A$7:$O$306,8,0)</f>
        <v>399</v>
      </c>
      <c r="M160" s="103">
        <f>VLOOKUP($A160,'OI(Value)'!$A$7:$O$306,9,0)</f>
        <v>-11</v>
      </c>
      <c r="N160" s="103">
        <f>VLOOKUP($A160,'OI(Value)'!$A$7:$O$306,11,0)</f>
        <v>557</v>
      </c>
      <c r="O160" s="103">
        <f>VLOOKUP($A160,'OI(Value)'!$A$7:$O$306,12,0)</f>
        <v>-16</v>
      </c>
      <c r="P160" s="179">
        <f>VLOOKUP(A160,'OI(Value)'!A160:O361,8,0)</f>
        <v>399</v>
      </c>
      <c r="Q160" s="179">
        <f>VLOOKUP(A160,'OI(Value)'!A160:O361,9,0)</f>
        <v>-11</v>
      </c>
      <c r="R160" s="179">
        <f>VLOOKUP(A160,'OI(Value)'!A160:O361,11,0)</f>
        <v>557</v>
      </c>
      <c r="S160" s="179">
        <f>VLOOKUP(A160,'OI(Value)'!A160:O361,11,0)</f>
        <v>557</v>
      </c>
    </row>
    <row r="161" spans="1:19" x14ac:dyDescent="0.25">
      <c r="A161" s="105" t="str">
        <f>'Data shares'!C156</f>
        <v>PFC</v>
      </c>
      <c r="B161" s="143">
        <f>VLOOKUP($A161,'Data shares'!$C:$FA,118)</f>
        <v>0.75</v>
      </c>
      <c r="C161" s="143">
        <f>VLOOKUP($A161,'Data shares'!$C:$FA,119)</f>
        <v>0.75</v>
      </c>
      <c r="D161" s="143">
        <f>VLOOKUP($A161,'Data shares'!$C:$FA,121)*100</f>
        <v>0</v>
      </c>
      <c r="E161" s="143">
        <f>VLOOKUP($A161,'Data shares'!$C:$FA,124)</f>
        <v>0.42</v>
      </c>
      <c r="F161" s="143">
        <f>VLOOKUP($A161,'Data shares'!$C:$FA,125)</f>
        <v>0.32</v>
      </c>
      <c r="G161" s="143">
        <f>VLOOKUP($A161,'Data shares'!$C:$FA,127)*100</f>
        <v>31.25</v>
      </c>
      <c r="H161" s="103">
        <f>VLOOKUP($A161,'OI(Volume)'!$A$7:$O$427,8)</f>
        <v>37195600</v>
      </c>
      <c r="I161" s="103">
        <f>VLOOKUP($A161,'OI(Volume)'!$A$7:$O$427,9)</f>
        <v>283400</v>
      </c>
      <c r="J161" s="103">
        <f>VLOOKUP($A161,'OI(Volume)'!$A$7:$O$427,11)</f>
        <v>28060500</v>
      </c>
      <c r="K161" s="103">
        <f>VLOOKUP($A161,'OI(Volume)'!$A$7:$O$427,12)</f>
        <v>544700</v>
      </c>
      <c r="L161" s="103">
        <f>VLOOKUP($A161,'OI(Value)'!$A$7:$O$306,8,0)</f>
        <v>1409</v>
      </c>
      <c r="M161" s="103">
        <f>VLOOKUP($A161,'OI(Value)'!$A$7:$O$306,9,0)</f>
        <v>11</v>
      </c>
      <c r="N161" s="103">
        <f>VLOOKUP($A161,'OI(Value)'!$A$7:$O$306,11,0)</f>
        <v>1063</v>
      </c>
      <c r="O161" s="103">
        <f>VLOOKUP($A161,'OI(Value)'!$A$7:$O$306,12,0)</f>
        <v>21</v>
      </c>
      <c r="P161" s="179">
        <f>VLOOKUP(A161,'OI(Value)'!A161:O362,8,0)</f>
        <v>1409</v>
      </c>
      <c r="Q161" s="179">
        <f>VLOOKUP(A161,'OI(Value)'!A161:O362,9,0)</f>
        <v>11</v>
      </c>
      <c r="R161" s="179">
        <f>VLOOKUP(A161,'OI(Value)'!A161:O362,11,0)</f>
        <v>1063</v>
      </c>
      <c r="S161" s="179">
        <f>VLOOKUP(A161,'OI(Value)'!A161:O362,11,0)</f>
        <v>1063</v>
      </c>
    </row>
    <row r="162" spans="1:19" x14ac:dyDescent="0.25">
      <c r="A162" s="105" t="str">
        <f>'Data shares'!C157</f>
        <v>PGEL</v>
      </c>
      <c r="B162" s="143">
        <f>VLOOKUP($A162,'Data shares'!$C:$FA,118)</f>
        <v>0.67</v>
      </c>
      <c r="C162" s="143">
        <f>VLOOKUP($A162,'Data shares'!$C:$FA,119)</f>
        <v>0.72</v>
      </c>
      <c r="D162" s="143">
        <f>VLOOKUP($A162,'Data shares'!$C:$FA,121)*100</f>
        <v>-6.94</v>
      </c>
      <c r="E162" s="143">
        <f>VLOOKUP($A162,'Data shares'!$C:$FA,124)</f>
        <v>0.33</v>
      </c>
      <c r="F162" s="143">
        <f>VLOOKUP($A162,'Data shares'!$C:$FA,125)</f>
        <v>0.47</v>
      </c>
      <c r="G162" s="143">
        <f>VLOOKUP($A162,'Data shares'!$C:$FA,127)*100</f>
        <v>-29.79</v>
      </c>
      <c r="H162" s="103">
        <f>VLOOKUP($A162,'OI(Volume)'!$A$7:$O$427,8)</f>
        <v>6617700</v>
      </c>
      <c r="I162" s="103">
        <f>VLOOKUP($A162,'OI(Volume)'!$A$7:$O$427,9)</f>
        <v>247950</v>
      </c>
      <c r="J162" s="103">
        <f>VLOOKUP($A162,'OI(Volume)'!$A$7:$O$427,11)</f>
        <v>4446000</v>
      </c>
      <c r="K162" s="103">
        <f>VLOOKUP($A162,'OI(Volume)'!$A$7:$O$427,12)</f>
        <v>-164350</v>
      </c>
      <c r="L162" s="103">
        <f>VLOOKUP($A162,'OI(Value)'!$A$7:$O$306,8,0)</f>
        <v>413</v>
      </c>
      <c r="M162" s="103">
        <f>VLOOKUP($A162,'OI(Value)'!$A$7:$O$306,9,0)</f>
        <v>15</v>
      </c>
      <c r="N162" s="103">
        <f>VLOOKUP($A162,'OI(Value)'!$A$7:$O$306,11,0)</f>
        <v>277</v>
      </c>
      <c r="O162" s="103">
        <f>VLOOKUP($A162,'OI(Value)'!$A$7:$O$306,12,0)</f>
        <v>-10</v>
      </c>
      <c r="P162" s="179">
        <f>VLOOKUP(A162,'OI(Value)'!A162:O363,8,0)</f>
        <v>413</v>
      </c>
      <c r="Q162" s="179">
        <f>VLOOKUP(A162,'OI(Value)'!A162:O363,9,0)</f>
        <v>15</v>
      </c>
      <c r="R162" s="179">
        <f>VLOOKUP(A162,'OI(Value)'!A162:O363,11,0)</f>
        <v>277</v>
      </c>
      <c r="S162" s="179">
        <f>VLOOKUP(A162,'OI(Value)'!A162:O363,11,0)</f>
        <v>277</v>
      </c>
    </row>
    <row r="163" spans="1:19" x14ac:dyDescent="0.25">
      <c r="A163" s="105" t="str">
        <f>'Data shares'!C158</f>
        <v>PHOENIXLTD</v>
      </c>
      <c r="B163" s="143">
        <f>VLOOKUP($A163,'Data shares'!$C:$FA,118)</f>
        <v>0.77</v>
      </c>
      <c r="C163" s="143">
        <f>VLOOKUP($A163,'Data shares'!$C:$FA,119)</f>
        <v>0.8</v>
      </c>
      <c r="D163" s="143">
        <f>VLOOKUP($A163,'Data shares'!$C:$FA,121)*100</f>
        <v>-3.75</v>
      </c>
      <c r="E163" s="143">
        <f>VLOOKUP($A163,'Data shares'!$C:$FA,124)</f>
        <v>0.64</v>
      </c>
      <c r="F163" s="143">
        <f>VLOOKUP($A163,'Data shares'!$C:$FA,125)</f>
        <v>0.81</v>
      </c>
      <c r="G163" s="143">
        <f>VLOOKUP($A163,'Data shares'!$C:$FA,127)*100</f>
        <v>-20.990000000000002</v>
      </c>
      <c r="H163" s="103">
        <f>VLOOKUP($A163,'OI(Volume)'!$A$7:$O$427,8)</f>
        <v>741300</v>
      </c>
      <c r="I163" s="103">
        <f>VLOOKUP($A163,'OI(Volume)'!$A$7:$O$427,9)</f>
        <v>117950</v>
      </c>
      <c r="J163" s="103">
        <f>VLOOKUP($A163,'OI(Volume)'!$A$7:$O$427,11)</f>
        <v>573300</v>
      </c>
      <c r="K163" s="103">
        <f>VLOOKUP($A163,'OI(Volume)'!$A$7:$O$427,12)</f>
        <v>72100</v>
      </c>
      <c r="L163" s="103">
        <f>VLOOKUP($A163,'OI(Value)'!$A$7:$O$306,8,0)</f>
        <v>144</v>
      </c>
      <c r="M163" s="103">
        <f>VLOOKUP($A163,'OI(Value)'!$A$7:$O$306,9,0)</f>
        <v>23</v>
      </c>
      <c r="N163" s="103">
        <f>VLOOKUP($A163,'OI(Value)'!$A$7:$O$306,11,0)</f>
        <v>112</v>
      </c>
      <c r="O163" s="103">
        <f>VLOOKUP($A163,'OI(Value)'!$A$7:$O$306,12,0)</f>
        <v>14</v>
      </c>
      <c r="P163" s="179">
        <f>VLOOKUP(A163,'OI(Value)'!A163:O364,8,0)</f>
        <v>144</v>
      </c>
      <c r="Q163" s="179">
        <f>VLOOKUP(A163,'OI(Value)'!A163:O364,9,0)</f>
        <v>23</v>
      </c>
      <c r="R163" s="179">
        <f>VLOOKUP(A163,'OI(Value)'!A163:O364,11,0)</f>
        <v>112</v>
      </c>
      <c r="S163" s="179">
        <f>VLOOKUP(A163,'OI(Value)'!A163:O364,11,0)</f>
        <v>112</v>
      </c>
    </row>
    <row r="164" spans="1:19" x14ac:dyDescent="0.25">
      <c r="A164" s="105" t="str">
        <f>'Data shares'!C159</f>
        <v>PIDILITIND</v>
      </c>
      <c r="B164" s="143">
        <f>VLOOKUP($A164,'Data shares'!$C:$FA,118)</f>
        <v>0.98</v>
      </c>
      <c r="C164" s="143">
        <f>VLOOKUP($A164,'Data shares'!$C:$FA,119)</f>
        <v>0.97</v>
      </c>
      <c r="D164" s="143">
        <f>VLOOKUP($A164,'Data shares'!$C:$FA,121)*100</f>
        <v>1.03</v>
      </c>
      <c r="E164" s="143">
        <f>VLOOKUP($A164,'Data shares'!$C:$FA,124)</f>
        <v>0.23</v>
      </c>
      <c r="F164" s="143">
        <f>VLOOKUP($A164,'Data shares'!$C:$FA,125)</f>
        <v>0.41</v>
      </c>
      <c r="G164" s="143">
        <f>VLOOKUP($A164,'Data shares'!$C:$FA,127)*100</f>
        <v>-43.9</v>
      </c>
      <c r="H164" s="103">
        <f>VLOOKUP($A164,'OI(Volume)'!$A$7:$O$427,8)</f>
        <v>1014000</v>
      </c>
      <c r="I164" s="103">
        <f>VLOOKUP($A164,'OI(Volume)'!$A$7:$O$427,9)</f>
        <v>24500</v>
      </c>
      <c r="J164" s="103">
        <f>VLOOKUP($A164,'OI(Volume)'!$A$7:$O$427,11)</f>
        <v>993500</v>
      </c>
      <c r="K164" s="103">
        <f>VLOOKUP($A164,'OI(Volume)'!$A$7:$O$427,12)</f>
        <v>33000</v>
      </c>
      <c r="L164" s="103">
        <f>VLOOKUP($A164,'OI(Value)'!$A$7:$O$306,8,0)</f>
        <v>154</v>
      </c>
      <c r="M164" s="103">
        <f>VLOOKUP($A164,'OI(Value)'!$A$7:$O$306,9,0)</f>
        <v>4</v>
      </c>
      <c r="N164" s="103">
        <f>VLOOKUP($A164,'OI(Value)'!$A$7:$O$306,11,0)</f>
        <v>151</v>
      </c>
      <c r="O164" s="103">
        <f>VLOOKUP($A164,'OI(Value)'!$A$7:$O$306,12,0)</f>
        <v>5</v>
      </c>
      <c r="P164" s="179">
        <f>VLOOKUP(A164,'OI(Value)'!A164:O365,8,0)</f>
        <v>154</v>
      </c>
      <c r="Q164" s="179">
        <f>VLOOKUP(A164,'OI(Value)'!A164:O365,9,0)</f>
        <v>4</v>
      </c>
      <c r="R164" s="179">
        <f>VLOOKUP(A164,'OI(Value)'!A164:O365,11,0)</f>
        <v>151</v>
      </c>
      <c r="S164" s="179">
        <f>VLOOKUP(A164,'OI(Value)'!A164:O365,11,0)</f>
        <v>151</v>
      </c>
    </row>
    <row r="165" spans="1:19" x14ac:dyDescent="0.25">
      <c r="A165" s="105" t="str">
        <f>'Data shares'!C160</f>
        <v>PIIND</v>
      </c>
      <c r="B165" s="143">
        <f>VLOOKUP($A165,'Data shares'!$C:$FA,118)</f>
        <v>0.74</v>
      </c>
      <c r="C165" s="143">
        <f>VLOOKUP($A165,'Data shares'!$C:$FA,119)</f>
        <v>0.71</v>
      </c>
      <c r="D165" s="143">
        <f>VLOOKUP($A165,'Data shares'!$C:$FA,121)*100</f>
        <v>4.2299999999999995</v>
      </c>
      <c r="E165" s="143">
        <f>VLOOKUP($A165,'Data shares'!$C:$FA,124)</f>
        <v>0.18</v>
      </c>
      <c r="F165" s="143">
        <f>VLOOKUP($A165,'Data shares'!$C:$FA,125)</f>
        <v>0.21</v>
      </c>
      <c r="G165" s="143">
        <f>VLOOKUP($A165,'Data shares'!$C:$FA,127)*100</f>
        <v>-14.29</v>
      </c>
      <c r="H165" s="103">
        <f>VLOOKUP($A165,'OI(Volume)'!$A$7:$O$427,8)</f>
        <v>586250</v>
      </c>
      <c r="I165" s="103">
        <f>VLOOKUP($A165,'OI(Volume)'!$A$7:$O$427,9)</f>
        <v>-21525</v>
      </c>
      <c r="J165" s="103">
        <f>VLOOKUP($A165,'OI(Volume)'!$A$7:$O$427,11)</f>
        <v>432600</v>
      </c>
      <c r="K165" s="103">
        <f>VLOOKUP($A165,'OI(Volume)'!$A$7:$O$427,12)</f>
        <v>2450</v>
      </c>
      <c r="L165" s="103">
        <f>VLOOKUP($A165,'OI(Value)'!$A$7:$O$306,8,0)</f>
        <v>194</v>
      </c>
      <c r="M165" s="103">
        <f>VLOOKUP($A165,'OI(Value)'!$A$7:$O$306,9,0)</f>
        <v>-7</v>
      </c>
      <c r="N165" s="103">
        <f>VLOOKUP($A165,'OI(Value)'!$A$7:$O$306,11,0)</f>
        <v>143</v>
      </c>
      <c r="O165" s="103">
        <f>VLOOKUP($A165,'OI(Value)'!$A$7:$O$306,12,0)</f>
        <v>1</v>
      </c>
      <c r="P165" s="179">
        <f>VLOOKUP(A165,'OI(Value)'!A165:O366,8,0)</f>
        <v>194</v>
      </c>
      <c r="Q165" s="179">
        <f>VLOOKUP(A165,'OI(Value)'!A165:O366,9,0)</f>
        <v>-7</v>
      </c>
      <c r="R165" s="179">
        <f>VLOOKUP(A165,'OI(Value)'!A165:O366,11,0)</f>
        <v>143</v>
      </c>
      <c r="S165" s="179">
        <f>VLOOKUP(A165,'OI(Value)'!A165:O366,11,0)</f>
        <v>143</v>
      </c>
    </row>
    <row r="166" spans="1:19" x14ac:dyDescent="0.25">
      <c r="A166" s="105" t="str">
        <f>'Data shares'!C161</f>
        <v>PNB</v>
      </c>
      <c r="B166" s="143">
        <f>VLOOKUP($A166,'Data shares'!$C:$FA,118)</f>
        <v>0.96</v>
      </c>
      <c r="C166" s="143">
        <f>VLOOKUP($A166,'Data shares'!$C:$FA,119)</f>
        <v>0.95</v>
      </c>
      <c r="D166" s="143">
        <f>VLOOKUP($A166,'Data shares'!$C:$FA,121)*100</f>
        <v>1.05</v>
      </c>
      <c r="E166" s="143">
        <f>VLOOKUP($A166,'Data shares'!$C:$FA,124)</f>
        <v>0.81</v>
      </c>
      <c r="F166" s="143">
        <f>VLOOKUP($A166,'Data shares'!$C:$FA,125)</f>
        <v>0.61</v>
      </c>
      <c r="G166" s="143">
        <f>VLOOKUP($A166,'Data shares'!$C:$FA,127)*100</f>
        <v>32.79</v>
      </c>
      <c r="H166" s="103">
        <f>VLOOKUP($A166,'OI(Volume)'!$A$7:$O$427,8)</f>
        <v>75600000</v>
      </c>
      <c r="I166" s="103">
        <f>VLOOKUP($A166,'OI(Volume)'!$A$7:$O$427,9)</f>
        <v>5256000</v>
      </c>
      <c r="J166" s="103">
        <f>VLOOKUP($A166,'OI(Volume)'!$A$7:$O$427,11)</f>
        <v>72640000</v>
      </c>
      <c r="K166" s="103">
        <f>VLOOKUP($A166,'OI(Volume)'!$A$7:$O$427,12)</f>
        <v>5760000</v>
      </c>
      <c r="L166" s="103">
        <f>VLOOKUP($A166,'OI(Value)'!$A$7:$O$306,8,0)</f>
        <v>953</v>
      </c>
      <c r="M166" s="103">
        <f>VLOOKUP($A166,'OI(Value)'!$A$7:$O$306,9,0)</f>
        <v>66</v>
      </c>
      <c r="N166" s="103">
        <f>VLOOKUP($A166,'OI(Value)'!$A$7:$O$306,11,0)</f>
        <v>915</v>
      </c>
      <c r="O166" s="103">
        <f>VLOOKUP($A166,'OI(Value)'!$A$7:$O$306,12,0)</f>
        <v>73</v>
      </c>
      <c r="P166" s="179">
        <f>VLOOKUP(A166,'OI(Value)'!A166:O367,8,0)</f>
        <v>953</v>
      </c>
      <c r="Q166" s="179">
        <f>VLOOKUP(A166,'OI(Value)'!A166:O367,9,0)</f>
        <v>66</v>
      </c>
      <c r="R166" s="179">
        <f>VLOOKUP(A166,'OI(Value)'!A166:O367,11,0)</f>
        <v>915</v>
      </c>
      <c r="S166" s="179">
        <f>VLOOKUP(A166,'OI(Value)'!A166:O367,11,0)</f>
        <v>915</v>
      </c>
    </row>
    <row r="167" spans="1:19" x14ac:dyDescent="0.25">
      <c r="A167" s="105" t="str">
        <f>'Data shares'!C162</f>
        <v>PNBHOUSING</v>
      </c>
      <c r="B167" s="143">
        <f>VLOOKUP($A167,'Data shares'!$C:$FA,118)</f>
        <v>0.69</v>
      </c>
      <c r="C167" s="143">
        <f>VLOOKUP($A167,'Data shares'!$C:$FA,119)</f>
        <v>0.78</v>
      </c>
      <c r="D167" s="143">
        <f>VLOOKUP($A167,'Data shares'!$C:$FA,121)*100</f>
        <v>-11.540000000000001</v>
      </c>
      <c r="E167" s="143">
        <f>VLOOKUP($A167,'Data shares'!$C:$FA,124)</f>
        <v>0.64</v>
      </c>
      <c r="F167" s="143">
        <f>VLOOKUP($A167,'Data shares'!$C:$FA,125)</f>
        <v>0.4</v>
      </c>
      <c r="G167" s="143">
        <f>VLOOKUP($A167,'Data shares'!$C:$FA,127)*100</f>
        <v>60</v>
      </c>
      <c r="H167" s="103">
        <f>VLOOKUP($A167,'OI(Volume)'!$A$7:$O$427,8)</f>
        <v>2998450</v>
      </c>
      <c r="I167" s="103">
        <f>VLOOKUP($A167,'OI(Volume)'!$A$7:$O$427,9)</f>
        <v>362700</v>
      </c>
      <c r="J167" s="103">
        <f>VLOOKUP($A167,'OI(Volume)'!$A$7:$O$427,11)</f>
        <v>2065700</v>
      </c>
      <c r="K167" s="103">
        <f>VLOOKUP($A167,'OI(Volume)'!$A$7:$O$427,12)</f>
        <v>-3250</v>
      </c>
      <c r="L167" s="103">
        <f>VLOOKUP($A167,'OI(Value)'!$A$7:$O$306,8,0)</f>
        <v>302</v>
      </c>
      <c r="M167" s="103">
        <f>VLOOKUP($A167,'OI(Value)'!$A$7:$O$306,9,0)</f>
        <v>37</v>
      </c>
      <c r="N167" s="103">
        <f>VLOOKUP($A167,'OI(Value)'!$A$7:$O$306,11,0)</f>
        <v>208</v>
      </c>
      <c r="O167" s="103">
        <f>VLOOKUP($A167,'OI(Value)'!$A$7:$O$306,12,0)</f>
        <v>0</v>
      </c>
      <c r="P167" s="179">
        <f>VLOOKUP(A167,'OI(Value)'!A167:O368,8,0)</f>
        <v>302</v>
      </c>
      <c r="Q167" s="179">
        <f>VLOOKUP(A167,'OI(Value)'!A167:O368,9,0)</f>
        <v>37</v>
      </c>
      <c r="R167" s="179">
        <f>VLOOKUP(A167,'OI(Value)'!A167:O368,11,0)</f>
        <v>208</v>
      </c>
      <c r="S167" s="179">
        <f>VLOOKUP(A167,'OI(Value)'!A167:O368,11,0)</f>
        <v>208</v>
      </c>
    </row>
    <row r="168" spans="1:19" x14ac:dyDescent="0.25">
      <c r="A168" s="105" t="str">
        <f>'Data shares'!C163</f>
        <v>POLICYBZR</v>
      </c>
      <c r="B168" s="143">
        <f>VLOOKUP($A168,'Data shares'!$C:$FA,118)</f>
        <v>0.56999999999999995</v>
      </c>
      <c r="C168" s="143">
        <f>VLOOKUP($A168,'Data shares'!$C:$FA,119)</f>
        <v>0.62</v>
      </c>
      <c r="D168" s="143">
        <f>VLOOKUP($A168,'Data shares'!$C:$FA,121)*100</f>
        <v>-8.06</v>
      </c>
      <c r="E168" s="143">
        <f>VLOOKUP($A168,'Data shares'!$C:$FA,124)</f>
        <v>0.64</v>
      </c>
      <c r="F168" s="143">
        <f>VLOOKUP($A168,'Data shares'!$C:$FA,125)</f>
        <v>0.42</v>
      </c>
      <c r="G168" s="143">
        <f>VLOOKUP($A168,'Data shares'!$C:$FA,127)*100</f>
        <v>52.38</v>
      </c>
      <c r="H168" s="103">
        <f>VLOOKUP($A168,'OI(Volume)'!$A$7:$O$427,8)</f>
        <v>2174900</v>
      </c>
      <c r="I168" s="103">
        <f>VLOOKUP($A168,'OI(Volume)'!$A$7:$O$427,9)</f>
        <v>370650</v>
      </c>
      <c r="J168" s="103">
        <f>VLOOKUP($A168,'OI(Volume)'!$A$7:$O$427,11)</f>
        <v>1246350</v>
      </c>
      <c r="K168" s="103">
        <f>VLOOKUP($A168,'OI(Volume)'!$A$7:$O$427,12)</f>
        <v>126700</v>
      </c>
      <c r="L168" s="103">
        <f>VLOOKUP($A168,'OI(Value)'!$A$7:$O$306,8,0)</f>
        <v>375</v>
      </c>
      <c r="M168" s="103">
        <f>VLOOKUP($A168,'OI(Value)'!$A$7:$O$306,9,0)</f>
        <v>64</v>
      </c>
      <c r="N168" s="103">
        <f>VLOOKUP($A168,'OI(Value)'!$A$7:$O$306,11,0)</f>
        <v>215</v>
      </c>
      <c r="O168" s="103">
        <f>VLOOKUP($A168,'OI(Value)'!$A$7:$O$306,12,0)</f>
        <v>22</v>
      </c>
      <c r="P168" s="179">
        <f>VLOOKUP(A168,'OI(Value)'!A168:O369,8,0)</f>
        <v>375</v>
      </c>
      <c r="Q168" s="179">
        <f>VLOOKUP(A168,'OI(Value)'!A168:O369,9,0)</f>
        <v>64</v>
      </c>
      <c r="R168" s="179">
        <f>VLOOKUP(A168,'OI(Value)'!A168:O369,11,0)</f>
        <v>215</v>
      </c>
      <c r="S168" s="179">
        <f>VLOOKUP(A168,'OI(Value)'!A168:O369,11,0)</f>
        <v>215</v>
      </c>
    </row>
    <row r="169" spans="1:19" x14ac:dyDescent="0.25">
      <c r="A169" s="105" t="str">
        <f>'Data shares'!C164</f>
        <v>POLYCAB</v>
      </c>
      <c r="B169" s="143">
        <f>VLOOKUP($A169,'Data shares'!$C:$FA,118)</f>
        <v>0.68</v>
      </c>
      <c r="C169" s="143">
        <f>VLOOKUP($A169,'Data shares'!$C:$FA,119)</f>
        <v>0.87</v>
      </c>
      <c r="D169" s="143">
        <f>VLOOKUP($A169,'Data shares'!$C:$FA,121)*100</f>
        <v>-21.84</v>
      </c>
      <c r="E169" s="143">
        <f>VLOOKUP($A169,'Data shares'!$C:$FA,124)</f>
        <v>0.34</v>
      </c>
      <c r="F169" s="143">
        <f>VLOOKUP($A169,'Data shares'!$C:$FA,125)</f>
        <v>0.46</v>
      </c>
      <c r="G169" s="143">
        <f>VLOOKUP($A169,'Data shares'!$C:$FA,127)*100</f>
        <v>-26.090000000000003</v>
      </c>
      <c r="H169" s="103">
        <f>VLOOKUP($A169,'OI(Volume)'!$A$7:$O$427,8)</f>
        <v>704500</v>
      </c>
      <c r="I169" s="103">
        <f>VLOOKUP($A169,'OI(Volume)'!$A$7:$O$427,9)</f>
        <v>218875</v>
      </c>
      <c r="J169" s="103">
        <f>VLOOKUP($A169,'OI(Volume)'!$A$7:$O$427,11)</f>
        <v>479375</v>
      </c>
      <c r="K169" s="103">
        <f>VLOOKUP($A169,'OI(Volume)'!$A$7:$O$427,12)</f>
        <v>54500</v>
      </c>
      <c r="L169" s="103">
        <f>VLOOKUP($A169,'OI(Value)'!$A$7:$O$306,8,0)</f>
        <v>559</v>
      </c>
      <c r="M169" s="103">
        <f>VLOOKUP($A169,'OI(Value)'!$A$7:$O$306,9,0)</f>
        <v>174</v>
      </c>
      <c r="N169" s="103">
        <f>VLOOKUP($A169,'OI(Value)'!$A$7:$O$306,11,0)</f>
        <v>380</v>
      </c>
      <c r="O169" s="103">
        <f>VLOOKUP($A169,'OI(Value)'!$A$7:$O$306,12,0)</f>
        <v>43</v>
      </c>
      <c r="P169" s="179">
        <f>VLOOKUP(A169,'OI(Value)'!A169:O370,8,0)</f>
        <v>559</v>
      </c>
      <c r="Q169" s="179">
        <f>VLOOKUP(A169,'OI(Value)'!A169:O370,9,0)</f>
        <v>174</v>
      </c>
      <c r="R169" s="179">
        <f>VLOOKUP(A169,'OI(Value)'!A169:O370,11,0)</f>
        <v>380</v>
      </c>
      <c r="S169" s="179">
        <f>VLOOKUP(A169,'OI(Value)'!A169:O370,11,0)</f>
        <v>380</v>
      </c>
    </row>
    <row r="170" spans="1:19" x14ac:dyDescent="0.25">
      <c r="A170" s="105" t="str">
        <f>'Data shares'!C165</f>
        <v>POWERGRID</v>
      </c>
      <c r="B170" s="143">
        <f>VLOOKUP($A170,'Data shares'!$C:$FA,118)</f>
        <v>0.63</v>
      </c>
      <c r="C170" s="143">
        <f>VLOOKUP($A170,'Data shares'!$C:$FA,119)</f>
        <v>0.66</v>
      </c>
      <c r="D170" s="143">
        <f>VLOOKUP($A170,'Data shares'!$C:$FA,121)*100</f>
        <v>-4.55</v>
      </c>
      <c r="E170" s="143">
        <f>VLOOKUP($A170,'Data shares'!$C:$FA,124)</f>
        <v>0.4</v>
      </c>
      <c r="F170" s="143">
        <f>VLOOKUP($A170,'Data shares'!$C:$FA,125)</f>
        <v>0.32</v>
      </c>
      <c r="G170" s="143">
        <f>VLOOKUP($A170,'Data shares'!$C:$FA,127)*100</f>
        <v>25</v>
      </c>
      <c r="H170" s="103">
        <f>VLOOKUP($A170,'OI(Volume)'!$A$7:$O$427,8)</f>
        <v>33755400</v>
      </c>
      <c r="I170" s="103">
        <f>VLOOKUP($A170,'OI(Volume)'!$A$7:$O$427,9)</f>
        <v>4691100</v>
      </c>
      <c r="J170" s="103">
        <f>VLOOKUP($A170,'OI(Volume)'!$A$7:$O$427,11)</f>
        <v>21361700</v>
      </c>
      <c r="K170" s="103">
        <f>VLOOKUP($A170,'OI(Volume)'!$A$7:$O$427,12)</f>
        <v>2124200</v>
      </c>
      <c r="L170" s="103">
        <f>VLOOKUP($A170,'OI(Value)'!$A$7:$O$306,8,0)</f>
        <v>896</v>
      </c>
      <c r="M170" s="103">
        <f>VLOOKUP($A170,'OI(Value)'!$A$7:$O$306,9,0)</f>
        <v>125</v>
      </c>
      <c r="N170" s="103">
        <f>VLOOKUP($A170,'OI(Value)'!$A$7:$O$306,11,0)</f>
        <v>567</v>
      </c>
      <c r="O170" s="103">
        <f>VLOOKUP($A170,'OI(Value)'!$A$7:$O$306,12,0)</f>
        <v>56</v>
      </c>
      <c r="P170" s="179">
        <f>VLOOKUP(A170,'OI(Value)'!A170:O371,8,0)</f>
        <v>896</v>
      </c>
      <c r="Q170" s="179">
        <f>VLOOKUP(A170,'OI(Value)'!A170:O371,9,0)</f>
        <v>125</v>
      </c>
      <c r="R170" s="179">
        <f>VLOOKUP(A170,'OI(Value)'!A170:O371,11,0)</f>
        <v>567</v>
      </c>
      <c r="S170" s="179">
        <f>VLOOKUP(A170,'OI(Value)'!A170:O371,11,0)</f>
        <v>567</v>
      </c>
    </row>
    <row r="171" spans="1:19" x14ac:dyDescent="0.25">
      <c r="A171" s="105" t="str">
        <f>'Data shares'!C166</f>
        <v>POWERINDIA</v>
      </c>
      <c r="B171" s="143">
        <f>VLOOKUP($A171,'Data shares'!$C:$FA,118)</f>
        <v>0.49</v>
      </c>
      <c r="C171" s="143">
        <f>VLOOKUP($A171,'Data shares'!$C:$FA,119)</f>
        <v>0.49</v>
      </c>
      <c r="D171" s="143">
        <f>VLOOKUP($A171,'Data shares'!$C:$FA,121)*100</f>
        <v>0</v>
      </c>
      <c r="E171" s="143">
        <f>VLOOKUP($A171,'Data shares'!$C:$FA,124)</f>
        <v>0.18</v>
      </c>
      <c r="F171" s="143">
        <f>VLOOKUP($A171,'Data shares'!$C:$FA,125)</f>
        <v>0.42</v>
      </c>
      <c r="G171" s="143">
        <f>VLOOKUP($A171,'Data shares'!$C:$FA,127)*100</f>
        <v>-57.14</v>
      </c>
      <c r="H171" s="103">
        <f>VLOOKUP($A171,'OI(Volume)'!$A$7:$O$427,8)</f>
        <v>134400</v>
      </c>
      <c r="I171" s="103">
        <f>VLOOKUP($A171,'OI(Volume)'!$A$7:$O$427,9)</f>
        <v>50350</v>
      </c>
      <c r="J171" s="103">
        <f>VLOOKUP($A171,'OI(Volume)'!$A$7:$O$427,11)</f>
        <v>65950</v>
      </c>
      <c r="K171" s="103">
        <f>VLOOKUP($A171,'OI(Volume)'!$A$7:$O$427,12)</f>
        <v>24350</v>
      </c>
      <c r="L171" s="103">
        <f>VLOOKUP($A171,'OI(Value)'!$A$7:$O$306,8,0)</f>
        <v>264</v>
      </c>
      <c r="M171" s="103">
        <f>VLOOKUP($A171,'OI(Value)'!$A$7:$O$306,9,0)</f>
        <v>99</v>
      </c>
      <c r="N171" s="103">
        <f>VLOOKUP($A171,'OI(Value)'!$A$7:$O$306,11,0)</f>
        <v>129</v>
      </c>
      <c r="O171" s="103">
        <f>VLOOKUP($A171,'OI(Value)'!$A$7:$O$306,12,0)</f>
        <v>48</v>
      </c>
      <c r="P171" s="179">
        <f>VLOOKUP(A171,'OI(Value)'!A171:O372,8,0)</f>
        <v>264</v>
      </c>
      <c r="Q171" s="179">
        <f>VLOOKUP(A171,'OI(Value)'!A171:O372,9,0)</f>
        <v>99</v>
      </c>
      <c r="R171" s="179">
        <f>VLOOKUP(A171,'OI(Value)'!A171:O372,11,0)</f>
        <v>129</v>
      </c>
      <c r="S171" s="179">
        <f>VLOOKUP(A171,'OI(Value)'!A171:O372,11,0)</f>
        <v>129</v>
      </c>
    </row>
    <row r="172" spans="1:19" x14ac:dyDescent="0.25">
      <c r="A172" s="105" t="str">
        <f>'Data shares'!C167</f>
        <v>PPLPHARMA</v>
      </c>
      <c r="B172" s="143">
        <f>VLOOKUP($A172,'Data shares'!$C:$FA,118)</f>
        <v>0.57999999999999996</v>
      </c>
      <c r="C172" s="143">
        <f>VLOOKUP($A172,'Data shares'!$C:$FA,119)</f>
        <v>0.63</v>
      </c>
      <c r="D172" s="143">
        <f>VLOOKUP($A172,'Data shares'!$C:$FA,121)*100</f>
        <v>-7.9399999999999995</v>
      </c>
      <c r="E172" s="143">
        <f>VLOOKUP($A172,'Data shares'!$C:$FA,124)</f>
        <v>0.17</v>
      </c>
      <c r="F172" s="143">
        <f>VLOOKUP($A172,'Data shares'!$C:$FA,125)</f>
        <v>0.4</v>
      </c>
      <c r="G172" s="143">
        <f>VLOOKUP($A172,'Data shares'!$C:$FA,127)*100</f>
        <v>-57.499999999999993</v>
      </c>
      <c r="H172" s="103">
        <f>VLOOKUP($A172,'OI(Volume)'!$A$7:$O$427,8)</f>
        <v>11200875</v>
      </c>
      <c r="I172" s="103">
        <f>VLOOKUP($A172,'OI(Volume)'!$A$7:$O$427,9)</f>
        <v>1519875</v>
      </c>
      <c r="J172" s="103">
        <f>VLOOKUP($A172,'OI(Volume)'!$A$7:$O$427,11)</f>
        <v>6552000</v>
      </c>
      <c r="K172" s="103">
        <f>VLOOKUP($A172,'OI(Volume)'!$A$7:$O$427,12)</f>
        <v>433125</v>
      </c>
      <c r="L172" s="103">
        <f>VLOOKUP($A172,'OI(Value)'!$A$7:$O$306,8,0)</f>
        <v>204</v>
      </c>
      <c r="M172" s="103">
        <f>VLOOKUP($A172,'OI(Value)'!$A$7:$O$306,9,0)</f>
        <v>28</v>
      </c>
      <c r="N172" s="103">
        <f>VLOOKUP($A172,'OI(Value)'!$A$7:$O$306,11,0)</f>
        <v>119</v>
      </c>
      <c r="O172" s="103">
        <f>VLOOKUP($A172,'OI(Value)'!$A$7:$O$306,12,0)</f>
        <v>8</v>
      </c>
      <c r="P172" s="179">
        <f>VLOOKUP(A172,'OI(Value)'!A172:O373,8,0)</f>
        <v>204</v>
      </c>
      <c r="Q172" s="179">
        <f>VLOOKUP(A172,'OI(Value)'!A172:O373,9,0)</f>
        <v>28</v>
      </c>
      <c r="R172" s="179">
        <f>VLOOKUP(A172,'OI(Value)'!A172:O373,11,0)</f>
        <v>119</v>
      </c>
      <c r="S172" s="179">
        <f>VLOOKUP(A172,'OI(Value)'!A172:O373,11,0)</f>
        <v>119</v>
      </c>
    </row>
    <row r="173" spans="1:19" x14ac:dyDescent="0.25">
      <c r="A173" s="105" t="str">
        <f>'Data shares'!C168</f>
        <v>PREMIERENE</v>
      </c>
      <c r="B173" s="143">
        <f>VLOOKUP($A173,'Data shares'!$C:$FA,118)</f>
        <v>0.69</v>
      </c>
      <c r="C173" s="143">
        <f>VLOOKUP($A173,'Data shares'!$C:$FA,119)</f>
        <v>0.78</v>
      </c>
      <c r="D173" s="143">
        <f>VLOOKUP($A173,'Data shares'!$C:$FA,121)*100</f>
        <v>-11.540000000000001</v>
      </c>
      <c r="E173" s="143">
        <f>VLOOKUP($A173,'Data shares'!$C:$FA,124)</f>
        <v>0.56999999999999995</v>
      </c>
      <c r="F173" s="143">
        <f>VLOOKUP($A173,'Data shares'!$C:$FA,125)</f>
        <v>1.39</v>
      </c>
      <c r="G173" s="143">
        <f>VLOOKUP($A173,'Data shares'!$C:$FA,127)*100</f>
        <v>-58.989999999999995</v>
      </c>
      <c r="H173" s="103">
        <f>VLOOKUP($A173,'OI(Volume)'!$A$7:$O$427,8)</f>
        <v>3643200</v>
      </c>
      <c r="I173" s="103">
        <f>VLOOKUP($A173,'OI(Volume)'!$A$7:$O$427,9)</f>
        <v>834325</v>
      </c>
      <c r="J173" s="103">
        <f>VLOOKUP($A173,'OI(Volume)'!$A$7:$O$427,11)</f>
        <v>2516775</v>
      </c>
      <c r="K173" s="103">
        <f>VLOOKUP($A173,'OI(Volume)'!$A$7:$O$427,12)</f>
        <v>316250</v>
      </c>
      <c r="L173" s="103">
        <f>VLOOKUP($A173,'OI(Value)'!$A$7:$O$306,8,0)</f>
        <v>275</v>
      </c>
      <c r="M173" s="103">
        <f>VLOOKUP($A173,'OI(Value)'!$A$7:$O$306,9,0)</f>
        <v>63</v>
      </c>
      <c r="N173" s="103">
        <f>VLOOKUP($A173,'OI(Value)'!$A$7:$O$306,11,0)</f>
        <v>190</v>
      </c>
      <c r="O173" s="103">
        <f>VLOOKUP($A173,'OI(Value)'!$A$7:$O$306,12,0)</f>
        <v>24</v>
      </c>
    </row>
    <row r="174" spans="1:19" x14ac:dyDescent="0.25">
      <c r="A174" s="105" t="str">
        <f>'Data shares'!C169</f>
        <v>PRESTIGE</v>
      </c>
      <c r="B174" s="143">
        <f>VLOOKUP($A174,'Data shares'!$C:$FA,118)</f>
        <v>0.63</v>
      </c>
      <c r="C174" s="143">
        <f>VLOOKUP($A174,'Data shares'!$C:$FA,119)</f>
        <v>0.84</v>
      </c>
      <c r="D174" s="143">
        <f>VLOOKUP($A174,'Data shares'!$C:$FA,121)*100</f>
        <v>-25</v>
      </c>
      <c r="E174" s="143">
        <f>VLOOKUP($A174,'Data shares'!$C:$FA,124)</f>
        <v>0.49</v>
      </c>
      <c r="F174" s="143">
        <f>VLOOKUP($A174,'Data shares'!$C:$FA,125)</f>
        <v>0.34</v>
      </c>
      <c r="G174" s="143">
        <f>VLOOKUP($A174,'Data shares'!$C:$FA,127)*100</f>
        <v>44.12</v>
      </c>
      <c r="H174" s="103">
        <f>VLOOKUP($A174,'OI(Volume)'!$A$7:$O$427,8)</f>
        <v>1386900</v>
      </c>
      <c r="I174" s="103">
        <f>VLOOKUP($A174,'OI(Volume)'!$A$7:$O$427,9)</f>
        <v>424350</v>
      </c>
      <c r="J174" s="103">
        <f>VLOOKUP($A174,'OI(Volume)'!$A$7:$O$427,11)</f>
        <v>868950</v>
      </c>
      <c r="K174" s="103">
        <f>VLOOKUP($A174,'OI(Volume)'!$A$7:$O$427,12)</f>
        <v>61650</v>
      </c>
      <c r="L174" s="103">
        <f>VLOOKUP($A174,'OI(Value)'!$A$7:$O$306,8,0)</f>
        <v>225</v>
      </c>
      <c r="M174" s="103">
        <f>VLOOKUP($A174,'OI(Value)'!$A$7:$O$306,9,0)</f>
        <v>69</v>
      </c>
      <c r="N174" s="103">
        <f>VLOOKUP($A174,'OI(Value)'!$A$7:$O$306,11,0)</f>
        <v>141</v>
      </c>
      <c r="O174" s="103">
        <f>VLOOKUP($A174,'OI(Value)'!$A$7:$O$306,12,0)</f>
        <v>10</v>
      </c>
    </row>
    <row r="175" spans="1:19" x14ac:dyDescent="0.25">
      <c r="A175" s="105" t="str">
        <f>'Data shares'!C170</f>
        <v>RBLBANK</v>
      </c>
      <c r="B175" s="143">
        <f>VLOOKUP($A175,'Data shares'!$C:$FA,118)</f>
        <v>0.66</v>
      </c>
      <c r="C175" s="143">
        <f>VLOOKUP($A175,'Data shares'!$C:$FA,119)</f>
        <v>0.62</v>
      </c>
      <c r="D175" s="143">
        <f>VLOOKUP($A175,'Data shares'!$C:$FA,121)*100</f>
        <v>6.45</v>
      </c>
      <c r="E175" s="143">
        <f>VLOOKUP($A175,'Data shares'!$C:$FA,124)</f>
        <v>0.59</v>
      </c>
      <c r="F175" s="143">
        <f>VLOOKUP($A175,'Data shares'!$C:$FA,125)</f>
        <v>0.34</v>
      </c>
      <c r="G175" s="143">
        <f>VLOOKUP($A175,'Data shares'!$C:$FA,127)*100</f>
        <v>73.53</v>
      </c>
      <c r="H175" s="103">
        <f>VLOOKUP($A175,'OI(Volume)'!$A$7:$O$427,8)</f>
        <v>17703800</v>
      </c>
      <c r="I175" s="103">
        <f>VLOOKUP($A175,'OI(Volume)'!$A$7:$O$427,9)</f>
        <v>-444500</v>
      </c>
      <c r="J175" s="103">
        <f>VLOOKUP($A175,'OI(Volume)'!$A$7:$O$427,11)</f>
        <v>11617325</v>
      </c>
      <c r="K175" s="103">
        <f>VLOOKUP($A175,'OI(Volume)'!$A$7:$O$427,12)</f>
        <v>403225</v>
      </c>
      <c r="L175" s="103">
        <f>VLOOKUP($A175,'OI(Value)'!$A$7:$O$306,8,0)</f>
        <v>565</v>
      </c>
      <c r="M175" s="103">
        <f>VLOOKUP($A175,'OI(Value)'!$A$7:$O$306,9,0)</f>
        <v>-14</v>
      </c>
      <c r="N175" s="103">
        <f>VLOOKUP($A175,'OI(Value)'!$A$7:$O$306,11,0)</f>
        <v>371</v>
      </c>
      <c r="O175" s="103">
        <f>VLOOKUP($A175,'OI(Value)'!$A$7:$O$306,12,0)</f>
        <v>13</v>
      </c>
    </row>
    <row r="176" spans="1:19" x14ac:dyDescent="0.25">
      <c r="A176" s="105" t="str">
        <f>'Data shares'!C171</f>
        <v>RECLTD</v>
      </c>
      <c r="B176" s="143">
        <f>VLOOKUP($A176,'Data shares'!$C:$FA,118)</f>
        <v>0.8</v>
      </c>
      <c r="C176" s="143">
        <f>VLOOKUP($A176,'Data shares'!$C:$FA,119)</f>
        <v>0.75</v>
      </c>
      <c r="D176" s="143">
        <f>VLOOKUP($A176,'Data shares'!$C:$FA,121)*100</f>
        <v>6.67</v>
      </c>
      <c r="E176" s="143">
        <f>VLOOKUP($A176,'Data shares'!$C:$FA,124)</f>
        <v>0.49</v>
      </c>
      <c r="F176" s="143">
        <f>VLOOKUP($A176,'Data shares'!$C:$FA,125)</f>
        <v>0.35</v>
      </c>
      <c r="G176" s="143">
        <f>VLOOKUP($A176,'Data shares'!$C:$FA,127)*100</f>
        <v>40</v>
      </c>
      <c r="H176" s="103">
        <f>VLOOKUP($A176,'OI(Volume)'!$A$7:$O$427,8)</f>
        <v>38379600</v>
      </c>
      <c r="I176" s="103">
        <f>VLOOKUP($A176,'OI(Volume)'!$A$7:$O$427,9)</f>
        <v>565600</v>
      </c>
      <c r="J176" s="103">
        <f>VLOOKUP($A176,'OI(Volume)'!$A$7:$O$427,11)</f>
        <v>30676800</v>
      </c>
      <c r="K176" s="103">
        <f>VLOOKUP($A176,'OI(Volume)'!$A$7:$O$427,12)</f>
        <v>2356200</v>
      </c>
      <c r="L176" s="103">
        <f>VLOOKUP($A176,'OI(Value)'!$A$7:$O$306,8,0)</f>
        <v>1479</v>
      </c>
      <c r="M176" s="103">
        <f>VLOOKUP($A176,'OI(Value)'!$A$7:$O$306,9,0)</f>
        <v>22</v>
      </c>
      <c r="N176" s="103">
        <f>VLOOKUP($A176,'OI(Value)'!$A$7:$O$306,11,0)</f>
        <v>1182</v>
      </c>
      <c r="O176" s="103">
        <f>VLOOKUP($A176,'OI(Value)'!$A$7:$O$306,12,0)</f>
        <v>91</v>
      </c>
    </row>
    <row r="177" spans="1:15" x14ac:dyDescent="0.25">
      <c r="A177" s="105" t="str">
        <f>'Data shares'!C172</f>
        <v>RELIANCE</v>
      </c>
      <c r="B177" s="143">
        <f>VLOOKUP($A177,'Data shares'!$C:$FA,118)</f>
        <v>0.42</v>
      </c>
      <c r="C177" s="143">
        <f>VLOOKUP($A177,'Data shares'!$C:$FA,119)</f>
        <v>0.42</v>
      </c>
      <c r="D177" s="143">
        <f>VLOOKUP($A177,'Data shares'!$C:$FA,121)*100</f>
        <v>0</v>
      </c>
      <c r="E177" s="143">
        <f>VLOOKUP($A177,'Data shares'!$C:$FA,124)</f>
        <v>0.56999999999999995</v>
      </c>
      <c r="F177" s="143">
        <f>VLOOKUP($A177,'Data shares'!$C:$FA,125)</f>
        <v>0.67</v>
      </c>
      <c r="G177" s="143">
        <f>VLOOKUP($A177,'Data shares'!$C:$FA,127)*100</f>
        <v>-14.93</v>
      </c>
      <c r="H177" s="103">
        <f>VLOOKUP($A177,'OI(Volume)'!$A$7:$O$427,8)</f>
        <v>80809000</v>
      </c>
      <c r="I177" s="103">
        <f>VLOOKUP($A177,'OI(Volume)'!$A$7:$O$427,9)</f>
        <v>5186500</v>
      </c>
      <c r="J177" s="103">
        <f>VLOOKUP($A177,'OI(Volume)'!$A$7:$O$427,11)</f>
        <v>33754500</v>
      </c>
      <c r="K177" s="103">
        <f>VLOOKUP($A177,'OI(Volume)'!$A$7:$O$427,12)</f>
        <v>2233500</v>
      </c>
      <c r="L177" s="103">
        <f>VLOOKUP($A177,'OI(Value)'!$A$7:$O$306,8,0)</f>
        <v>12214</v>
      </c>
      <c r="M177" s="103">
        <f>VLOOKUP($A177,'OI(Value)'!$A$7:$O$306,9,0)</f>
        <v>784</v>
      </c>
      <c r="N177" s="103">
        <f>VLOOKUP($A177,'OI(Value)'!$A$7:$O$306,11,0)</f>
        <v>5102</v>
      </c>
      <c r="O177" s="103">
        <f>VLOOKUP($A177,'OI(Value)'!$A$7:$O$306,12,0)</f>
        <v>338</v>
      </c>
    </row>
    <row r="178" spans="1:15" x14ac:dyDescent="0.25">
      <c r="A178" s="105" t="str">
        <f>'Data shares'!C173</f>
        <v>RVNL</v>
      </c>
      <c r="B178" s="143">
        <f>VLOOKUP($A178,'Data shares'!$C:$FA,118)</f>
        <v>0.36</v>
      </c>
      <c r="C178" s="143">
        <f>VLOOKUP($A178,'Data shares'!$C:$FA,119)</f>
        <v>0.35</v>
      </c>
      <c r="D178" s="143">
        <f>VLOOKUP($A178,'Data shares'!$C:$FA,121)*100</f>
        <v>2.86</v>
      </c>
      <c r="E178" s="143">
        <f>VLOOKUP($A178,'Data shares'!$C:$FA,124)</f>
        <v>0.3</v>
      </c>
      <c r="F178" s="143">
        <f>VLOOKUP($A178,'Data shares'!$C:$FA,125)</f>
        <v>0.28999999999999998</v>
      </c>
      <c r="G178" s="143">
        <f>VLOOKUP($A178,'Data shares'!$C:$FA,127)*100</f>
        <v>3.45</v>
      </c>
      <c r="H178" s="103">
        <f>VLOOKUP($A178,'OI(Volume)'!$A$7:$O$427,8)</f>
        <v>45481600</v>
      </c>
      <c r="I178" s="103">
        <f>VLOOKUP($A178,'OI(Volume)'!$A$7:$O$427,9)</f>
        <v>759450</v>
      </c>
      <c r="J178" s="103">
        <f>VLOOKUP($A178,'OI(Volume)'!$A$7:$O$427,11)</f>
        <v>16238200</v>
      </c>
      <c r="K178" s="103">
        <f>VLOOKUP($A178,'OI(Volume)'!$A$7:$O$427,12)</f>
        <v>384300</v>
      </c>
      <c r="L178" s="103">
        <f>VLOOKUP($A178,'OI(Value)'!$A$7:$O$306,8,0)</f>
        <v>1627</v>
      </c>
      <c r="M178" s="103">
        <f>VLOOKUP($A178,'OI(Value)'!$A$7:$O$306,9,0)</f>
        <v>27</v>
      </c>
      <c r="N178" s="103">
        <f>VLOOKUP($A178,'OI(Value)'!$A$7:$O$306,11,0)</f>
        <v>581</v>
      </c>
      <c r="O178" s="103">
        <f>VLOOKUP($A178,'OI(Value)'!$A$7:$O$306,12,0)</f>
        <v>14</v>
      </c>
    </row>
    <row r="179" spans="1:15" x14ac:dyDescent="0.25">
      <c r="A179" s="105" t="str">
        <f>'Data shares'!C174</f>
        <v>SAIL</v>
      </c>
      <c r="B179" s="143">
        <f>VLOOKUP($A179,'Data shares'!$C:$FA,118)</f>
        <v>0.77</v>
      </c>
      <c r="C179" s="143">
        <f>VLOOKUP($A179,'Data shares'!$C:$FA,119)</f>
        <v>0.77</v>
      </c>
      <c r="D179" s="143">
        <f>VLOOKUP($A179,'Data shares'!$C:$FA,121)*100</f>
        <v>0</v>
      </c>
      <c r="E179" s="143">
        <f>VLOOKUP($A179,'Data shares'!$C:$FA,124)</f>
        <v>0.95</v>
      </c>
      <c r="F179" s="143">
        <f>VLOOKUP($A179,'Data shares'!$C:$FA,125)</f>
        <v>1.03</v>
      </c>
      <c r="G179" s="143">
        <f>VLOOKUP($A179,'Data shares'!$C:$FA,127)*100</f>
        <v>-7.7700000000000005</v>
      </c>
      <c r="H179" s="103">
        <f>VLOOKUP($A179,'OI(Volume)'!$A$7:$O$427,8)</f>
        <v>47460600</v>
      </c>
      <c r="I179" s="103">
        <f>VLOOKUP($A179,'OI(Volume)'!$A$7:$O$427,9)</f>
        <v>-427700</v>
      </c>
      <c r="J179" s="103">
        <f>VLOOKUP($A179,'OI(Volume)'!$A$7:$O$427,11)</f>
        <v>36580100</v>
      </c>
      <c r="K179" s="103">
        <f>VLOOKUP($A179,'OI(Volume)'!$A$7:$O$427,12)</f>
        <v>-465300</v>
      </c>
      <c r="L179" s="103">
        <f>VLOOKUP($A179,'OI(Value)'!$A$7:$O$306,8,0)</f>
        <v>715</v>
      </c>
      <c r="M179" s="103">
        <f>VLOOKUP($A179,'OI(Value)'!$A$7:$O$306,9,0)</f>
        <v>-6</v>
      </c>
      <c r="N179" s="103">
        <f>VLOOKUP($A179,'OI(Value)'!$A$7:$O$306,11,0)</f>
        <v>551</v>
      </c>
      <c r="O179" s="103">
        <f>VLOOKUP($A179,'OI(Value)'!$A$7:$O$306,12,0)</f>
        <v>-7</v>
      </c>
    </row>
    <row r="180" spans="1:15" x14ac:dyDescent="0.25">
      <c r="A180" s="105" t="str">
        <f>'Data shares'!C175</f>
        <v>SAMMAANCAP</v>
      </c>
      <c r="B180" s="143">
        <f>VLOOKUP($A180,'Data shares'!$C:$FA,118)</f>
        <v>0.73</v>
      </c>
      <c r="C180" s="143">
        <f>VLOOKUP($A180,'Data shares'!$C:$FA,119)</f>
        <v>0.72</v>
      </c>
      <c r="D180" s="143">
        <f>VLOOKUP($A180,'Data shares'!$C:$FA,121)*100</f>
        <v>1.39</v>
      </c>
      <c r="E180" s="143">
        <f>VLOOKUP($A180,'Data shares'!$C:$FA,124)</f>
        <v>0.53</v>
      </c>
      <c r="F180" s="143">
        <f>VLOOKUP($A180,'Data shares'!$C:$FA,125)</f>
        <v>0.41</v>
      </c>
      <c r="G180" s="143">
        <f>VLOOKUP($A180,'Data shares'!$C:$FA,127)*100</f>
        <v>29.270000000000003</v>
      </c>
      <c r="H180" s="103">
        <f>VLOOKUP($A180,'OI(Volume)'!$A$7:$O$427,8)</f>
        <v>32662800</v>
      </c>
      <c r="I180" s="103">
        <f>VLOOKUP($A180,'OI(Volume)'!$A$7:$O$427,9)</f>
        <v>-292400</v>
      </c>
      <c r="J180" s="103">
        <f>VLOOKUP($A180,'OI(Volume)'!$A$7:$O$427,11)</f>
        <v>23783300</v>
      </c>
      <c r="K180" s="103">
        <f>VLOOKUP($A180,'OI(Volume)'!$A$7:$O$427,12)</f>
        <v>-86000</v>
      </c>
      <c r="L180" s="103">
        <f>VLOOKUP($A180,'OI(Value)'!$A$7:$O$306,8,0)</f>
        <v>492</v>
      </c>
      <c r="M180" s="103">
        <f>VLOOKUP($A180,'OI(Value)'!$A$7:$O$306,9,0)</f>
        <v>-4</v>
      </c>
      <c r="N180" s="103">
        <f>VLOOKUP($A180,'OI(Value)'!$A$7:$O$306,11,0)</f>
        <v>359</v>
      </c>
      <c r="O180" s="103">
        <f>VLOOKUP($A180,'OI(Value)'!$A$7:$O$306,12,0)</f>
        <v>-1</v>
      </c>
    </row>
    <row r="181" spans="1:15" x14ac:dyDescent="0.25">
      <c r="A181" s="105" t="str">
        <f>'Data shares'!C176</f>
        <v>SBICARD</v>
      </c>
      <c r="B181" s="143">
        <f>VLOOKUP($A181,'Data shares'!$C:$FA,118)</f>
        <v>0.73</v>
      </c>
      <c r="C181" s="143">
        <f>VLOOKUP($A181,'Data shares'!$C:$FA,119)</f>
        <v>0.79</v>
      </c>
      <c r="D181" s="143">
        <f>VLOOKUP($A181,'Data shares'!$C:$FA,121)*100</f>
        <v>-7.59</v>
      </c>
      <c r="E181" s="143">
        <f>VLOOKUP($A181,'Data shares'!$C:$FA,124)</f>
        <v>0.48</v>
      </c>
      <c r="F181" s="143">
        <f>VLOOKUP($A181,'Data shares'!$C:$FA,125)</f>
        <v>0.4</v>
      </c>
      <c r="G181" s="143">
        <f>VLOOKUP($A181,'Data shares'!$C:$FA,127)*100</f>
        <v>20</v>
      </c>
      <c r="H181" s="103">
        <f>VLOOKUP($A181,'OI(Volume)'!$A$7:$O$427,8)</f>
        <v>5376000</v>
      </c>
      <c r="I181" s="103">
        <f>VLOOKUP($A181,'OI(Volume)'!$A$7:$O$427,9)</f>
        <v>692000</v>
      </c>
      <c r="J181" s="103">
        <f>VLOOKUP($A181,'OI(Volume)'!$A$7:$O$427,11)</f>
        <v>3904800</v>
      </c>
      <c r="K181" s="103">
        <f>VLOOKUP($A181,'OI(Volume)'!$A$7:$O$427,12)</f>
        <v>201600</v>
      </c>
      <c r="L181" s="103">
        <f>VLOOKUP($A181,'OI(Value)'!$A$7:$O$306,8,0)</f>
        <v>477</v>
      </c>
      <c r="M181" s="103">
        <f>VLOOKUP($A181,'OI(Value)'!$A$7:$O$306,9,0)</f>
        <v>61</v>
      </c>
      <c r="N181" s="103">
        <f>VLOOKUP($A181,'OI(Value)'!$A$7:$O$306,11,0)</f>
        <v>346</v>
      </c>
      <c r="O181" s="103">
        <f>VLOOKUP($A181,'OI(Value)'!$A$7:$O$306,12,0)</f>
        <v>18</v>
      </c>
    </row>
    <row r="182" spans="1:15" x14ac:dyDescent="0.25">
      <c r="A182" s="105" t="str">
        <f>'Data shares'!C177</f>
        <v>SBILIFE</v>
      </c>
      <c r="B182" s="143">
        <f>VLOOKUP($A182,'Data shares'!$C:$FA,118)</f>
        <v>0.37</v>
      </c>
      <c r="C182" s="143">
        <f>VLOOKUP($A182,'Data shares'!$C:$FA,119)</f>
        <v>0.46</v>
      </c>
      <c r="D182" s="143">
        <f>VLOOKUP($A182,'Data shares'!$C:$FA,121)*100</f>
        <v>-19.57</v>
      </c>
      <c r="E182" s="143">
        <f>VLOOKUP($A182,'Data shares'!$C:$FA,124)</f>
        <v>0.37</v>
      </c>
      <c r="F182" s="143">
        <f>VLOOKUP($A182,'Data shares'!$C:$FA,125)</f>
        <v>0.36</v>
      </c>
      <c r="G182" s="143">
        <f>VLOOKUP($A182,'Data shares'!$C:$FA,127)*100</f>
        <v>2.78</v>
      </c>
      <c r="H182" s="103">
        <f>VLOOKUP($A182,'OI(Volume)'!$A$7:$O$427,8)</f>
        <v>6115500</v>
      </c>
      <c r="I182" s="103">
        <f>VLOOKUP($A182,'OI(Volume)'!$A$7:$O$427,9)</f>
        <v>1462125</v>
      </c>
      <c r="J182" s="103">
        <f>VLOOKUP($A182,'OI(Volume)'!$A$7:$O$427,11)</f>
        <v>2238000</v>
      </c>
      <c r="K182" s="103">
        <f>VLOOKUP($A182,'OI(Volume)'!$A$7:$O$427,12)</f>
        <v>105750</v>
      </c>
      <c r="L182" s="103">
        <f>VLOOKUP($A182,'OI(Value)'!$A$7:$O$306,8,0)</f>
        <v>1272</v>
      </c>
      <c r="M182" s="103">
        <f>VLOOKUP($A182,'OI(Value)'!$A$7:$O$306,9,0)</f>
        <v>304</v>
      </c>
      <c r="N182" s="103">
        <f>VLOOKUP($A182,'OI(Value)'!$A$7:$O$306,11,0)</f>
        <v>465</v>
      </c>
      <c r="O182" s="103">
        <f>VLOOKUP($A182,'OI(Value)'!$A$7:$O$306,12,0)</f>
        <v>22</v>
      </c>
    </row>
    <row r="183" spans="1:15" x14ac:dyDescent="0.25">
      <c r="A183" s="105" t="str">
        <f>'Data shares'!C178</f>
        <v>SBIN</v>
      </c>
      <c r="B183" s="143">
        <f>VLOOKUP($A183,'Data shares'!$C:$FA,118)</f>
        <v>0.69</v>
      </c>
      <c r="C183" s="143">
        <f>VLOOKUP($A183,'Data shares'!$C:$FA,119)</f>
        <v>0.86</v>
      </c>
      <c r="D183" s="143">
        <f>VLOOKUP($A183,'Data shares'!$C:$FA,121)*100</f>
        <v>-19.77</v>
      </c>
      <c r="E183" s="143">
        <f>VLOOKUP($A183,'Data shares'!$C:$FA,124)</f>
        <v>0.77</v>
      </c>
      <c r="F183" s="143">
        <f>VLOOKUP($A183,'Data shares'!$C:$FA,125)</f>
        <v>0.59</v>
      </c>
      <c r="G183" s="143">
        <f>VLOOKUP($A183,'Data shares'!$C:$FA,127)*100</f>
        <v>30.509999999999998</v>
      </c>
      <c r="H183" s="103">
        <f>VLOOKUP($A183,'OI(Volume)'!$A$7:$O$427,8)</f>
        <v>38625750</v>
      </c>
      <c r="I183" s="103">
        <f>VLOOKUP($A183,'OI(Volume)'!$A$7:$O$427,9)</f>
        <v>2613000</v>
      </c>
      <c r="J183" s="103">
        <f>VLOOKUP($A183,'OI(Volume)'!$A$7:$O$427,11)</f>
        <v>26541750</v>
      </c>
      <c r="K183" s="103">
        <f>VLOOKUP($A183,'OI(Volume)'!$A$7:$O$427,12)</f>
        <v>-4595250</v>
      </c>
      <c r="L183" s="103">
        <f>VLOOKUP($A183,'OI(Value)'!$A$7:$O$306,8,0)</f>
        <v>3898</v>
      </c>
      <c r="M183" s="103">
        <f>VLOOKUP($A183,'OI(Value)'!$A$7:$O$306,9,0)</f>
        <v>264</v>
      </c>
      <c r="N183" s="103">
        <f>VLOOKUP($A183,'OI(Value)'!$A$7:$O$306,11,0)</f>
        <v>2679</v>
      </c>
      <c r="O183" s="103">
        <f>VLOOKUP($A183,'OI(Value)'!$A$7:$O$306,12,0)</f>
        <v>-464</v>
      </c>
    </row>
    <row r="184" spans="1:15" x14ac:dyDescent="0.25">
      <c r="A184" s="105" t="str">
        <f>'Data shares'!C179</f>
        <v>SHREECEM</v>
      </c>
      <c r="B184" s="143">
        <f>VLOOKUP($A184,'Data shares'!$C:$FA,118)</f>
        <v>0.69</v>
      </c>
      <c r="C184" s="143">
        <f>VLOOKUP($A184,'Data shares'!$C:$FA,119)</f>
        <v>0.71</v>
      </c>
      <c r="D184" s="143">
        <f>VLOOKUP($A184,'Data shares'!$C:$FA,121)*100</f>
        <v>-2.82</v>
      </c>
      <c r="E184" s="143">
        <f>VLOOKUP($A184,'Data shares'!$C:$FA,124)</f>
        <v>0.77</v>
      </c>
      <c r="F184" s="143">
        <f>VLOOKUP($A184,'Data shares'!$C:$FA,125)</f>
        <v>0.43</v>
      </c>
      <c r="G184" s="143">
        <f>VLOOKUP($A184,'Data shares'!$C:$FA,127)*100</f>
        <v>79.069999999999993</v>
      </c>
      <c r="H184" s="103">
        <f>VLOOKUP($A184,'OI(Volume)'!$A$7:$O$427,8)</f>
        <v>73275</v>
      </c>
      <c r="I184" s="103">
        <f>VLOOKUP($A184,'OI(Volume)'!$A$7:$O$427,9)</f>
        <v>3425</v>
      </c>
      <c r="J184" s="103">
        <f>VLOOKUP($A184,'OI(Volume)'!$A$7:$O$427,11)</f>
        <v>50225</v>
      </c>
      <c r="K184" s="103">
        <f>VLOOKUP($A184,'OI(Volume)'!$A$7:$O$427,12)</f>
        <v>950</v>
      </c>
      <c r="L184" s="103">
        <f>VLOOKUP($A184,'OI(Value)'!$A$7:$O$306,8,0)</f>
        <v>201</v>
      </c>
      <c r="M184" s="103">
        <f>VLOOKUP($A184,'OI(Value)'!$A$7:$O$306,9,0)</f>
        <v>9</v>
      </c>
      <c r="N184" s="103">
        <f>VLOOKUP($A184,'OI(Value)'!$A$7:$O$306,11,0)</f>
        <v>138</v>
      </c>
      <c r="O184" s="103">
        <f>VLOOKUP($A184,'OI(Value)'!$A$7:$O$306,12,0)</f>
        <v>3</v>
      </c>
    </row>
    <row r="185" spans="1:15" x14ac:dyDescent="0.25">
      <c r="A185" s="105" t="str">
        <f>'Data shares'!C180</f>
        <v>SHRIRAMFIN</v>
      </c>
      <c r="B185" s="143">
        <f>VLOOKUP($A185,'Data shares'!$C:$FA,118)</f>
        <v>0.88</v>
      </c>
      <c r="C185" s="143">
        <f>VLOOKUP($A185,'Data shares'!$C:$FA,119)</f>
        <v>0.89</v>
      </c>
      <c r="D185" s="143">
        <f>VLOOKUP($A185,'Data shares'!$C:$FA,121)*100</f>
        <v>-1.1199999999999999</v>
      </c>
      <c r="E185" s="143">
        <f>VLOOKUP($A185,'Data shares'!$C:$FA,124)</f>
        <v>0.61</v>
      </c>
      <c r="F185" s="143">
        <f>VLOOKUP($A185,'Data shares'!$C:$FA,125)</f>
        <v>0.61</v>
      </c>
      <c r="G185" s="143">
        <f>VLOOKUP($A185,'Data shares'!$C:$FA,127)*100</f>
        <v>0</v>
      </c>
      <c r="H185" s="103">
        <f>VLOOKUP($A185,'OI(Volume)'!$A$7:$O$427,8)</f>
        <v>13986225</v>
      </c>
      <c r="I185" s="103">
        <f>VLOOKUP($A185,'OI(Volume)'!$A$7:$O$427,9)</f>
        <v>-150150</v>
      </c>
      <c r="J185" s="103">
        <f>VLOOKUP($A185,'OI(Volume)'!$A$7:$O$427,11)</f>
        <v>12319725</v>
      </c>
      <c r="K185" s="103">
        <f>VLOOKUP($A185,'OI(Volume)'!$A$7:$O$427,12)</f>
        <v>-268125</v>
      </c>
      <c r="L185" s="103">
        <f>VLOOKUP($A185,'OI(Value)'!$A$7:$O$306,8,0)</f>
        <v>1400</v>
      </c>
      <c r="M185" s="103">
        <f>VLOOKUP($A185,'OI(Value)'!$A$7:$O$306,9,0)</f>
        <v>-15</v>
      </c>
      <c r="N185" s="103">
        <f>VLOOKUP($A185,'OI(Value)'!$A$7:$O$306,11,0)</f>
        <v>1233</v>
      </c>
      <c r="O185" s="103">
        <f>VLOOKUP($A185,'OI(Value)'!$A$7:$O$306,12,0)</f>
        <v>-27</v>
      </c>
    </row>
    <row r="186" spans="1:15" x14ac:dyDescent="0.25">
      <c r="A186" s="105" t="str">
        <f>'Data shares'!C181</f>
        <v>SIEMENS</v>
      </c>
      <c r="B186" s="143">
        <f>VLOOKUP($A186,'Data shares'!$C:$FA,118)</f>
        <v>0.56000000000000005</v>
      </c>
      <c r="C186" s="143">
        <f>VLOOKUP($A186,'Data shares'!$C:$FA,119)</f>
        <v>0.6</v>
      </c>
      <c r="D186" s="143">
        <f>VLOOKUP($A186,'Data shares'!$C:$FA,121)*100</f>
        <v>-6.67</v>
      </c>
      <c r="E186" s="143">
        <f>VLOOKUP($A186,'Data shares'!$C:$FA,124)</f>
        <v>0.4</v>
      </c>
      <c r="F186" s="143">
        <f>VLOOKUP($A186,'Data shares'!$C:$FA,125)</f>
        <v>0.41</v>
      </c>
      <c r="G186" s="143">
        <f>VLOOKUP($A186,'Data shares'!$C:$FA,127)*100</f>
        <v>-2.44</v>
      </c>
      <c r="H186" s="103">
        <f>VLOOKUP($A186,'OI(Volume)'!$A$7:$O$427,8)</f>
        <v>1062425</v>
      </c>
      <c r="I186" s="103">
        <f>VLOOKUP($A186,'OI(Volume)'!$A$7:$O$427,9)</f>
        <v>78925</v>
      </c>
      <c r="J186" s="103">
        <f>VLOOKUP($A186,'OI(Volume)'!$A$7:$O$427,11)</f>
        <v>599550</v>
      </c>
      <c r="K186" s="103">
        <f>VLOOKUP($A186,'OI(Volume)'!$A$7:$O$427,12)</f>
        <v>8225</v>
      </c>
      <c r="L186" s="103">
        <f>VLOOKUP($A186,'OI(Value)'!$A$7:$O$306,8,0)</f>
        <v>333</v>
      </c>
      <c r="M186" s="103">
        <f>VLOOKUP($A186,'OI(Value)'!$A$7:$O$306,9,0)</f>
        <v>25</v>
      </c>
      <c r="N186" s="103">
        <f>VLOOKUP($A186,'OI(Value)'!$A$7:$O$306,11,0)</f>
        <v>188</v>
      </c>
      <c r="O186" s="103">
        <f>VLOOKUP($A186,'OI(Value)'!$A$7:$O$306,12,0)</f>
        <v>3</v>
      </c>
    </row>
    <row r="187" spans="1:15" x14ac:dyDescent="0.25">
      <c r="A187" s="105" t="str">
        <f>'Data shares'!C182</f>
        <v>SOLARINDS</v>
      </c>
      <c r="B187" s="143">
        <f>VLOOKUP($A187,'Data shares'!$C:$FA,118)</f>
        <v>0.81</v>
      </c>
      <c r="C187" s="143">
        <f>VLOOKUP($A187,'Data shares'!$C:$FA,119)</f>
        <v>0.65</v>
      </c>
      <c r="D187" s="143">
        <f>VLOOKUP($A187,'Data shares'!$C:$FA,121)*100</f>
        <v>24.62</v>
      </c>
      <c r="E187" s="143">
        <f>VLOOKUP($A187,'Data shares'!$C:$FA,124)</f>
        <v>0.24</v>
      </c>
      <c r="F187" s="143">
        <f>VLOOKUP($A187,'Data shares'!$C:$FA,125)</f>
        <v>0.37</v>
      </c>
      <c r="G187" s="143">
        <f>VLOOKUP($A187,'Data shares'!$C:$FA,127)*100</f>
        <v>-35.14</v>
      </c>
      <c r="H187" s="103">
        <f>VLOOKUP($A187,'OI(Volume)'!$A$7:$O$427,8)</f>
        <v>385300</v>
      </c>
      <c r="I187" s="103">
        <f>VLOOKUP($A187,'OI(Volume)'!$A$7:$O$427,9)</f>
        <v>0</v>
      </c>
      <c r="J187" s="103">
        <f>VLOOKUP($A187,'OI(Volume)'!$A$7:$O$427,11)</f>
        <v>312350</v>
      </c>
      <c r="K187" s="103">
        <f>VLOOKUP($A187,'OI(Volume)'!$A$7:$O$427,12)</f>
        <v>63250</v>
      </c>
      <c r="L187" s="103">
        <f>VLOOKUP($A187,'OI(Value)'!$A$7:$O$306,8,0)</f>
        <v>516</v>
      </c>
      <c r="M187" s="103">
        <f>VLOOKUP($A187,'OI(Value)'!$A$7:$O$306,9,0)</f>
        <v>0</v>
      </c>
      <c r="N187" s="103">
        <f>VLOOKUP($A187,'OI(Value)'!$A$7:$O$306,11,0)</f>
        <v>418</v>
      </c>
      <c r="O187" s="103">
        <f>VLOOKUP($A187,'OI(Value)'!$A$7:$O$306,12,0)</f>
        <v>85</v>
      </c>
    </row>
    <row r="188" spans="1:15" x14ac:dyDescent="0.25">
      <c r="A188" s="105" t="str">
        <f>'Data shares'!C183</f>
        <v>SONACOMS</v>
      </c>
      <c r="B188" s="143">
        <f>VLOOKUP($A188,'Data shares'!$C:$FA,118)</f>
        <v>0.62</v>
      </c>
      <c r="C188" s="143">
        <f>VLOOKUP($A188,'Data shares'!$C:$FA,119)</f>
        <v>0.67</v>
      </c>
      <c r="D188" s="143">
        <f>VLOOKUP($A188,'Data shares'!$C:$FA,121)*100</f>
        <v>-7.46</v>
      </c>
      <c r="E188" s="143">
        <f>VLOOKUP($A188,'Data shares'!$C:$FA,124)</f>
        <v>0.56000000000000005</v>
      </c>
      <c r="F188" s="143">
        <f>VLOOKUP($A188,'Data shares'!$C:$FA,125)</f>
        <v>0.55000000000000004</v>
      </c>
      <c r="G188" s="143">
        <f>VLOOKUP($A188,'Data shares'!$C:$FA,127)*100</f>
        <v>1.82</v>
      </c>
      <c r="H188" s="103">
        <f>VLOOKUP($A188,'OI(Volume)'!$A$7:$O$427,8)</f>
        <v>3014725</v>
      </c>
      <c r="I188" s="103">
        <f>VLOOKUP($A188,'OI(Volume)'!$A$7:$O$427,9)</f>
        <v>469175</v>
      </c>
      <c r="J188" s="103">
        <f>VLOOKUP($A188,'OI(Volume)'!$A$7:$O$427,11)</f>
        <v>1866900</v>
      </c>
      <c r="K188" s="103">
        <f>VLOOKUP($A188,'OI(Volume)'!$A$7:$O$427,12)</f>
        <v>161700</v>
      </c>
      <c r="L188" s="103">
        <f>VLOOKUP($A188,'OI(Value)'!$A$7:$O$306,8,0)</f>
        <v>143</v>
      </c>
      <c r="M188" s="103">
        <f>VLOOKUP($A188,'OI(Value)'!$A$7:$O$306,9,0)</f>
        <v>22</v>
      </c>
      <c r="N188" s="103">
        <f>VLOOKUP($A188,'OI(Value)'!$A$7:$O$306,11,0)</f>
        <v>89</v>
      </c>
      <c r="O188" s="103">
        <f>VLOOKUP($A188,'OI(Value)'!$A$7:$O$306,12,0)</f>
        <v>8</v>
      </c>
    </row>
    <row r="189" spans="1:15" x14ac:dyDescent="0.25">
      <c r="A189" s="105" t="str">
        <f>'Data shares'!C184</f>
        <v>SRF</v>
      </c>
      <c r="B189" s="143">
        <f>VLOOKUP($A189,'Data shares'!$C:$FA,118)</f>
        <v>0.7</v>
      </c>
      <c r="C189" s="143">
        <f>VLOOKUP($A189,'Data shares'!$C:$FA,119)</f>
        <v>0.71</v>
      </c>
      <c r="D189" s="143">
        <f>VLOOKUP($A189,'Data shares'!$C:$FA,121)*100</f>
        <v>-1.41</v>
      </c>
      <c r="E189" s="143">
        <f>VLOOKUP($A189,'Data shares'!$C:$FA,124)</f>
        <v>0.48</v>
      </c>
      <c r="F189" s="143">
        <f>VLOOKUP($A189,'Data shares'!$C:$FA,125)</f>
        <v>0.75</v>
      </c>
      <c r="G189" s="143">
        <f>VLOOKUP($A189,'Data shares'!$C:$FA,127)*100</f>
        <v>-36</v>
      </c>
      <c r="H189" s="103">
        <f>VLOOKUP($A189,'OI(Volume)'!$A$7:$O$427,8)</f>
        <v>3014725</v>
      </c>
      <c r="I189" s="103">
        <f>VLOOKUP($A189,'OI(Volume)'!$A$7:$O$427,9)</f>
        <v>469175</v>
      </c>
      <c r="J189" s="103">
        <f>VLOOKUP($A189,'OI(Volume)'!$A$7:$O$427,11)</f>
        <v>1866900</v>
      </c>
      <c r="K189" s="103">
        <f>VLOOKUP($A189,'OI(Volume)'!$A$7:$O$427,12)</f>
        <v>161700</v>
      </c>
      <c r="L189" s="103"/>
      <c r="M189" s="103"/>
      <c r="N189" s="103"/>
      <c r="O189" s="103"/>
    </row>
    <row r="190" spans="1:15" x14ac:dyDescent="0.25">
      <c r="A190" s="105" t="str">
        <f>'Data shares'!C215</f>
        <v>ZYDUSLIFE</v>
      </c>
      <c r="B190" s="143">
        <f>VLOOKUP($A190,'Data shares'!$C:$FA,118)</f>
        <v>0.9</v>
      </c>
      <c r="C190" s="143">
        <f>VLOOKUP($A190,'Data shares'!$C:$FA,119)</f>
        <v>0.77</v>
      </c>
      <c r="D190" s="143">
        <f>VLOOKUP($A190,'Data shares'!$C:$FA,121)*100</f>
        <v>16.88</v>
      </c>
      <c r="E190" s="143">
        <f>VLOOKUP($A190,'Data shares'!$C:$FA,124)</f>
        <v>0.46</v>
      </c>
      <c r="F190" s="143">
        <f>VLOOKUP($A190,'Data shares'!$C:$FA,125)</f>
        <v>0.21</v>
      </c>
      <c r="G190" s="143">
        <f>VLOOKUP($A190,'Data shares'!$C:$FA,127)*100</f>
        <v>119.04999999999998</v>
      </c>
      <c r="H190" s="103">
        <f>VLOOKUP($A190,'OI(Volume)'!$A$7:$O$427,8)</f>
        <v>0</v>
      </c>
      <c r="I190" s="103">
        <f>VLOOKUP($A190,'OI(Volume)'!$A$7:$O$427,9)</f>
        <v>0</v>
      </c>
      <c r="J190" s="103">
        <f>VLOOKUP($A190,'OI(Volume)'!$A$7:$O$427,11)</f>
        <v>0</v>
      </c>
      <c r="K190" s="103">
        <f>VLOOKUP($A190,'OI(Volume)'!$A$7:$O$427,12)</f>
        <v>0</v>
      </c>
      <c r="L190" s="103">
        <f>VLOOKUP($A190,'OI(Value)'!$A$7:$O$306,8,0)</f>
        <v>341</v>
      </c>
      <c r="M190" s="103">
        <f>VLOOKUP($A190,'OI(Value)'!$A$7:$O$306,9,0)</f>
        <v>14</v>
      </c>
      <c r="N190" s="103">
        <f>VLOOKUP($A190,'OI(Value)'!$A$7:$O$306,11,0)</f>
        <v>305</v>
      </c>
      <c r="O190" s="103">
        <f>VLOOKUP($A190,'OI(Value)'!$A$7:$O$306,12,0)</f>
        <v>53</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6054600035</v>
      </c>
      <c r="I192" s="135">
        <f t="shared" si="0"/>
        <v>276388027</v>
      </c>
      <c r="J192" s="135">
        <f t="shared" si="0"/>
        <v>3778134055</v>
      </c>
      <c r="K192" s="135">
        <f t="shared" si="0"/>
        <v>109361315</v>
      </c>
      <c r="L192" s="135">
        <f t="shared" si="0"/>
        <v>830710</v>
      </c>
      <c r="M192" s="135">
        <f t="shared" si="0"/>
        <v>149620</v>
      </c>
      <c r="N192" s="135">
        <f t="shared" si="0"/>
        <v>708947</v>
      </c>
      <c r="O192" s="135">
        <f t="shared" si="0"/>
        <v>107235</v>
      </c>
    </row>
    <row r="193" spans="1:15" x14ac:dyDescent="0.25">
      <c r="A193" s="126" t="s">
        <v>415</v>
      </c>
      <c r="B193" s="136"/>
      <c r="C193" s="136"/>
      <c r="D193" s="136"/>
      <c r="E193" s="136"/>
      <c r="F193" s="136"/>
      <c r="G193" s="136"/>
      <c r="H193" s="137">
        <f>H192/10000000</f>
        <v>605.46000349999997</v>
      </c>
      <c r="I193" s="137">
        <f>I192/10000000</f>
        <v>27.638802699999999</v>
      </c>
      <c r="J193" s="137">
        <f>J192/10000000</f>
        <v>377.81340549999999</v>
      </c>
      <c r="K193" s="137">
        <f>K192/10000000</f>
        <v>10.9361315</v>
      </c>
      <c r="L193" s="138">
        <f>L192</f>
        <v>830710</v>
      </c>
      <c r="M193" s="138">
        <f>M192</f>
        <v>149620</v>
      </c>
      <c r="N193" s="138">
        <f>N192</f>
        <v>708947</v>
      </c>
      <c r="O193" s="138">
        <f>O192</f>
        <v>107235</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2026-01-08T03:27:06Z</dcterms:modified>
</cp:coreProperties>
</file>